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1"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K21" i="1" l="1"/>
  <c r="G19" i="6" l="1"/>
  <c r="K13" i="3"/>
  <c r="I13" i="3"/>
  <c r="E14" i="77" l="1"/>
  <c r="C36" i="77" l="1"/>
  <c r="M21" i="1" l="1"/>
  <c r="M24" i="1" l="1"/>
  <c r="N6" i="1" s="1"/>
  <c r="M22" i="1"/>
  <c r="K22" i="1"/>
  <c r="M23" i="1"/>
  <c r="K24" i="1" l="1"/>
  <c r="C34" i="77"/>
  <c r="M12" i="77"/>
  <c r="P10" i="77"/>
  <c r="P11" i="77" s="1"/>
  <c r="P12" i="77" s="1"/>
  <c r="P13" i="77" s="1"/>
  <c r="O10" i="77"/>
  <c r="O11" i="77" s="1"/>
  <c r="N9" i="77"/>
  <c r="R9" i="77" s="1"/>
  <c r="R8" i="77"/>
  <c r="R7" i="77"/>
  <c r="D117" i="39"/>
  <c r="E117" i="39" s="1"/>
  <c r="F117" i="39" s="1"/>
  <c r="E70" i="39"/>
  <c r="F70" i="39" s="1"/>
  <c r="G70" i="39" s="1"/>
  <c r="H70" i="39" s="1"/>
  <c r="I70" i="39" s="1"/>
  <c r="J70" i="39" s="1"/>
  <c r="K70" i="39" s="1"/>
  <c r="L70" i="39" s="1"/>
  <c r="M70" i="39" s="1"/>
  <c r="N70" i="39" s="1"/>
  <c r="O70" i="39" s="1"/>
  <c r="D70" i="39"/>
  <c r="I7" i="39"/>
  <c r="G7" i="39"/>
  <c r="E7" i="39"/>
  <c r="I5" i="39"/>
  <c r="G5" i="39"/>
  <c r="E5" i="39"/>
  <c r="B21" i="1"/>
  <c r="I14" i="3"/>
  <c r="A3" i="3"/>
  <c r="D41" i="81"/>
  <c r="C41" i="81"/>
  <c r="D6" i="81"/>
  <c r="C6" i="81"/>
  <c r="C14" i="3"/>
  <c r="C13" i="3"/>
  <c r="L24" i="1" l="1"/>
  <c r="L6" i="1" s="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C29" i="77" s="1"/>
  <c r="D16" i="77"/>
  <c r="D23"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AH13" i="71"/>
  <c r="AG13" i="71"/>
  <c r="AE13" i="71"/>
  <c r="AF13" i="71" s="1"/>
  <c r="AD13" i="71"/>
  <c r="Q13" i="71"/>
  <c r="AB12" i="71" s="1"/>
  <c r="P13" i="71"/>
  <c r="AA12" i="71" s="1"/>
  <c r="O13" i="71"/>
  <c r="Y12" i="71" s="1"/>
  <c r="Z12" i="71" s="1"/>
  <c r="N13" i="71"/>
  <c r="X12" i="71" s="1"/>
  <c r="E32" i="77" l="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F37" i="67"/>
  <c r="L48" i="67"/>
  <c r="F20" i="31"/>
  <c r="E13" i="76"/>
  <c r="L47" i="15"/>
  <c r="F8" i="15"/>
  <c r="B11" i="76"/>
  <c r="F6" i="67"/>
  <c r="B10" i="76"/>
  <c r="M8" i="67"/>
  <c r="F38" i="15"/>
  <c r="F42" i="15"/>
  <c r="B12" i="76"/>
  <c r="C76" i="67"/>
  <c r="E12" i="76"/>
  <c r="F26" i="15"/>
  <c r="B7" i="76"/>
  <c r="F9" i="67"/>
  <c r="L48" i="15"/>
  <c r="J15" i="15"/>
  <c r="F36" i="15"/>
  <c r="D4" i="73"/>
  <c r="D6" i="73"/>
  <c r="F38" i="67"/>
  <c r="E2" i="68"/>
  <c r="F3" i="73"/>
  <c r="M28" i="15"/>
  <c r="M29" i="15"/>
  <c r="C76" i="15"/>
  <c r="F36" i="67"/>
  <c r="B8" i="76"/>
  <c r="E10" i="76"/>
  <c r="F43" i="67"/>
  <c r="D7" i="73"/>
  <c r="F13" i="15"/>
  <c r="B13" i="76"/>
  <c r="M29" i="67"/>
  <c r="M6" i="67"/>
  <c r="F5" i="73"/>
  <c r="F9" i="15"/>
  <c r="E2" i="69"/>
  <c r="F7" i="67"/>
  <c r="E9" i="76"/>
  <c r="F16" i="15"/>
  <c r="F40" i="67"/>
  <c r="L47" i="67"/>
  <c r="M24" i="15"/>
  <c r="E7" i="76"/>
  <c r="M23" i="15"/>
  <c r="F40" i="15"/>
  <c r="F13" i="67"/>
  <c r="AO13" i="1"/>
  <c r="M28" i="67"/>
  <c r="M22" i="15"/>
  <c r="F37" i="15"/>
  <c r="M8" i="15"/>
  <c r="F8" i="67"/>
  <c r="F26" i="67"/>
  <c r="M24" i="67"/>
  <c r="F7" i="15"/>
  <c r="M9" i="15"/>
  <c r="M22" i="67"/>
  <c r="D5" i="73"/>
  <c r="J15" i="67"/>
  <c r="F6" i="15"/>
  <c r="F4" i="73"/>
  <c r="F16" i="67"/>
  <c r="M26" i="67"/>
  <c r="M9" i="67"/>
  <c r="M6" i="15"/>
  <c r="B9" i="76"/>
  <c r="E8" i="76"/>
  <c r="D3" i="73"/>
  <c r="M26" i="15"/>
  <c r="F43" i="15"/>
  <c r="M23" i="67"/>
  <c r="F6" i="73"/>
  <c r="E11" i="76"/>
  <c r="F42" i="67"/>
  <c r="C40" i="11" l="1"/>
  <c r="C40" i="68"/>
  <c r="C21" i="68"/>
  <c r="C40" i="69"/>
  <c r="A4" i="52"/>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BF1" i="80"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16" i="15"/>
  <c r="D9" i="68"/>
  <c r="G1" i="73"/>
  <c r="C36" i="68"/>
  <c r="C16" i="67"/>
  <c r="BF6" i="80" l="1"/>
  <c r="E46" i="39" s="1"/>
  <c r="BF12" i="80"/>
  <c r="G46" i="39" s="1"/>
  <c r="BF13" i="80"/>
  <c r="I46" i="39" s="1"/>
  <c r="AB17" i="39"/>
  <c r="U17" i="39"/>
  <c r="AA17" i="39"/>
  <c r="S17" i="39"/>
  <c r="W17" i="39"/>
  <c r="AC17" i="39"/>
  <c r="K16" i="1"/>
  <c r="B29" i="1"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B4" i="77" s="1"/>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F27" i="68"/>
  <c r="G53" i="39" l="1"/>
  <c r="H53" i="39" s="1"/>
  <c r="T46" i="39"/>
  <c r="V46" i="39"/>
  <c r="I53" i="39"/>
  <c r="J53" i="39" s="1"/>
  <c r="R46" i="39"/>
  <c r="E53" i="39"/>
  <c r="F53" i="39" s="1"/>
  <c r="L37" i="43"/>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D10" i="68"/>
  <c r="C17" i="67"/>
  <c r="C17" i="15"/>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C5" i="69" s="1"/>
  <c r="D19" i="69"/>
  <c r="F50" i="69"/>
  <c r="F50" i="11"/>
  <c r="F50" i="68"/>
  <c r="C10" i="68"/>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C41" i="11"/>
  <c r="C49" i="11" s="1"/>
  <c r="C51" i="11" s="1"/>
  <c r="C52" i="11" s="1"/>
  <c r="B2" i="11" s="1"/>
  <c r="B3" i="11" s="1"/>
  <c r="J22" i="15"/>
  <c r="C61" i="15"/>
  <c r="C64" i="15"/>
  <c r="C37" i="15"/>
  <c r="C56" i="15"/>
  <c r="C65" i="15" s="1"/>
  <c r="C75" i="15"/>
  <c r="C57" i="69"/>
  <c r="C56" i="69" s="1"/>
  <c r="M69" i="39"/>
  <c r="N67" i="39"/>
  <c r="R39" i="35"/>
  <c r="E38" i="35"/>
  <c r="M63" i="40"/>
  <c r="L65" i="40"/>
  <c r="D2" i="21"/>
  <c r="C56" i="11" l="1"/>
  <c r="C57" i="11" s="1"/>
  <c r="B2" i="21"/>
  <c r="B3" i="21" s="1"/>
  <c r="O67" i="39"/>
  <c r="O69" i="39" s="1"/>
  <c r="N69" i="39"/>
  <c r="F7" i="39"/>
  <c r="C39" i="35"/>
  <c r="C38" i="35"/>
  <c r="N63" i="40"/>
  <c r="M65" i="40"/>
  <c r="E43" i="35"/>
  <c r="F43" i="35" s="1"/>
  <c r="E42" i="35"/>
  <c r="F42" i="35" s="1"/>
  <c r="I43" i="35"/>
  <c r="J43" i="35" s="1"/>
  <c r="D2" i="33"/>
  <c r="B2" i="33" l="1"/>
  <c r="B3" i="33" s="1"/>
  <c r="H7" i="39"/>
  <c r="J7" i="39"/>
  <c r="S7" i="39"/>
  <c r="AA7" i="39"/>
  <c r="R47" i="39" s="1"/>
  <c r="O63" i="40"/>
  <c r="O65" i="40" s="1"/>
  <c r="N65" i="40"/>
  <c r="D2" i="35"/>
  <c r="D2" i="36"/>
  <c r="D2" i="37"/>
  <c r="D2" i="34"/>
  <c r="B2" i="36" l="1"/>
  <c r="B3" i="36" s="1"/>
  <c r="B2" i="35"/>
  <c r="B3" i="35" s="1"/>
  <c r="M3" i="35"/>
  <c r="B2" i="37"/>
  <c r="B3" i="37" s="1"/>
  <c r="B2" i="34"/>
  <c r="B3" i="34" s="1"/>
  <c r="W7" i="39"/>
  <c r="AC7" i="39"/>
  <c r="V47" i="39" s="1"/>
  <c r="I47" i="39" s="1"/>
  <c r="E47" i="39"/>
  <c r="U7" i="39"/>
  <c r="AB7" i="39"/>
  <c r="T47" i="39" s="1"/>
  <c r="G47" i="39" s="1"/>
  <c r="J7" i="40"/>
  <c r="F7" i="40"/>
  <c r="H7" i="40"/>
  <c r="AO7" i="1"/>
  <c r="AO11" i="1"/>
  <c r="AO6" i="1"/>
  <c r="AO10" i="1"/>
  <c r="AO9" i="1"/>
  <c r="AO12" i="1"/>
  <c r="AO8"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C6" i="68" s="1"/>
  <c r="I46" i="40"/>
  <c r="J46" i="40" s="1"/>
  <c r="R43" i="40"/>
  <c r="E42" i="40"/>
  <c r="G47" i="40"/>
  <c r="H47" i="40" s="1"/>
  <c r="G46" i="40"/>
  <c r="H46" i="40" s="1"/>
  <c r="C7" i="68" l="1"/>
  <c r="C5" i="68" s="1"/>
  <c r="B59" i="39"/>
  <c r="F59" i="39" s="1"/>
  <c r="B61" i="39"/>
  <c r="F61" i="39" s="1"/>
  <c r="B58" i="39"/>
  <c r="F58" i="39" s="1"/>
  <c r="B64" i="39"/>
  <c r="F64" i="39" s="1"/>
  <c r="B62" i="39"/>
  <c r="F62" i="39" s="1"/>
  <c r="B57" i="39"/>
  <c r="F57" i="39" s="1"/>
  <c r="B60" i="39"/>
  <c r="F60" i="39" s="1"/>
  <c r="C42" i="40"/>
  <c r="C43" i="40"/>
  <c r="E47" i="40"/>
  <c r="F47" i="40" s="1"/>
  <c r="E46" i="40"/>
  <c r="F46" i="40" s="1"/>
  <c r="I47" i="40"/>
  <c r="J47" i="40" s="1"/>
  <c r="F65" i="39" l="1"/>
  <c r="B2" i="39" s="1"/>
  <c r="B3" i="39" s="1"/>
  <c r="C23" i="68"/>
  <c r="C20" i="68"/>
  <c r="B58" i="40"/>
  <c r="F58" i="40" s="1"/>
  <c r="B54" i="40"/>
  <c r="F54" i="40" s="1"/>
  <c r="B53" i="40"/>
  <c r="F53" i="40" s="1"/>
  <c r="B59" i="40"/>
  <c r="F59" i="40" s="1"/>
  <c r="B52" i="40"/>
  <c r="F52" i="40" s="1"/>
  <c r="B56" i="40"/>
  <c r="F56" i="40" s="1"/>
  <c r="B60" i="40"/>
  <c r="F60" i="40" s="1"/>
  <c r="B57" i="40"/>
  <c r="F57" i="40" s="1"/>
  <c r="B51" i="40"/>
  <c r="F51" i="40" s="1"/>
  <c r="C28" i="68" l="1"/>
  <c r="C27" i="68" s="1"/>
  <c r="C25" i="68"/>
  <c r="C22" i="68" s="1"/>
  <c r="R7" i="1"/>
  <c r="R8" i="1"/>
  <c r="R9" i="1"/>
  <c r="R10" i="1"/>
  <c r="R11" i="1"/>
  <c r="R12" i="1"/>
  <c r="G3" i="43"/>
  <c r="E26" i="43" s="1"/>
  <c r="F35" i="67"/>
  <c r="M21" i="67"/>
  <c r="C31" i="68" l="1"/>
  <c r="C52" i="68" s="1"/>
  <c r="B2" i="68" s="1"/>
  <c r="F63" i="67"/>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B3" i="68"/>
  <c r="C19" i="9"/>
  <c r="L51" i="67"/>
  <c r="C57" i="68" l="1"/>
  <c r="C102" i="9"/>
  <c r="Q67" i="67"/>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C20" i="9"/>
  <c r="E6" i="76"/>
  <c r="D35" i="9"/>
  <c r="C103" i="9" l="1"/>
  <c r="C56" i="68"/>
  <c r="L46" i="67"/>
  <c r="D2" i="67" s="1"/>
  <c r="Q57" i="67"/>
  <c r="Q66" i="67"/>
  <c r="C45" i="67"/>
  <c r="C46" i="67" s="1"/>
  <c r="Q47" i="67"/>
  <c r="Q53" i="67" s="1"/>
  <c r="Q56" i="67"/>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B5" i="77" s="1"/>
  <c r="D14" i="77" s="1"/>
  <c r="D11" i="77" s="1"/>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D34" i="9"/>
  <c r="D7" i="77" l="1"/>
  <c r="C26" i="77" s="1"/>
  <c r="C32" i="77" s="1"/>
  <c r="C38" i="77" s="1"/>
  <c r="C39" i="77" s="1"/>
  <c r="C40" i="77" s="1"/>
  <c r="C41" i="77" s="1"/>
  <c r="E11" i="77"/>
  <c r="E7" i="77" s="1"/>
  <c r="C27" i="77" s="1"/>
  <c r="Q62" i="67"/>
  <c r="Q75" i="67"/>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H19" i="6"/>
  <c r="D23" i="6"/>
  <c r="R23" i="6" s="1"/>
  <c r="D8" i="6"/>
  <c r="D22" i="6"/>
  <c r="D25" i="6"/>
  <c r="D19" i="6"/>
  <c r="M19" i="9" s="1"/>
  <c r="C118" i="9" s="1"/>
  <c r="C14" i="74" s="1"/>
  <c r="B2" i="74" s="1"/>
  <c r="C18" i="4"/>
  <c r="E61" i="40"/>
  <c r="F61" i="40" s="1"/>
  <c r="B2" i="40" s="1"/>
  <c r="B3" i="40" s="1"/>
  <c r="D16" i="6" l="1"/>
  <c r="D8" i="74"/>
  <c r="D7" i="74"/>
  <c r="H27" i="6"/>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D21" i="9"/>
  <c r="B3" i="77"/>
  <c r="D20" i="9"/>
  <c r="G21" i="9" l="1"/>
  <c r="L23" i="9"/>
  <c r="G20" i="9"/>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B11" i="74" s="1"/>
  <c r="C11" i="74" s="1"/>
  <c r="H119" i="9"/>
  <c r="H5" i="52" s="1"/>
  <c r="H101" i="9"/>
  <c r="D5" i="53" s="1"/>
  <c r="I118" i="9"/>
  <c r="C105" i="9" s="1"/>
  <c r="M48" i="9"/>
  <c r="D6" i="74" l="1"/>
  <c r="H107" i="9"/>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 r="L24" i="9" l="1"/>
  <c r="L25" i="9" l="1"/>
  <c r="L2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<sst xmlns="http://schemas.openxmlformats.org/spreadsheetml/2006/main" count="8640" uniqueCount="3675">
  <si>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</si>
  <si>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</si>
  <si>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</si>
  <si>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</si>
  <si>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</si>
  <si>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</si>
  <si>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</si>
  <si>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</si>
  <si>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</si>
  <si>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</si>
  <si>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</si>
  <si>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</si>
  <si>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</si>
  <si>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</si>
  <si>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</si>
  <si>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</si>
  <si>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</si>
  <si>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</si>
  <si>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</si>
  <si>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</si>
  <si>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</si>
  <si>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</si>
  <si>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</si>
  <si>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</si>
  <si>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</si>
  <si>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</si>
  <si>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</si>
  <si>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</si>
  <si>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</si>
  <si>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</si>
  <si>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</si>
  <si>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</si>
  <si>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</si>
  <si>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</si>
  <si>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</si>
  <si>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</si>
  <si>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</si>
  <si>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</si>
  <si>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</si>
  <si>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</si>
  <si>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</si>
  <si>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</si>
  <si>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</si>
  <si>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</si>
  <si>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</si>
  <si>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</si>
  <si>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</si>
  <si>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</si>
  <si>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</si>
  <si>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</si>
  <si>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</si>
  <si>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</si>
  <si>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</si>
  <si>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</si>
  <si>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</si>
  <si>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</si>
  <si>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</si>
  <si>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</si>
  <si>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</si>
  <si>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</si>
  <si>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</si>
  <si>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</si>
  <si>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</si>
  <si>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</si>
  <si>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</si>
  <si>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</si>
  <si>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</si>
  <si>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</si>
  <si>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</si>
  <si>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</si>
  <si>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</si>
  <si>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</si>
  <si>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</si>
  <si>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</si>
  <si>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</si>
  <si>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</si>
  <si>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</si>
  <si>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</si>
  <si>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</si>
  <si>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</si>
  <si>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</si>
  <si>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</si>
  <si>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</si>
  <si>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</si>
  <si>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</si>
  <si>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</si>
  <si>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</si>
  <si>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</si>
  <si>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</si>
  <si>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</si>
  <si>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</si>
  <si>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</si>
  <si>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</si>
  <si>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</si>
  <si>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</si>
  <si>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</si>
  <si>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</si>
  <si>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</si>
  <si>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</si>
  <si>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</si>
  <si>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</si>
  <si>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</si>
  <si>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</si>
  <si>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</si>
  <si>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</si>
  <si>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</si>
  <si>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</si>
  <si>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</si>
  <si>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</si>
  <si>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</si>
  <si>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</si>
  <si>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</si>
  <si>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</si>
  <si>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</si>
  <si>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</si>
  <si>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</si>
  <si>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</si>
  <si>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</si>
  <si>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</si>
  <si>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</si>
  <si>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</si>
  <si>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</si>
  <si>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</si>
  <si>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</si>
  <si>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</si>
  <si>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</si>
  <si>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</si>
  <si>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</si>
  <si>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</si>
  <si>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</si>
  <si>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</si>
  <si>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</si>
  <si>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</si>
  <si>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</si>
  <si>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</si>
  <si>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</si>
  <si>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</si>
  <si>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</si>
  <si>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</si>
  <si>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</si>
  <si>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</si>
  <si>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</si>
  <si>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</si>
  <si>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</si>
  <si>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</si>
  <si>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</si>
  <si>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</si>
  <si>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</si>
  <si>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</si>
  <si>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</si>
  <si>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</si>
  <si>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</si>
  <si>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</si>
  <si>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</si>
  <si>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</si>
  <si>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</si>
  <si>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</si>
  <si>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</si>
  <si>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</si>
  <si>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</si>
  <si>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</si>
  <si>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</si>
  <si>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</si>
  <si>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</si>
  <si>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</si>
  <si>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</si>
  <si>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</si>
  <si>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</si>
  <si>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</si>
  <si>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</si>
  <si>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</si>
  <si>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</si>
  <si>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</si>
  <si>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</si>
  <si>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</si>
  <si>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</si>
  <si>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</si>
  <si>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</si>
  <si>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</si>
  <si>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</si>
  <si>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</si>
  <si>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</si>
  <si>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</si>
  <si>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</si>
  <si>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</si>
  <si>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</si>
  <si>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</si>
  <si>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</si>
  <si>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</si>
  <si>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</si>
  <si>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</si>
  <si>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</si>
  <si>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</si>
  <si>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</si>
  <si>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</si>
  <si>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</si>
  <si>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</si>
  <si>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</si>
  <si>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</si>
  <si>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</si>
  <si>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</si>
  <si>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</si>
  <si>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</si>
  <si>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</si>
  <si>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</si>
  <si>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</si>
  <si>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</si>
  <si>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</si>
  <si>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</si>
  <si>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</si>
  <si>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</si>
  <si>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</si>
  <si>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</si>
  <si>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</si>
  <si>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</si>
  <si>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</si>
  <si>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</si>
  <si>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</si>
  <si>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</si>
  <si>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</si>
  <si>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</si>
  <si>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</si>
  <si>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</si>
  <si>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</si>
  <si>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</si>
  <si>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</si>
  <si>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</si>
  <si>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</si>
  <si>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</si>
  <si>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</si>
  <si>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</si>
  <si>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</si>
  <si>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</si>
  <si>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</si>
  <si>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</si>
  <si>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</si>
  <si>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</si>
  <si>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</si>
  <si>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</si>
  <si>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</si>
  <si>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</si>
  <si>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</si>
  <si>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</si>
  <si>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</si>
  <si>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</si>
  <si>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</si>
  <si>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</si>
  <si>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</si>
  <si>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</si>
  <si>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</si>
  <si>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</si>
  <si>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</si>
  <si>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</si>
  <si>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</si>
  <si>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</si>
  <si>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</si>
  <si>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</si>
  <si>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</si>
  <si>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</si>
  <si>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</si>
  <si>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</si>
  <si>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</si>
  <si>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</si>
  <si>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</si>
  <si>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</si>
  <si>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</si>
  <si>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</si>
  <si>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</si>
  <si>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</si>
  <si>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</si>
  <si>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</si>
  <si>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</si>
  <si>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</si>
  <si>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</si>
  <si>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</si>
  <si>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</si>
  <si>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</si>
  <si>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</si>
  <si>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</si>
  <si>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</si>
  <si>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</si>
  <si>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</si>
  <si>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</si>
  <si>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</si>
  <si>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</si>
  <si>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</si>
  <si>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</si>
  <si>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</si>
  <si>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</si>
  <si>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</si>
  <si>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</si>
  <si>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</si>
  <si>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</si>
  <si>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</si>
  <si>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</si>
  <si>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</si>
  <si>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</si>
  <si>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</si>
  <si>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</si>
  <si>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</si>
  <si>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</si>
  <si>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</si>
  <si>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</si>
  <si>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</si>
  <si>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</si>
  <si>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</si>
  <si>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</si>
  <si>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</si>
  <si>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</si>
  <si>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</si>
  <si>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</si>
  <si>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</si>
  <si>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</si>
  <si>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</si>
  <si>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</si>
  <si>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</si>
  <si>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</si>
  <si>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</si>
  <si>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</si>
  <si>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</si>
  <si>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</si>
  <si>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</si>
  <si>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</si>
  <si>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</si>
  <si>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</si>
  <si>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</si>
  <si>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</si>
  <si>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</si>
  <si>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</si>
  <si>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</si>
  <si>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</si>
  <si>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</si>
  <si>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</si>
  <si>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</si>
  <si>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</si>
  <si>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</si>
  <si>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</si>
  <si>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</si>
  <si>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</si>
  <si>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</si>
  <si>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</si>
  <si>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</si>
  <si>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</si>
  <si>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</si>
  <si>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</si>
  <si>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</si>
  <si>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</si>
  <si>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</si>
  <si>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</si>
  <si>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</si>
  <si>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</si>
  <si>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</si>
  <si>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</si>
  <si>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</si>
  <si>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</si>
  <si>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</si>
  <si>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</si>
  <si>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</si>
  <si>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</si>
  <si>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</si>
  <si>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</si>
  <si>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</si>
  <si>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</si>
  <si>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</si>
  <si>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</si>
  <si>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</si>
  <si>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</si>
  <si>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</si>
  <si>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</si>
  <si>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</si>
  <si>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</si>
  <si>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</si>
  <si>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</si>
  <si>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</si>
  <si>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</si>
  <si>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</si>
  <si>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</si>
  <si>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</si>
  <si>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</si>
  <si>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</si>
  <si>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</si>
  <si>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</si>
  <si>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</si>
  <si>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</si>
  <si>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</si>
  <si>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</si>
  <si>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</si>
  <si>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</si>
  <si>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</si>
  <si>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</si>
  <si>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</si>
  <si>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</si>
  <si>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</si>
  <si>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</si>
  <si>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</si>
  <si>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</si>
  <si>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</si>
  <si>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</si>
  <si>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</si>
  <si>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</si>
  <si>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</si>
  <si>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</si>
  <si>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</si>
  <si>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</si>
  <si>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</si>
  <si>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</si>
  <si>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</si>
  <si>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</si>
  <si>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</si>
  <si>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</si>
  <si>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</si>
  <si>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</si>
  <si>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</si>
  <si>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</si>
  <si>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</si>
  <si>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</si>
  <si>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</si>
  <si>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</si>
  <si>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</si>
  <si>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</si>
  <si>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</si>
  <si>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</si>
  <si>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</si>
  <si>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</si>
  <si>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</si>
  <si>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</si>
  <si>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</si>
  <si>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</si>
  <si>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</si>
  <si>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</si>
  <si>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</si>
  <si>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</si>
  <si>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</si>
  <si>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</si>
  <si>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</si>
  <si>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</si>
  <si>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</si>
  <si>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</si>
  <si>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</si>
  <si>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</si>
  <si>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</si>
  <si>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</si>
  <si>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</si>
  <si>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</si>
  <si>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</si>
  <si>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</si>
  <si>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</si>
  <si>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</si>
  <si>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</si>
  <si>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</si>
  <si>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</si>
  <si>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</si>
  <si>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</si>
  <si>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</si>
  <si>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</si>
  <si>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</si>
  <si>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</si>
  <si>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</si>
  <si>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</si>
  <si>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</si>
  <si>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</si>
  <si>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</si>
  <si>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</si>
  <si>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</si>
  <si>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</si>
  <si>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</si>
  <si>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</si>
  <si>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</si>
  <si>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</si>
  <si>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</si>
  <si>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</si>
  <si>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</si>
  <si>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</si>
  <si>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</si>
  <si>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</si>
  <si>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</si>
  <si>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</si>
  <si>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</si>
  <si>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</si>
  <si>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</si>
  <si>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</si>
  <si>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</si>
  <si>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</si>
  <si>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</si>
  <si>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</si>
  <si>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</si>
  <si>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</si>
  <si>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</si>
  <si>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</si>
  <si>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</si>
  <si>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</si>
  <si>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</si>
  <si>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</si>
  <si>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</si>
  <si>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</si>
  <si>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</si>
  <si>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</si>
  <si>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</si>
  <si>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</si>
  <si>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</si>
  <si>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</si>
  <si>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</si>
  <si>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</si>
  <si>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</si>
  <si>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</si>
  <si>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</si>
  <si>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</si>
  <si>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</si>
  <si>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</si>
  <si>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</si>
  <si>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</si>
  <si>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</si>
  <si>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</si>
  <si>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</si>
  <si>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</si>
  <si>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</si>
  <si>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</si>
  <si>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</si>
  <si>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</si>
  <si>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</si>
  <si>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</si>
  <si>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</si>
  <si>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</si>
  <si>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</si>
  <si>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</si>
  <si>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</si>
  <si>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</si>
  <si>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</si>
  <si>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</si>
  <si>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</si>
  <si>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</si>
  <si>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</si>
  <si>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</si>
  <si>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</si>
  <si>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</si>
  <si>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</si>
  <si>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</si>
  <si>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</si>
  <si>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</si>
  <si>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</si>
  <si>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</si>
  <si>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</si>
  <si>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</si>
  <si>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</si>
  <si>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</si>
  <si>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</si>
  <si>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</si>
  <si>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</si>
  <si>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</si>
  <si>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</si>
  <si>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</si>
  <si>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</si>
  <si>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</si>
  <si>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</si>
  <si>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</si>
  <si>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</si>
  <si>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</si>
  <si>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</si>
  <si>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</si>
  <si>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</si>
  <si>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</si>
  <si>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</si>
  <si>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</si>
  <si>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</si>
  <si>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</si>
  <si>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</si>
  <si>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</si>
  <si>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</si>
  <si>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</si>
  <si>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</si>
  <si>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</si>
  <si>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</si>
  <si>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</si>
  <si>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</si>
  <si>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</si>
  <si>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</si>
  <si>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</si>
  <si>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</si>
  <si>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</si>
  <si>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</si>
  <si>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</si>
  <si>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</si>
  <si>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</si>
  <si>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</si>
  <si>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</si>
  <si>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</si>
  <si>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</si>
  <si>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</si>
  <si>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</si>
  <si>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</si>
  <si>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</si>
  <si>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</si>
  <si>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</si>
  <si>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</si>
  <si>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</si>
  <si>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</si>
  <si>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</si>
  <si>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</si>
  <si>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</si>
  <si>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</si>
  <si>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</si>
  <si>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</si>
  <si>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</si>
  <si>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</si>
  <si>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</si>
  <si>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</si>
  <si>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</si>
  <si>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</si>
  <si>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</si>
  <si>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</si>
  <si>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</si>
  <si>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</si>
  <si>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</si>
  <si>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</si>
  <si>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</si>
  <si>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</si>
  <si>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</si>
  <si>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</si>
  <si>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</si>
  <si>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</si>
  <si>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</si>
  <si>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</si>
  <si>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</si>
  <si>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</si>
  <si>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</si>
  <si>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</si>
  <si>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</si>
  <si>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</si>
  <si>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</si>
  <si>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</si>
  <si>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</si>
  <si>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</si>
  <si>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</si>
  <si>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</si>
  <si>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</si>
  <si>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</si>
  <si>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</si>
  <si>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</si>
  <si>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</si>
  <si>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</si>
  <si>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</si>
  <si>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</si>
  <si>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</si>
  <si>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</si>
  <si>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</si>
  <si>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</si>
  <si>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</si>
  <si>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</si>
  <si>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</si>
  <si>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</si>
  <si>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</si>
  <si>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</si>
  <si>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</si>
  <si>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</si>
  <si>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</si>
  <si>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</si>
  <si>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</si>
  <si>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</si>
  <si>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</si>
  <si>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</si>
  <si>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</si>
  <si>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</si>
  <si>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</si>
  <si>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</si>
  <si>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</si>
  <si>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</si>
  <si>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</si>
  <si>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</si>
  <si>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</si>
  <si>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</si>
  <si>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</si>
  <si>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</si>
  <si>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</si>
  <si>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</si>
  <si>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</si>
  <si>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</si>
  <si>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</si>
  <si>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</si>
  <si>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</si>
  <si>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</si>
  <si>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</si>
  <si>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</si>
  <si>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</si>
  <si>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</si>
  <si>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</si>
  <si>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</si>
  <si>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</si>
  <si>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</si>
  <si>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</si>
  <si>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</si>
  <si>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</si>
  <si>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</si>
  <si>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</si>
  <si>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</si>
  <si>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</si>
  <si>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</si>
  <si>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</si>
  <si>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</si>
  <si>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</si>
  <si>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</si>
  <si>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</si>
  <si>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</si>
  <si>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</si>
  <si>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</si>
  <si>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</si>
  <si>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</si>
  <si>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</si>
  <si>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</si>
  <si>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</si>
  <si>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</si>
  <si>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</si>
  <si>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</si>
  <si>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</si>
  <si>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</si>
  <si>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</si>
  <si>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</si>
  <si>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</si>
  <si>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</si>
  <si>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</si>
  <si>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</si>
  <si>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</si>
  <si>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</si>
  <si>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</si>
  <si>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</si>
  <si>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</si>
  <si>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</si>
  <si>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</si>
  <si>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</si>
  <si>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</si>
  <si>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</si>
  <si>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</si>
  <si>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</si>
  <si>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</si>
  <si>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</si>
  <si>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</si>
  <si>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</si>
  <si>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</si>
  <si>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</si>
  <si>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</si>
  <si>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</si>
  <si>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</si>
  <si>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</si>
  <si>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</si>
  <si>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</si>
  <si>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</si>
  <si>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</si>
  <si>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</si>
  <si>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</si>
  <si>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</si>
  <si>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</si>
  <si>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</si>
  <si>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</si>
  <si>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</si>
  <si>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</si>
  <si>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</si>
  <si>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</si>
  <si>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</si>
  <si>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</si>
  <si>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</si>
  <si>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</si>
  <si>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</si>
  <si>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</si>
  <si>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</si>
  <si>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</si>
  <si>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</si>
  <si>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</si>
  <si>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</si>
  <si>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</si>
  <si>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</si>
  <si>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</si>
  <si>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</si>
  <si>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</si>
  <si>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</si>
  <si>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</si>
  <si>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</si>
  <si>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</si>
  <si>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</si>
  <si>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</si>
  <si>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</si>
  <si>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</si>
  <si>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</si>
  <si>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</si>
  <si>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</si>
  <si>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</si>
  <si>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</si>
  <si>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</si>
  <si>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</si>
  <si>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</si>
  <si>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</si>
  <si>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</si>
  <si>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</si>
  <si>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</si>
  <si>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</si>
  <si>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</si>
  <si>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</si>
  <si>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</si>
  <si>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</si>
  <si>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</si>
  <si>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</si>
  <si>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</si>
  <si>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</si>
  <si>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</si>
  <si>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</si>
  <si>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</si>
  <si>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</si>
  <si>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</si>
  <si>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</si>
  <si>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</si>
  <si>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</si>
  <si>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</si>
  <si>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</si>
  <si>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</si>
  <si>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</si>
  <si>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</si>
  <si>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</si>
  <si>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</si>
  <si>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</si>
  <si>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</si>
  <si>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</si>
  <si>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</si>
  <si>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</si>
  <si>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</si>
  <si>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</si>
  <si>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</si>
  <si>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</si>
  <si>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</si>
  <si>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</si>
  <si>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</si>
  <si>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</si>
  <si>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</si>
  <si>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</si>
  <si>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</si>
  <si>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</si>
  <si>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</si>
  <si>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</si>
  <si>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</si>
  <si>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</si>
  <si>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</si>
  <si>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</si>
  <si>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</si>
  <si>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</si>
  <si>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</si>
  <si>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</si>
  <si>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</si>
  <si>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</si>
  <si>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</si>
  <si>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</si>
  <si>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</si>
  <si>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</si>
  <si>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</si>
  <si>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</si>
  <si>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</si>
  <si>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</si>
  <si>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</si>
  <si>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</si>
  <si>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</si>
  <si>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</si>
  <si>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</si>
  <si>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</si>
  <si>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</si>
  <si>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</si>
  <si>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</si>
  <si>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</si>
  <si>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</si>
  <si>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</si>
  <si>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</si>
  <si>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</si>
  <si>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</si>
  <si>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</si>
  <si>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</si>
  <si>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</si>
  <si>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</si>
  <si>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</si>
  <si>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</si>
  <si>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</si>
  <si>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</si>
  <si>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</si>
  <si>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</si>
  <si>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</si>
  <si>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</si>
  <si>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</si>
  <si>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</si>
  <si>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</si>
  <si>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</si>
  <si>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</si>
  <si>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</si>
  <si>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</si>
  <si>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</si>
  <si>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</si>
  <si>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</si>
  <si>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</si>
  <si>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</si>
  <si>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</si>
  <si>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</si>
  <si>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</si>
  <si>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</si>
  <si>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</si>
  <si>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</si>
  <si>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</si>
  <si>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</si>
  <si>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</si>
  <si>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</si>
  <si>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</si>
  <si>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</si>
  <si>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</si>
  <si>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</si>
  <si>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</si>
  <si>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</si>
  <si>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</si>
  <si>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</si>
  <si>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</si>
  <si>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</si>
  <si>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</si>
  <si>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</si>
  <si>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</si>
  <si>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</si>
  <si>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</si>
  <si>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</si>
  <si>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</si>
  <si>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</si>
  <si>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</si>
  <si>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</si>
  <si>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</si>
  <si>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</si>
  <si>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</si>
  <si>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</si>
  <si>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</si>
  <si>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</si>
  <si>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</si>
  <si>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</si>
  <si>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</si>
  <si>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</si>
  <si>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</si>
  <si>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</si>
  <si>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</si>
  <si>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</si>
  <si>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</si>
  <si>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</si>
  <si>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</si>
  <si>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</si>
  <si>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</si>
  <si>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</si>
  <si>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</si>
  <si>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</si>
  <si>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</si>
  <si>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</si>
  <si>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</si>
  <si>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</si>
  <si>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</si>
  <si>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</si>
  <si>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</si>
  <si>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</si>
  <si>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</si>
  <si>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</si>
  <si>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</si>
  <si>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</si>
  <si>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</si>
  <si>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</si>
  <si>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</si>
  <si>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</si>
  <si>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</si>
  <si>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</si>
  <si>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</si>
  <si>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</si>
  <si>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</si>
  <si>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</si>
  <si>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</si>
  <si>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</si>
  <si>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</si>
  <si>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</si>
  <si>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</si>
  <si>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</si>
  <si>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</si>
  <si>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</si>
  <si>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</si>
  <si>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</si>
  <si>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</si>
  <si>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</si>
  <si>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</si>
  <si>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</si>
  <si>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</si>
  <si>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</si>
  <si>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</si>
  <si>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</si>
  <si>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</si>
  <si>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</si>
  <si>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</si>
  <si>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</si>
  <si>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</si>
  <si>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</si>
  <si>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</si>
  <si>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</si>
  <si>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</si>
  <si>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</si>
  <si>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</si>
  <si>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</si>
  <si>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</si>
  <si>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</si>
  <si>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</si>
  <si>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</si>
  <si>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</si>
  <si>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</si>
  <si>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</si>
  <si>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</si>
  <si>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</si>
  <si>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</si>
  <si>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</si>
  <si>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</si>
  <si>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</si>
  <si>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</si>
  <si>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</si>
  <si>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</si>
  <si>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</si>
  <si>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</si>
  <si>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</si>
  <si>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</si>
  <si>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</si>
  <si>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</si>
  <si>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</si>
  <si>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</si>
  <si>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</si>
  <si>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</si>
  <si>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</si>
  <si>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</si>
  <si>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</si>
  <si>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</si>
  <si>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</si>
  <si>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</si>
  <si>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</si>
  <si>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</si>
  <si>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</si>
  <si>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</si>
  <si>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</si>
  <si>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</si>
  <si>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</si>
  <si>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</si>
  <si>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</si>
  <si>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</si>
  <si>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</si>
  <si>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</si>
  <si>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</si>
  <si>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</si>
  <si>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</si>
  <si>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</si>
  <si>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</si>
  <si>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</si>
  <si>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</si>
  <si>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</si>
  <si>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</si>
  <si>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</si>
  <si>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</si>
  <si>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</si>
  <si>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</si>
  <si>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</si>
  <si>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</si>
  <si>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</si>
  <si>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</si>
  <si>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</si>
  <si>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</si>
  <si>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</si>
  <si>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</si>
  <si>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</si>
  <si>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</si>
  <si>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</si>
  <si>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</si>
  <si>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</si>
  <si>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</si>
  <si>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</si>
  <si>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</si>
  <si>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</si>
  <si>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</si>
  <si>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</si>
  <si>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</si>
  <si>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</si>
  <si>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</si>
  <si>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</si>
  <si>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</si>
  <si>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</si>
  <si>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</si>
  <si>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</si>
  <si>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</si>
  <si>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</si>
  <si>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</si>
  <si>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</si>
  <si>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</si>
  <si>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</si>
  <si>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</si>
  <si>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</si>
  <si>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</si>
  <si>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</si>
  <si>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</si>
  <si>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</si>
  <si>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</si>
  <si>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</si>
  <si>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</si>
  <si>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</si>
  <si>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</si>
  <si>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</si>
  <si>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</si>
  <si>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</si>
  <si>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</si>
  <si>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</si>
  <si>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</si>
  <si>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</si>
  <si>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</si>
  <si>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</si>
  <si>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</si>
  <si>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</si>
  <si>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</si>
  <si>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</si>
  <si>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</si>
  <si>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</si>
  <si>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</si>
  <si>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</si>
  <si>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</si>
  <si>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</si>
  <si>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</si>
  <si>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</si>
  <si>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</si>
  <si>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</si>
  <si>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</si>
  <si>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</si>
  <si>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</si>
  <si>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</si>
  <si>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</si>
  <si>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</si>
  <si>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</si>
  <si>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</si>
  <si>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</si>
  <si>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</si>
  <si>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</si>
  <si>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</si>
  <si>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</si>
  <si>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</si>
  <si>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</si>
  <si>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</si>
  <si>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</si>
  <si>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</si>
  <si>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</si>
  <si>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</si>
  <si>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</si>
  <si>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</si>
  <si>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</si>
  <si>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</si>
  <si>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</si>
  <si>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</si>
  <si>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</si>
  <si>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</si>
  <si>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</si>
  <si>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</si>
  <si>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</si>
  <si>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</si>
  <si>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</si>
  <si>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</si>
  <si>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</si>
  <si>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</si>
  <si>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</si>
  <si>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</si>
  <si>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</si>
  <si>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</si>
  <si>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</si>
  <si>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</si>
  <si>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</si>
  <si>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</si>
  <si>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</si>
  <si>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</si>
  <si>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</si>
  <si>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</si>
  <si>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</si>
  <si>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</si>
  <si>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</si>
  <si>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</si>
  <si>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</si>
  <si>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</si>
  <si>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</si>
  <si>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</si>
  <si>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</si>
  <si>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</si>
  <si>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</si>
  <si>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</si>
  <si>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</si>
  <si>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</si>
  <si>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</si>
  <si>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</si>
  <si>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</si>
  <si>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</si>
  <si>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</si>
  <si>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</si>
  <si>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</si>
  <si>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</si>
  <si>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</si>
  <si>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</si>
  <si>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</si>
  <si>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</si>
  <si>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</si>
  <si>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</si>
  <si>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</si>
  <si>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</si>
  <si>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</si>
  <si>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</si>
  <si>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</si>
  <si>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</si>
  <si>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</si>
  <si>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</si>
  <si>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</si>
  <si>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</si>
  <si>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</si>
  <si>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</si>
  <si>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</si>
  <si>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</si>
  <si>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</si>
  <si>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</si>
  <si>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</si>
  <si>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</si>
  <si>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</si>
  <si>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</si>
  <si>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</si>
  <si>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</si>
  <si>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</si>
  <si>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</si>
  <si>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</si>
  <si>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</si>
  <si>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</si>
  <si>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</si>
  <si>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</si>
  <si>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</si>
  <si>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</si>
  <si>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</si>
  <si>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</si>
  <si>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</si>
  <si>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</si>
  <si>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</si>
  <si>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</si>
  <si>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</si>
  <si>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</si>
  <si>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</si>
  <si>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</si>
  <si>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</si>
  <si>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</si>
  <si>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</si>
  <si>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</si>
  <si>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</si>
  <si>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</si>
  <si>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</si>
  <si>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</si>
  <si>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</si>
  <si>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</si>
  <si>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</si>
  <si>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</si>
  <si>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</si>
  <si>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</si>
  <si>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</si>
  <si>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</si>
  <si>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</si>
  <si>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</si>
  <si>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</si>
  <si>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</si>
  <si>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</si>
  <si>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</si>
  <si>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</si>
  <si>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</si>
  <si>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</si>
  <si>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</si>
  <si>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</si>
  <si>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</si>
  <si>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</si>
  <si>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</si>
  <si>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</si>
  <si>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</si>
  <si>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</si>
  <si>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</si>
  <si>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</si>
  <si>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</si>
  <si>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</si>
  <si>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</si>
  <si>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</si>
  <si>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</si>
  <si>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</si>
  <si>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</si>
  <si>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</si>
  <si>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</si>
  <si>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</si>
  <si>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</si>
  <si>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</si>
  <si>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</si>
  <si>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</si>
  <si>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</si>
  <si>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</si>
  <si>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</si>
  <si>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</si>
  <si>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</si>
  <si>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</si>
  <si>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</si>
  <si>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</si>
  <si>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</si>
  <si>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</si>
  <si>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</si>
  <si>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</si>
  <si>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</si>
  <si>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</si>
  <si>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</si>
  <si>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</si>
  <si>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</si>
  <si>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</si>
  <si>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</si>
  <si>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</si>
  <si>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</si>
  <si>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</si>
  <si>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</si>
  <si>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</si>
  <si>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</si>
  <si>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</si>
  <si>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</si>
  <si>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</si>
  <si>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</si>
  <si>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</si>
  <si>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</si>
  <si>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</si>
  <si>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</si>
  <si>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</si>
  <si>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</si>
  <si>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</si>
  <si>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</si>
  <si>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</si>
  <si>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</si>
  <si>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</si>
  <si>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</si>
  <si>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</si>
  <si>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</si>
  <si>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</si>
  <si>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</si>
  <si>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</si>
  <si>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</si>
  <si>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</si>
  <si>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</si>
  <si>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</si>
  <si>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</si>
  <si>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</si>
  <si>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</si>
  <si>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</si>
  <si>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</si>
  <si>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</si>
  <si>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</si>
  <si>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</si>
  <si>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</si>
  <si>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</si>
  <si>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</si>
  <si>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</si>
  <si>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</si>
  <si>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</si>
  <si>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</si>
  <si>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</si>
  <si>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</si>
  <si>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</si>
  <si>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</si>
  <si>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</si>
  <si>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</si>
  <si>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</si>
  <si>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</si>
  <si>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</si>
  <si>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</si>
  <si>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</si>
  <si>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</si>
  <si>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</si>
  <si>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</si>
  <si>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</si>
  <si>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</si>
  <si>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</si>
  <si>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</si>
  <si>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</si>
  <si>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</si>
  <si>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</si>
  <si>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</si>
  <si>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</si>
  <si>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</si>
  <si>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</si>
  <si>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</si>
  <si>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</si>
  <si>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</si>
  <si>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</si>
  <si>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</si>
  <si>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</si>
  <si>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</si>
  <si>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</si>
  <si>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</si>
  <si>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</si>
  <si>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</si>
  <si>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</si>
  <si>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</si>
  <si>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</si>
  <si>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</si>
  <si>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</si>
  <si>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</si>
  <si>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</si>
  <si>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</si>
  <si>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</si>
  <si>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</si>
  <si>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</si>
  <si>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</si>
  <si>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</si>
  <si>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</si>
  <si>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</si>
  <si>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</si>
  <si>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</si>
  <si>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</si>
  <si>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</si>
  <si>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</si>
  <si>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</si>
  <si>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</si>
  <si>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</si>
  <si>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</si>
  <si>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</si>
  <si>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</si>
  <si>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</si>
  <si>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</si>
  <si>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</si>
  <si>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</si>
  <si>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</si>
  <si>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</si>
  <si>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</si>
  <si>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</si>
  <si>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</si>
  <si>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</si>
  <si>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</si>
  <si>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</si>
  <si>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</si>
  <si>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</si>
  <si>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</si>
  <si>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</si>
  <si>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</si>
  <si>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</si>
  <si>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</si>
  <si>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</si>
  <si>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</si>
  <si>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</si>
  <si>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</si>
  <si>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</si>
  <si>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</si>
  <si>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</si>
  <si>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</si>
  <si>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</si>
  <si>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</si>
  <si>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</si>
  <si>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</si>
  <si>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</si>
  <si>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</si>
  <si>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</si>
  <si>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</si>
  <si>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</si>
  <si>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</si>
  <si>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</si>
  <si>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</si>
  <si>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</si>
  <si>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</si>
  <si>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</si>
  <si>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</si>
  <si>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</si>
  <si>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</si>
  <si>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</si>
  <si>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</si>
  <si>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</si>
  <si>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</si>
  <si>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</si>
  <si>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</si>
  <si>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</si>
  <si>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</si>
  <si>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</si>
  <si>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</si>
  <si>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</si>
  <si>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</si>
  <si>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</si>
  <si>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</si>
  <si>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</si>
  <si>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</si>
  <si>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</si>
  <si>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</si>
  <si>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</si>
  <si>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</si>
  <si>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</si>
  <si>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</si>
  <si>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</si>
  <si>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</si>
  <si>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</si>
  <si>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</si>
  <si>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</si>
  <si>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</si>
  <si>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</si>
  <si>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</si>
  <si>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</si>
  <si>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</si>
  <si>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</si>
  <si>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</si>
  <si>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</si>
  <si>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</si>
  <si>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</si>
  <si>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</si>
  <si>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</si>
  <si>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</si>
  <si>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</si>
  <si>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</si>
  <si>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</si>
  <si>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</si>
  <si>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</si>
  <si>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</si>
  <si>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</si>
  <si>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</si>
  <si>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</si>
  <si>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</si>
  <si>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</si>
  <si>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</si>
  <si>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</si>
  <si>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</si>
  <si>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</si>
  <si>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</si>
  <si>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</si>
  <si>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</si>
  <si>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</si>
  <si>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</si>
  <si>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</si>
  <si>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</si>
  <si>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</si>
  <si>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</si>
  <si>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</si>
  <si>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</si>
  <si>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</si>
  <si>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</si>
  <si>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</si>
  <si>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</si>
  <si>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</si>
  <si>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</si>
  <si>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</si>
  <si>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</si>
  <si>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</si>
  <si>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</si>
  <si>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</si>
  <si>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</si>
  <si>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</si>
  <si>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</si>
  <si>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</si>
  <si>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</si>
  <si>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</si>
  <si>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</si>
  <si>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</si>
  <si>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</si>
  <si>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</si>
  <si>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</si>
  <si>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</si>
  <si>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</si>
  <si>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</si>
  <si>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</si>
  <si>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</si>
  <si>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</si>
  <si>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</si>
  <si>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</si>
  <si>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</si>
  <si>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</si>
  <si>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</si>
  <si>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</si>
  <si>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</si>
  <si>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</si>
  <si>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</si>
  <si>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</si>
  <si>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</si>
  <si>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</si>
  <si>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</si>
  <si>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</si>
  <si>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</si>
  <si>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</si>
  <si>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</si>
  <si>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</si>
  <si>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</si>
  <si>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</si>
  <si>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</si>
  <si>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</si>
  <si>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</si>
  <si>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</si>
  <si>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</si>
  <si>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</si>
  <si>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</si>
  <si>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</si>
  <si>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</si>
  <si>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</si>
  <si>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</si>
  <si>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</si>
  <si>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</si>
  <si>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</si>
  <si>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</si>
  <si>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</si>
  <si>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</si>
  <si>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</si>
  <si>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</si>
  <si>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</si>
  <si>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</si>
  <si>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</si>
  <si>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</si>
  <si>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</si>
  <si>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</si>
  <si>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</si>
  <si>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</si>
  <si>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</si>
  <si>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</si>
  <si>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</si>
  <si>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</si>
  <si>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</si>
  <si>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</si>
  <si>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</si>
  <si>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</si>
  <si>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</si>
  <si>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</si>
  <si>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</si>
  <si>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</si>
  <si>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</si>
  <si>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</si>
  <si>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</si>
  <si>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</si>
  <si>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</si>
  <si>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</si>
  <si>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</si>
  <si>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</si>
  <si>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</si>
  <si>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</si>
  <si>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</si>
  <si>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</si>
  <si>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</si>
  <si>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</si>
  <si>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</si>
  <si>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</si>
  <si>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</si>
  <si>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</si>
  <si>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</si>
  <si>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</si>
  <si>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</si>
  <si>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</si>
  <si>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</si>
  <si>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</si>
  <si>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</si>
  <si>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</si>
  <si>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</si>
  <si>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</si>
  <si>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</si>
  <si>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</si>
  <si>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</si>
  <si>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</si>
  <si>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</si>
  <si>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</si>
  <si>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</si>
  <si>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</si>
  <si>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</si>
  <si>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</si>
  <si>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</si>
  <si>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</si>
  <si>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</si>
  <si>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</si>
  <si>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</si>
  <si>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</si>
  <si>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</si>
  <si>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</si>
  <si>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</si>
  <si>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</si>
  <si>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</si>
  <si>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</si>
  <si>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</si>
  <si>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</si>
  <si>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</si>
  <si>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</si>
  <si>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</si>
  <si>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</si>
  <si>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</si>
  <si>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</si>
  <si>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</si>
  <si>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</si>
  <si>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</si>
  <si>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</si>
  <si>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</si>
  <si>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</si>
  <si>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</si>
  <si>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</si>
  <si>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</si>
  <si>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</si>
  <si>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</si>
  <si>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</si>
  <si>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</si>
  <si>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</si>
  <si>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</si>
  <si>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</si>
  <si>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</si>
  <si>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</si>
  <si>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</si>
  <si>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</si>
  <si>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</si>
  <si>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</si>
  <si>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</si>
  <si>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</si>
  <si>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</si>
  <si>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</si>
  <si>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</si>
  <si>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</si>
  <si>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</si>
  <si>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</si>
  <si>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</si>
  <si>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</si>
  <si>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</si>
  <si>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</si>
  <si>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</si>
  <si>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</si>
  <si>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</si>
  <si>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</si>
  <si>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</si>
  <si>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</si>
  <si>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</si>
  <si>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</si>
  <si>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</si>
  <si>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</si>
  <si>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</si>
  <si>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</si>
  <si>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</si>
  <si>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</si>
  <si>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</si>
  <si>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</si>
  <si>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</si>
  <si>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</si>
  <si>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</si>
  <si>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</si>
  <si>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</si>
  <si>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</si>
  <si>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</si>
  <si>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</si>
  <si>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</si>
  <si>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</si>
  <si>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</si>
  <si>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</si>
  <si>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</si>
  <si>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</si>
  <si>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</si>
  <si>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</si>
  <si>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</si>
  <si>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</si>
  <si>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</si>
  <si>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</si>
  <si>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</si>
  <si>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</si>
  <si>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</si>
  <si>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</si>
  <si>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</si>
  <si>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</si>
  <si>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</si>
  <si>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</si>
  <si>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</si>
  <si>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</si>
  <si>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</si>
  <si>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</si>
  <si>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</si>
  <si>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</si>
  <si>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</si>
  <si>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</si>
  <si>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</si>
  <si>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</si>
  <si>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</si>
  <si>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</si>
  <si>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</si>
  <si>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</si>
  <si>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</si>
  <si>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</si>
  <si>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</si>
  <si>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</si>
  <si>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</si>
  <si>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</si>
  <si>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</si>
  <si>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</si>
  <si>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</si>
  <si>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</si>
  <si>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</si>
  <si>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</si>
  <si>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</si>
  <si>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</si>
  <si>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</si>
  <si>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</si>
  <si>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</si>
  <si>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</si>
  <si>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</si>
  <si>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</si>
  <si>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</si>
  <si>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</si>
  <si>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</si>
  <si>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</si>
  <si>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</si>
  <si>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</si>
  <si>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</si>
  <si>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</si>
  <si>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</si>
  <si>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</si>
  <si>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</si>
  <si>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</si>
  <si>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</si>
  <si>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</si>
  <si>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</si>
  <si>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</si>
  <si>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</si>
  <si>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</si>
  <si>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</si>
  <si>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</si>
  <si>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</si>
  <si>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</si>
  <si>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</si>
  <si>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</si>
  <si>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</si>
  <si>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</si>
  <si>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</si>
  <si>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</si>
  <si>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</si>
  <si>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</si>
  <si>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</si>
  <si>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</si>
  <si>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</si>
  <si>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</si>
  <si>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</si>
  <si>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</si>
  <si>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</si>
  <si>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</si>
  <si>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</si>
  <si>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</si>
  <si>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</si>
  <si>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</si>
  <si>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</si>
  <si>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</si>
  <si>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</si>
  <si>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</si>
  <si>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</si>
  <si>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</si>
  <si>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</si>
  <si>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</si>
  <si>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</si>
  <si>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</si>
  <si>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</si>
  <si>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</si>
  <si>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</si>
  <si>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</si>
  <si>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</si>
  <si>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</si>
  <si>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</si>
  <si>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</si>
  <si>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</si>
  <si>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</si>
  <si>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</si>
  <si>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</si>
  <si>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</si>
  <si>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</si>
  <si>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</si>
  <si>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</si>
  <si>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</si>
  <si>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</si>
  <si>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</si>
  <si>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</si>
  <si>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</si>
  <si>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</si>
  <si>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</si>
  <si>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</si>
  <si>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</si>
  <si>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</si>
  <si>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</si>
  <si>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</si>
  <si>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</si>
  <si>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</si>
  <si>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</si>
  <si>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</si>
  <si>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</si>
  <si>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</si>
  <si>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</si>
  <si>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</si>
  <si>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</si>
  <si>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</si>
  <si>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</si>
  <si>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</si>
  <si>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</si>
  <si>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</si>
  <si>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</si>
  <si>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</si>
  <si>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</si>
  <si>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</si>
  <si>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</si>
  <si>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</si>
  <si>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</si>
  <si>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</si>
  <si>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</si>
  <si>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</si>
  <si>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</si>
  <si>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</si>
  <si>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</si>
  <si>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</si>
  <si>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</si>
  <si>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</si>
  <si>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</si>
  <si>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</si>
  <si>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</si>
  <si>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</si>
  <si>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</si>
  <si>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</si>
  <si>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</si>
  <si>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</si>
  <si>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</si>
  <si>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</si>
  <si>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</si>
  <si>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</si>
  <si>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</si>
  <si>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</si>
  <si>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</si>
  <si>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</si>
  <si>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</si>
  <si>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</si>
  <si>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</si>
  <si>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</si>
  <si>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</si>
  <si>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</si>
  <si>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</si>
  <si>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</si>
  <si>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</si>
  <si>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</si>
  <si>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</si>
  <si>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</si>
  <si>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</si>
  <si>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</si>
  <si>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</si>
  <si>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</si>
  <si>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</si>
  <si>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</si>
  <si>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</si>
  <si>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</si>
  <si>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</si>
  <si>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</si>
  <si>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</si>
  <si>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</si>
  <si>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</si>
  <si>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</si>
  <si>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</si>
  <si>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</si>
  <si>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</si>
  <si>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</si>
  <si>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</si>
  <si>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</si>
  <si>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</si>
  <si>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</si>
  <si>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</si>
  <si>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</si>
  <si>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</si>
  <si>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</si>
  <si>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</si>
  <si>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</si>
  <si>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</si>
  <si>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</si>
  <si>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</si>
  <si>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</si>
  <si>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</si>
  <si>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</si>
  <si>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</si>
  <si>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</si>
  <si>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</si>
  <si>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</si>
  <si>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</si>
  <si>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</si>
  <si>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</si>
  <si>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</si>
  <si>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</si>
  <si>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</si>
  <si>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</si>
  <si>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</si>
  <si>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</si>
  <si>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</si>
  <si>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</si>
  <si>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</si>
  <si>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</si>
  <si>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</si>
  <si>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</si>
  <si>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</si>
  <si>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</si>
  <si>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</si>
  <si>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</si>
  <si>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</si>
  <si>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</si>
  <si>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</si>
  <si>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</si>
  <si>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</si>
  <si>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</si>
  <si>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</si>
  <si>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</si>
  <si>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</si>
  <si>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</si>
  <si>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</si>
  <si>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</si>
  <si>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</si>
  <si>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</si>
  <si>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</si>
  <si>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</si>
  <si>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</si>
  <si>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</si>
  <si>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</si>
  <si>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</si>
  <si>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</si>
  <si>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</si>
  <si>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</si>
  <si>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</si>
  <si>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</si>
  <si>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</si>
  <si>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</si>
  <si>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</si>
  <si>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</si>
  <si>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</si>
  <si>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</si>
  <si>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</si>
  <si>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</si>
  <si>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</si>
  <si>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</si>
  <si>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</si>
  <si>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</si>
  <si>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</si>
  <si>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</si>
  <si>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</si>
  <si>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</si>
  <si>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</si>
  <si>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</si>
  <si>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</si>
  <si>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</si>
  <si>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</si>
  <si>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</si>
  <si>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</si>
  <si>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</si>
  <si>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</si>
  <si>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</si>
  <si>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</si>
  <si>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</si>
  <si>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</si>
  <si>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</si>
  <si>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</si>
  <si>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</si>
  <si>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</si>
  <si>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</si>
  <si>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</si>
  <si>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</si>
  <si>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</si>
  <si>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</si>
  <si>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</si>
  <si>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</si>
  <si>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</si>
  <si>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</si>
  <si>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</si>
  <si>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</si>
  <si>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</si>
  <si>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</si>
  <si>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</si>
  <si>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</si>
  <si>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</si>
  <si>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</si>
  <si>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</si>
  <si>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</si>
  <si>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</si>
  <si>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</si>
  <si>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</si>
  <si>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</si>
  <si>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</si>
  <si>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</si>
  <si>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</si>
  <si>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</si>
  <si>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</si>
  <si>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</si>
  <si>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</si>
  <si>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</si>
  <si>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</si>
  <si>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</si>
  <si>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</si>
  <si>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</si>
  <si>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</si>
  <si>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</si>
  <si>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</si>
  <si>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</si>
  <si>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</si>
  <si>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</si>
  <si>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</si>
  <si>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</si>
  <si>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</si>
  <si>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</si>
  <si>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</si>
  <si>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</si>
  <si>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</si>
  <si>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</si>
  <si>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</si>
  <si>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</si>
  <si>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</si>
  <si>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</si>
  <si>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</si>
  <si>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</si>
  <si>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</si>
  <si>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</si>
  <si>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</si>
  <si>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</si>
  <si>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</si>
  <si>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</si>
  <si>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</si>
  <si>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</si>
  <si>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</si>
  <si>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</si>
  <si>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</si>
  <si>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</si>
  <si>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</si>
  <si>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</si>
  <si>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</si>
  <si>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</si>
  <si>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</si>
  <si>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</si>
  <si>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</si>
  <si>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</si>
  <si>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</si>
  <si>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</si>
  <si>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</si>
  <si>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</si>
  <si>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</si>
  <si>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</si>
  <si>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</si>
  <si>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</si>
  <si>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</si>
  <si>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</si>
  <si>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</si>
  <si>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</si>
  <si>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</si>
  <si>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</si>
  <si>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</si>
  <si>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</si>
  <si>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</si>
  <si>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</si>
  <si>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</si>
  <si>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</si>
  <si>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</si>
  <si>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</si>
  <si>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</si>
  <si>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</si>
  <si>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</si>
  <si>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</si>
  <si>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</si>
  <si>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</si>
  <si>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</si>
  <si>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</si>
  <si>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</si>
  <si>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</si>
  <si>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</si>
  <si>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</si>
  <si>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</si>
  <si>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</si>
  <si>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</si>
  <si>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</si>
  <si>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</si>
  <si>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</si>
  <si>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</si>
  <si>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</si>
  <si>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</si>
  <si>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</si>
  <si>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</si>
  <si>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</si>
  <si>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</si>
  <si>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</si>
  <si>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</si>
  <si>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</si>
  <si>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</si>
  <si>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</si>
  <si>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</si>
  <si>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</si>
  <si>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</si>
  <si>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</si>
  <si>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</si>
  <si>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</si>
  <si>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</si>
  <si>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</si>
  <si>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</si>
  <si>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</si>
  <si>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</si>
  <si>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</si>
  <si>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</si>
  <si>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</si>
  <si>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</si>
  <si>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</si>
  <si>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</si>
  <si>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</si>
  <si>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</si>
  <si>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</si>
  <si>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</si>
  <si>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</si>
  <si>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</si>
  <si>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</si>
  <si>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</si>
  <si>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</si>
  <si>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</si>
  <si>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</si>
  <si>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</si>
  <si>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</si>
  <si>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</si>
  <si>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</si>
  <si>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</si>
  <si>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</si>
  <si>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</si>
  <si>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</si>
  <si>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</si>
  <si>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</si>
  <si>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</si>
  <si>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</si>
  <si>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</si>
  <si>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</si>
  <si>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</si>
  <si>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</si>
  <si>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</si>
  <si>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</si>
  <si>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</si>
  <si>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</si>
  <si>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</si>
  <si>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</si>
  <si>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</si>
  <si>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</si>
  <si>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</si>
  <si>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</si>
  <si>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</si>
  <si>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</si>
  <si>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</si>
  <si>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</si>
  <si>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</si>
  <si>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</si>
  <si>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</si>
  <si>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</si>
  <si>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</si>
  <si>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</si>
  <si>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</si>
  <si>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</si>
  <si>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</si>
  <si>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</si>
  <si>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</si>
  <si>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</si>
  <si>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</si>
  <si>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</si>
  <si>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</si>
  <si>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</si>
  <si>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</si>
  <si>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</si>
  <si>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</si>
  <si>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</si>
  <si>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</si>
  <si>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</si>
  <si>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</si>
  <si>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</si>
  <si>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</si>
  <si>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</si>
  <si>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</si>
  <si>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</si>
  <si>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</si>
  <si>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</si>
  <si>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</si>
  <si>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</si>
  <si>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</si>
  <si>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</si>
  <si>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</si>
  <si>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</si>
  <si>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</si>
  <si>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</si>
  <si>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</si>
  <si>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</si>
  <si>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</si>
  <si>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</si>
  <si>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</si>
  <si>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</si>
  <si>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</si>
  <si>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</si>
  <si>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</si>
  <si>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</si>
  <si>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</si>
  <si>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</si>
  <si>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</si>
  <si>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</si>
  <si>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</si>
  <si>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</si>
  <si>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</si>
  <si>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</si>
  <si>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</si>
  <si>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</si>
  <si>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</si>
  <si>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</si>
  <si>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</si>
  <si>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</si>
  <si>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</si>
  <si>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</si>
  <si>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</si>
  <si>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</si>
  <si>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</si>
  <si>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</si>
  <si>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</si>
  <si>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</si>
  <si>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</si>
  <si>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</si>
  <si>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</si>
  <si>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</si>
  <si>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</si>
  <si>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</si>
  <si>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</si>
  <si>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</si>
  <si>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</si>
  <si>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</si>
  <si>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</si>
  <si>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</si>
  <si>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</si>
  <si>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</si>
  <si>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</si>
  <si>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</si>
  <si>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</si>
  <si>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</si>
  <si>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</si>
  <si>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</si>
  <si>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</si>
  <si>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</si>
  <si>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</si>
  <si>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</si>
  <si>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</si>
  <si>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</si>
  <si>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</si>
  <si>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</si>
  <si>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</si>
  <si>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</si>
  <si>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</si>
  <si>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</si>
  <si>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</si>
  <si>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</si>
  <si>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</si>
  <si>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</si>
  <si>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</si>
  <si>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</si>
  <si>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</si>
  <si>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</si>
  <si>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</si>
  <si>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</si>
  <si>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</si>
  <si>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</si>
  <si>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</si>
  <si>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</si>
  <si>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</si>
  <si>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</si>
  <si>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</si>
  <si>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</si>
  <si>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</si>
  <si>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</si>
  <si>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</si>
  <si>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</si>
  <si>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</si>
  <si>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</si>
  <si>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</si>
  <si>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</si>
  <si>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</si>
  <si>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</si>
  <si>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</si>
  <si>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</si>
  <si>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</si>
  <si>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</si>
  <si>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</si>
  <si>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</si>
  <si>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</si>
  <si>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</si>
  <si>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</si>
  <si>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</si>
  <si>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</si>
  <si>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</si>
  <si>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</si>
  <si>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</si>
  <si>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</si>
  <si>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</si>
  <si>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</si>
  <si>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</si>
  <si>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</si>
  <si>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</si>
  <si>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</si>
  <si>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</si>
  <si>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</si>
  <si>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</si>
  <si>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</si>
  <si>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</si>
  <si>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</si>
  <si>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</si>
  <si>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</si>
  <si>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</si>
  <si>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</si>
  <si>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</si>
  <si>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</si>
  <si>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</si>
  <si>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</si>
  <si>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</si>
  <si>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</si>
  <si>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</si>
  <si>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</si>
  <si>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</si>
  <si>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</si>
  <si>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</si>
  <si>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</si>
  <si>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</si>
  <si>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</si>
  <si>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</si>
  <si>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</si>
  <si>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</si>
  <si>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</si>
  <si>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</si>
  <si>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</si>
  <si>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</si>
  <si>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</si>
  <si>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</si>
  <si>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</si>
  <si>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</si>
  <si>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</si>
  <si>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</si>
  <si>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</si>
  <si>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</si>
  <si>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</si>
  <si>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</si>
  <si>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</si>
  <si>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</si>
  <si>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</si>
  <si>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</si>
  <si>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</si>
  <si>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</si>
  <si>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</si>
  <si>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</si>
  <si>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</si>
  <si>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</si>
  <si>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</si>
  <si>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</si>
  <si>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</si>
  <si>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</si>
  <si>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</si>
  <si>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</si>
  <si>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</si>
  <si>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</si>
  <si>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</si>
  <si>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</si>
  <si>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</si>
  <si>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</si>
  <si>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</si>
  <si>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</si>
  <si>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</si>
  <si>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</si>
  <si>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</si>
  <si>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</si>
  <si>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</si>
  <si>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</si>
  <si>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</si>
  <si>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</si>
  <si>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</si>
  <si>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</si>
  <si>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</si>
  <si>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</si>
  <si>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</si>
  <si>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</si>
  <si>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</si>
  <si>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</si>
  <si>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</si>
  <si>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</si>
  <si>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</si>
  <si>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</si>
  <si>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</si>
  <si>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</si>
  <si>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</si>
  <si>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</si>
  <si>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</si>
  <si>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</si>
  <si>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</si>
  <si>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</si>
  <si>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</si>
  <si>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</si>
  <si>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</si>
  <si>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</si>
  <si>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</si>
  <si>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</si>
  <si>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</si>
  <si>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</si>
  <si>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</si>
  <si>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</si>
  <si>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</si>
  <si>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</si>
  <si>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</si>
  <si>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</si>
  <si>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</si>
  <si>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</si>
  <si>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</si>
  <si>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</si>
  <si>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</si>
  <si>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</si>
  <si>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</si>
  <si>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</si>
  <si>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</si>
  <si>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</si>
  <si>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</si>
  <si>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</si>
  <si>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</si>
  <si>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</si>
  <si>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</si>
  <si>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</si>
  <si>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</si>
  <si>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</si>
  <si>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</si>
  <si>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</si>
  <si>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</si>
  <si>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</si>
  <si>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</si>
  <si>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</si>
  <si>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</si>
  <si>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</si>
  <si>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</si>
  <si>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</si>
  <si>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</si>
  <si>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</si>
  <si>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</si>
  <si>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</si>
  <si>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</si>
  <si>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</si>
  <si>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</si>
  <si>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</si>
  <si>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</si>
  <si>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</si>
  <si>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</si>
  <si>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</si>
  <si>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</si>
  <si>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</si>
  <si>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</si>
  <si>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</si>
  <si>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</si>
  <si>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</si>
  <si>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</si>
  <si>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</si>
  <si>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</si>
  <si>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</si>
  <si>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</si>
  <si>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</si>
  <si>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</si>
  <si>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</si>
  <si>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</si>
  <si>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</si>
  <si>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</si>
  <si>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</si>
  <si>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</si>
  <si>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</si>
  <si>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</si>
  <si>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</si>
  <si>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</si>
  <si>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</si>
  <si>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</si>
  <si>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</si>
  <si>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</si>
  <si>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</si>
  <si>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</si>
  <si>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</si>
  <si>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</si>
  <si>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</si>
  <si>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</si>
  <si>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</si>
  <si>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</si>
  <si>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</si>
  <si>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</si>
  <si>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</si>
  <si>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</si>
  <si>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</si>
  <si>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</si>
  <si>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</si>
  <si>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</si>
  <si>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</si>
  <si>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</si>
  <si>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</si>
  <si>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</si>
  <si>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</si>
  <si>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</si>
  <si>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</si>
  <si>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</si>
  <si>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</si>
  <si>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</si>
  <si>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</si>
  <si>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</si>
  <si>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</si>
  <si>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</si>
  <si>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</si>
  <si>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</si>
  <si>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</si>
  <si>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</si>
  <si>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</si>
  <si>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</si>
  <si>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</si>
  <si>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</si>
  <si>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</si>
  <si>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</si>
  <si>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</si>
  <si>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</si>
  <si>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</si>
  <si>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</si>
  <si>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</si>
  <si>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</si>
  <si>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</si>
  <si>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</si>
  <si>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</si>
  <si>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</si>
  <si>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</si>
  <si>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</si>
  <si>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</si>
  <si>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</si>
  <si>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</si>
  <si>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</si>
  <si>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</si>
  <si>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</si>
  <si>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</si>
  <si>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</si>
  <si>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</si>
  <si>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</si>
  <si>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</si>
  <si>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</si>
  <si>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</si>
  <si>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</si>
  <si>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</si>
  <si>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</si>
  <si>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</si>
  <si>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</si>
  <si>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</si>
  <si>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</si>
  <si>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</si>
  <si>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</si>
  <si>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</si>
  <si>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</si>
  <si>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</si>
  <si>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</si>
  <si>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</si>
  <si>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</si>
  <si>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</si>
  <si>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</si>
  <si>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</si>
  <si>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</si>
  <si>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</si>
  <si>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</si>
  <si>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</si>
  <si>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</si>
  <si>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</si>
  <si>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</si>
  <si>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</si>
  <si>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</si>
  <si>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</si>
  <si>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</si>
  <si>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</si>
  <si>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</si>
  <si>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</si>
  <si>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</si>
  <si>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</si>
  <si>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</si>
  <si>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</si>
  <si>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</si>
  <si>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</si>
  <si>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</si>
  <si>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</si>
  <si>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</si>
  <si>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</si>
  <si>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</si>
  <si>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</si>
  <si>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</si>
  <si>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</si>
  <si>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</si>
  <si>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</si>
  <si>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</si>
  <si>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</si>
  <si>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</si>
  <si>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</si>
  <si>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</si>
  <si>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</si>
  <si>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</si>
  <si>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</si>
  <si>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</si>
  <si>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</si>
  <si>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</si>
  <si>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</si>
  <si>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</si>
  <si>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</si>
  <si>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</si>
  <si>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</si>
  <si>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</si>
  <si>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</si>
  <si>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</si>
  <si>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</si>
  <si>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</si>
  <si>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</si>
  <si>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</si>
  <si>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</si>
  <si>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</si>
  <si>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</si>
  <si>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</si>
  <si>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</si>
  <si>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</si>
  <si>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</si>
  <si>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</si>
  <si>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</si>
  <si>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</si>
  <si>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</si>
  <si>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</si>
  <si>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</si>
  <si>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</si>
  <si>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</si>
  <si>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</si>
  <si>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</si>
  <si>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</si>
  <si>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</si>
  <si>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</si>
  <si>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</si>
  <si>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</si>
  <si>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</si>
  <si>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</si>
  <si>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</si>
  <si>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</si>
  <si>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</si>
  <si>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</si>
  <si>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</si>
  <si>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</si>
  <si>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</si>
  <si>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</si>
  <si>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</si>
  <si>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</si>
  <si>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</si>
  <si>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</si>
  <si>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</si>
  <si>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</si>
  <si>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</si>
  <si>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</si>
  <si>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</si>
  <si>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</si>
  <si>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</si>
  <si>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</si>
  <si>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</si>
  <si>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</si>
  <si>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</si>
  <si>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</si>
  <si>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</si>
  <si>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</si>
  <si>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</si>
  <si>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</si>
  <si>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</si>
  <si>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</si>
  <si>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</si>
  <si>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</si>
  <si>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</si>
  <si>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</si>
  <si>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</si>
  <si>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</si>
  <si>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</si>
  <si>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</si>
  <si>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</si>
  <si>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</si>
  <si>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</si>
  <si>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</si>
  <si>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</si>
  <si>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</si>
  <si>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</si>
  <si>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</si>
  <si>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</si>
  <si>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</si>
  <si>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</si>
  <si>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</si>
  <si>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</si>
  <si>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</si>
  <si>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</si>
  <si>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</si>
  <si>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</si>
  <si>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</si>
  <si>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</si>
  <si>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</si>
  <si>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</si>
  <si>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</si>
  <si>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</si>
  <si>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</si>
  <si>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</si>
  <si>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</si>
  <si>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</si>
  <si>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</si>
  <si>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</si>
  <si>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</si>
  <si>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</si>
  <si>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</si>
  <si>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</si>
  <si>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</si>
  <si>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</si>
  <si>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</si>
  <si>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</si>
  <si>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</si>
  <si>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</si>
  <si>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</si>
  <si>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</si>
  <si>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</si>
  <si>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</si>
  <si>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</si>
  <si>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</si>
  <si>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</si>
  <si>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</si>
  <si>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</si>
  <si>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</si>
  <si>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</si>
  <si>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</si>
  <si>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</si>
  <si>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</si>
  <si>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</si>
  <si>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</si>
  <si>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</si>
  <si>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</si>
  <si>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</si>
  <si>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</si>
  <si>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</si>
  <si>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</si>
  <si>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</si>
  <si>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</si>
  <si>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</si>
  <si>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</si>
  <si>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</si>
  <si>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</si>
  <si>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</si>
  <si>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</si>
  <si>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</si>
  <si>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</si>
  <si>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</si>
  <si>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</si>
  <si>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</si>
  <si>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</si>
  <si>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</si>
  <si>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</si>
  <si>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</si>
  <si>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</si>
  <si>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</si>
  <si>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</si>
  <si>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</si>
  <si>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</si>
  <si>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</si>
  <si>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</si>
  <si>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</si>
  <si>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</si>
  <si>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</si>
  <si>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</si>
  <si>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</si>
  <si>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</si>
  <si>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</si>
  <si>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</si>
  <si>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</si>
  <si>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</si>
  <si>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</si>
  <si>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</si>
  <si>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</si>
  <si>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</si>
  <si>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</si>
  <si>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</si>
  <si>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</si>
  <si>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</si>
  <si>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</si>
  <si>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</si>
  <si>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</si>
  <si>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</si>
  <si>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</si>
  <si>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</si>
  <si>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</si>
  <si>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</si>
  <si>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</si>
  <si>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</si>
  <si>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</si>
  <si>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</si>
  <si>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</si>
  <si>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</si>
  <si>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</si>
  <si>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</si>
  <si>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</si>
  <si>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</si>
  <si>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</si>
  <si>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</si>
  <si>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</si>
  <si>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</si>
  <si>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</si>
  <si>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</si>
  <si>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</si>
  <si>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</si>
  <si>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</si>
  <si>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</si>
  <si>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</si>
  <si>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</si>
  <si>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</si>
  <si>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</si>
  <si>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</si>
  <si>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</si>
  <si>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</si>
  <si>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</si>
  <si>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</si>
  <si>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</si>
  <si>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</si>
  <si>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</si>
  <si>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</si>
  <si>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</si>
  <si>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</si>
  <si>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</si>
  <si>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</si>
  <si>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</si>
  <si>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</si>
  <si>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</si>
  <si>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</si>
  <si>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</si>
  <si>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</si>
  <si>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</si>
  <si>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</si>
  <si>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</si>
  <si>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</si>
  <si>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</si>
  <si>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</si>
  <si>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</si>
  <si>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</si>
  <si>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</si>
  <si>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</si>
  <si>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</si>
  <si>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</si>
  <si>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</si>
  <si>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</si>
  <si>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</si>
  <si>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</si>
  <si>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</si>
  <si>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</si>
  <si>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</si>
  <si>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</si>
  <si>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</si>
  <si>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</si>
  <si>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</si>
  <si>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</si>
  <si>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</si>
  <si>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</si>
  <si>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</si>
  <si>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</si>
  <si>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</si>
  <si>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</si>
  <si>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</si>
  <si>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</si>
  <si>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</si>
  <si>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</si>
  <si>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</si>
  <si>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</si>
  <si>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</si>
  <si>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</si>
  <si>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</si>
  <si>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</si>
  <si>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</si>
  <si>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</si>
  <si>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</si>
  <si>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</si>
  <si>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</si>
  <si>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</si>
  <si>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</si>
  <si>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</si>
  <si>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</si>
  <si>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</si>
  <si>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</si>
  <si>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</si>
  <si>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</si>
  <si>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</si>
  <si>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</si>
  <si>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</si>
  <si>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</si>
  <si>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</si>
  <si>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</si>
  <si>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</si>
  <si>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</si>
  <si>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</si>
  <si>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</si>
  <si>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</si>
  <si>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</si>
  <si>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</si>
  <si>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</si>
  <si>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</si>
  <si>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</si>
  <si>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</si>
  <si>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</si>
  <si>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</si>
  <si>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</si>
  <si>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</si>
  <si>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</si>
  <si>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</si>
  <si>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</si>
  <si>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</si>
  <si>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</si>
  <si>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</si>
  <si>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</si>
  <si>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</si>
  <si>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</si>
  <si>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</si>
  <si>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</si>
  <si>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</si>
  <si>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</si>
  <si>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</si>
  <si>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</si>
  <si>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</si>
  <si>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</si>
  <si>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</si>
  <si>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</si>
  <si>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</si>
  <si>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</si>
  <si>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</si>
  <si>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</si>
  <si>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</si>
  <si>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</si>
  <si>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</si>
  <si>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</si>
  <si>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</si>
  <si>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</si>
  <si>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</si>
  <si>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</si>
  <si>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</si>
  <si>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</si>
  <si>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</si>
  <si>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</si>
  <si>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</si>
  <si>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</si>
  <si>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</si>
  <si>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</si>
  <si>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</si>
  <si>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</si>
  <si>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</si>
  <si>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</si>
  <si>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</si>
  <si>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</si>
  <si>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</si>
  <si>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</si>
  <si>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</si>
  <si>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</si>
  <si>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</si>
  <si>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</si>
  <si>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</si>
  <si>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</si>
  <si>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</si>
  <si>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</si>
  <si>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</si>
  <si>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</si>
  <si>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</si>
  <si>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</si>
  <si>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</si>
  <si>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</si>
  <si>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</si>
  <si>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</si>
  <si>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</si>
  <si>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</si>
  <si>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</si>
  <si>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</si>
  <si>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</si>
  <si>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</si>
  <si>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</si>
  <si>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</si>
  <si>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</si>
  <si>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</si>
  <si>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</si>
  <si>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</si>
  <si>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</si>
  <si>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</si>
  <si>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</si>
  <si>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</si>
  <si>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</si>
  <si>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</si>
  <si>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</si>
  <si>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</si>
  <si>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</si>
  <si>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</si>
  <si>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</si>
  <si>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</si>
  <si>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</si>
  <si>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</si>
  <si>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</si>
  <si>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</si>
  <si>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</si>
  <si>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</si>
  <si>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</si>
  <si>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</si>
  <si>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</si>
  <si>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</si>
  <si>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</si>
  <si>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</si>
  <si>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</si>
  <si>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</si>
  <si>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</si>
  <si>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</si>
  <si>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</si>
  <si>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</si>
  <si>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</si>
  <si>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</si>
  <si>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</si>
  <si>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</si>
  <si>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</si>
  <si>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</si>
  <si>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</si>
  <si>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</si>
  <si>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</si>
  <si>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</si>
  <si>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</si>
  <si>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</si>
  <si>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</si>
  <si>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</si>
  <si>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</si>
  <si>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</si>
  <si>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</si>
  <si>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</si>
  <si>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</si>
  <si>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</si>
  <si>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</si>
  <si>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</si>
  <si>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</si>
  <si>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</si>
  <si>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</si>
  <si>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</si>
  <si>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</si>
  <si>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</si>
  <si>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</si>
  <si>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</si>
  <si>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</si>
  <si>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</si>
  <si>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</si>
  <si>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</si>
  <si>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</si>
  <si>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</si>
  <si>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</si>
  <si>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</si>
  <si>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</si>
  <si>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</si>
  <si>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</si>
  <si>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</si>
  <si>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</si>
  <si>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</si>
  <si>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</si>
  <si>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</si>
  <si>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</si>
  <si>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</si>
  <si>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</si>
  <si>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</si>
  <si>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</si>
  <si>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</si>
  <si>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</si>
  <si>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</si>
  <si>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</si>
  <si>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</si>
  <si>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</si>
  <si>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</si>
  <si>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</si>
  <si>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</si>
  <si>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</si>
  <si>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</si>
  <si>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</si>
  <si>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</si>
  <si>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</si>
  <si>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</si>
  <si>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</si>
  <si>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</si>
  <si>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</si>
  <si>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</si>
  <si>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</si>
  <si>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</si>
  <si>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</si>
  <si>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</si>
  <si>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</si>
  <si>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</si>
  <si>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</si>
  <si>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</si>
  <si>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</si>
  <si>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</si>
  <si>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</si>
  <si>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</si>
  <si>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</si>
  <si>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</si>
  <si>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</si>
  <si>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</si>
  <si>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</si>
  <si>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</si>
  <si>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</si>
  <si>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</si>
  <si>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</si>
  <si>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</si>
  <si>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</si>
  <si>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</si>
  <si>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</si>
  <si>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</si>
  <si>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</si>
  <si>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</si>
  <si>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</si>
  <si>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</si>
  <si>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</si>
  <si>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</si>
  <si>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</si>
  <si>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</si>
  <si>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</si>
  <si>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</si>
  <si>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</si>
  <si>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</si>
  <si>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</si>
  <si>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</si>
  <si>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</si>
  <si>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</si>
  <si>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</si>
  <si>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</si>
  <si>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</si>
  <si>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</si>
  <si>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</si>
  <si>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</si>
  <si>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</si>
  <si>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</si>
  <si>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</si>
  <si>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</si>
  <si>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</si>
  <si>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</si>
  <si>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</si>
  <si>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</si>
  <si>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</si>
  <si>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</si>
  <si>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</si>
  <si>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</si>
  <si>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</si>
  <si>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</si>
  <si>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</si>
  <si>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</si>
  <si>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</si>
  <si>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</si>
  <si>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</si>
  <si>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</si>
  <si>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</si>
  <si>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</si>
  <si>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</si>
  <si>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</si>
  <si>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</si>
  <si>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</si>
  <si>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</si>
  <si>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</si>
  <si>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</si>
  <si>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</si>
  <si>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</si>
  <si>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</si>
  <si>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</si>
  <si>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</si>
  <si>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</si>
  <si>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</si>
  <si>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</si>
  <si>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</si>
  <si>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</si>
  <si>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</si>
  <si>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</si>
  <si>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</si>
  <si>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</si>
  <si>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</si>
  <si>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</si>
  <si>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</si>
  <si>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</si>
  <si>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</si>
  <si>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</si>
  <si>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</si>
  <si>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</si>
  <si>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</si>
  <si>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</si>
  <si>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</si>
  <si>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</si>
  <si>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</si>
  <si>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</si>
  <si>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</si>
  <si>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</si>
  <si>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</si>
  <si>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</si>
  <si>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</si>
  <si>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</si>
  <si>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</si>
  <si>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</si>
  <si>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</si>
  <si>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</si>
  <si>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</si>
  <si>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</si>
  <si>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</si>
  <si>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</si>
  <si>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</si>
  <si>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</si>
  <si>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</si>
  <si>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</si>
  <si>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</si>
  <si>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</si>
  <si>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</si>
  <si>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</si>
  <si>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</si>
  <si>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</si>
  <si>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</si>
  <si>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</si>
  <si>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</si>
  <si>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</si>
  <si>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</si>
  <si>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</si>
  <si>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</si>
  <si>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</si>
  <si>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</si>
  <si>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</si>
  <si>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</si>
  <si>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</si>
  <si>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</si>
  <si>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</si>
  <si>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</si>
  <si>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</si>
  <si>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</si>
  <si>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</si>
  <si>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</si>
  <si>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</si>
  <si>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</si>
  <si>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</si>
  <si>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</si>
  <si>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</si>
  <si>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</si>
  <si>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</si>
  <si>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</si>
  <si>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</si>
  <si>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</si>
  <si>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</si>
  <si>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</si>
  <si>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</si>
  <si>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</si>
  <si>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</si>
  <si>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</si>
  <si>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</si>
  <si>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</si>
  <si>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</si>
  <si>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</si>
  <si>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</si>
  <si>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</si>
  <si>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</si>
  <si>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</si>
  <si>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</si>
  <si>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</si>
  <si>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</si>
  <si>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</si>
  <si>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</si>
  <si>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</si>
  <si>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</si>
  <si>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</si>
  <si>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</si>
  <si>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</si>
  <si>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</si>
  <si>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</si>
  <si>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</si>
  <si>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</si>
  <si>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</si>
  <si>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</si>
  <si>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</si>
  <si>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</si>
  <si>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</si>
  <si>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</si>
  <si>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</si>
  <si>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</si>
  <si>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</si>
  <si>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</si>
  <si>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</si>
  <si>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</si>
  <si>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</si>
  <si>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</si>
  <si>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</si>
  <si>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</si>
  <si>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</si>
  <si>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</si>
  <si>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</si>
  <si>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</si>
  <si>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</si>
  <si>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</si>
  <si>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</si>
  <si>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</si>
  <si>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</si>
  <si>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</si>
  <si>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</si>
  <si>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</si>
  <si>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</si>
  <si>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</si>
  <si>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</si>
  <si>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</si>
  <si>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</si>
  <si>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</si>
  <si>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</si>
  <si>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</si>
  <si>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</si>
  <si>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</si>
  <si>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</si>
  <si>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</si>
  <si>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</si>
  <si>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</si>
  <si>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</si>
  <si>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</si>
  <si>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</si>
  <si>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</si>
  <si>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</si>
  <si>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</si>
  <si>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</si>
  <si>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</si>
  <si>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</si>
  <si>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</si>
  <si>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</si>
  <si>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</si>
  <si>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</si>
  <si>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</si>
  <si>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</si>
  <si>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</si>
  <si>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</si>
  <si>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</si>
  <si>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</si>
  <si>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</si>
  <si>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</si>
  <si>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</si>
  <si>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</si>
  <si>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</si>
  <si>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</si>
  <si>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</si>
  <si>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</si>
  <si>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</si>
  <si>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</si>
  <si>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</si>
  <si>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</si>
  <si>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</si>
  <si>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</si>
  <si>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</si>
  <si>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</si>
  <si>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</si>
  <si>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</si>
  <si>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</si>
  <si>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</si>
  <si>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</si>
  <si>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</si>
  <si>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</si>
  <si>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</si>
  <si>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</si>
  <si>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</si>
  <si>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</si>
  <si>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</si>
  <si>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</si>
  <si>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</si>
  <si>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</si>
  <si>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</si>
  <si>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</si>
  <si>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</si>
  <si>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</si>
  <si>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</si>
  <si>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</si>
  <si>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</si>
  <si>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</si>
  <si>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</si>
  <si>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</si>
  <si>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</si>
  <si>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</si>
  <si>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</si>
  <si>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</si>
  <si>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</si>
  <si>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</si>
  <si>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</si>
  <si>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</si>
  <si>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</si>
  <si>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</si>
  <si>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</si>
  <si>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</si>
  <si>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</si>
  <si>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</si>
  <si>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</si>
  <si>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</si>
  <si>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</si>
  <si>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</si>
  <si>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</si>
  <si>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</si>
  <si>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</si>
  <si>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</si>
  <si>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</si>
  <si>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</si>
  <si>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</si>
  <si>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</si>
  <si>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</si>
  <si>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</si>
  <si>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</si>
  <si>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</si>
  <si>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</si>
  <si>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</si>
  <si>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</si>
  <si>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</si>
  <si>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</si>
  <si>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</si>
  <si>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</si>
  <si>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</si>
  <si>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</si>
  <si>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</si>
  <si>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</si>
  <si>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</si>
  <si>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</si>
  <si>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</si>
  <si>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</si>
  <si>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</si>
  <si>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</si>
  <si>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</si>
  <si>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</si>
  <si>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</si>
  <si>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</si>
  <si>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</si>
  <si>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</si>
  <si>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</si>
  <si>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</si>
  <si>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</si>
  <si>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</si>
  <si>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</si>
  <si>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</si>
  <si>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</si>
  <si>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</si>
  <si>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</si>
  <si>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</si>
  <si>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</si>
  <si>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</si>
  <si>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</si>
  <si>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</si>
  <si>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</si>
  <si>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</si>
  <si>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</si>
  <si>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</si>
  <si>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</si>
  <si>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</si>
  <si>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</si>
  <si>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</si>
  <si>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</si>
  <si>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</si>
  <si>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</si>
  <si>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</si>
  <si>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</si>
  <si>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</si>
  <si>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</si>
  <si>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</si>
  <si>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</si>
  <si>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</si>
  <si>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</si>
  <si>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</si>
  <si>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</si>
  <si>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</si>
  <si>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</si>
  <si>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</si>
  <si>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</si>
  <si>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</si>
  <si>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</si>
  <si>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</si>
  <si>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</si>
  <si>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</si>
  <si>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</si>
  <si>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</si>
  <si>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</si>
  <si>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</si>
  <si>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</si>
  <si>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</si>
  <si>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</si>
  <si>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</si>
  <si>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</si>
  <si>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</si>
  <si>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</si>
  <si>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</si>
  <si>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</si>
  <si>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</si>
  <si>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</si>
  <si>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</si>
  <si>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</si>
  <si>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</si>
  <si>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</si>
  <si>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</si>
  <si>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</si>
  <si>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</si>
  <si>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</si>
  <si>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</si>
  <si>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</si>
  <si>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</si>
  <si>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</si>
  <si>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</si>
  <si>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</si>
  <si>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</si>
  <si>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</si>
  <si>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</si>
  <si>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</si>
  <si>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</si>
  <si>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</si>
  <si>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</si>
  <si>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</si>
  <si>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</si>
  <si>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</si>
  <si>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</si>
  <si>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</si>
  <si>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</si>
  <si>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</si>
  <si>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</si>
  <si>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</si>
  <si>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</si>
  <si>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</si>
  <si>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</si>
  <si>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</si>
  <si>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</si>
  <si>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</si>
  <si>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</si>
  <si>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</si>
  <si>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</si>
  <si>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</si>
  <si>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</si>
  <si>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</si>
  <si>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</si>
  <si>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</si>
  <si>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</si>
  <si>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</si>
  <si>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</si>
  <si>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</si>
  <si>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</si>
  <si>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</si>
  <si>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</si>
  <si>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</si>
  <si>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</si>
  <si>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</si>
  <si>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</si>
  <si>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</si>
  <si>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</si>
  <si>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</si>
  <si>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</si>
  <si>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</si>
  <si>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</si>
  <si>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</si>
  <si>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</si>
  <si>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</si>
  <si>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</si>
  <si>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</si>
  <si>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</si>
  <si>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</si>
  <si>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</si>
  <si>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</si>
  <si>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</si>
  <si>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</si>
  <si>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</si>
  <si>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</si>
  <si>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</si>
  <si>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</si>
  <si>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</si>
  <si>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</si>
  <si>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</si>
  <si>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</si>
  <si>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</si>
  <si>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</si>
  <si>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</si>
  <si>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</si>
  <si>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</si>
  <si>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</si>
  <si>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</si>
  <si>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</si>
  <si>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</si>
  <si>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</si>
  <si>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</si>
  <si>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</si>
  <si>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</si>
  <si>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</si>
  <si>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</si>
  <si>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</si>
  <si>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</si>
  <si>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</si>
  <si>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</si>
  <si>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</si>
  <si>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</si>
  <si>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</si>
  <si>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</si>
  <si>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</si>
  <si>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</si>
  <si>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</si>
  <si>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</si>
  <si>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</si>
  <si>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</si>
  <si>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</si>
  <si>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</si>
  <si>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</si>
  <si>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</si>
  <si>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</si>
  <si>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</si>
  <si>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</si>
  <si>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</si>
  <si>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</si>
  <si>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</si>
  <si>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</si>
  <si>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</si>
  <si>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</si>
  <si>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</si>
  <si>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</si>
  <si>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</si>
  <si>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</si>
  <si>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</si>
  <si>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</si>
  <si>
    <t>河北省财政厅、省地方税务局关于调整全省城镇土地使用税适用税额标准的通知</t>
    <phoneticPr fontId="3" type="noConversion"/>
  </si>
  <si>
    <t>地下</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</si>
</sst>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176" fontId="53" fillId="18" borderId="159"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5" borderId="1" xfId="12" applyFont="1" applyFill="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2-F02&#30005;&#31639;&#34920;-&#25151;&#22320;&#20135;-&#24503;&#32988;&#38376;&#39640;&#23572;&#22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2-F02&#30005;&#31639;&#34920;-&#25151;&#22320;&#20135;-&#27704;&#23450;&#38376;&#22823;&#23433;&#23546;-&#19981;&#21547;&#21830;&#19994;&#34903;-&#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cell r="I8" t="str">
            <v>0-10（含）</v>
          </cell>
        </row>
        <row r="9">
          <cell r="A9" t="str">
            <v>联排</v>
          </cell>
          <cell r="B9" t="str">
            <v>比较法-商业</v>
          </cell>
          <cell r="C9" t="str">
            <v>八级</v>
          </cell>
          <cell r="F9" t="str">
            <v>仓储</v>
          </cell>
          <cell r="H9"/>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row>
        <row r="19">
          <cell r="C19" t="str">
            <v>酒店及大水法</v>
          </cell>
        </row>
        <row r="20">
          <cell r="C20"/>
        </row>
        <row r="21">
          <cell r="C21"/>
        </row>
        <row r="22">
          <cell r="C22"/>
        </row>
        <row r="23">
          <cell r="C23"/>
        </row>
        <row r="24">
          <cell r="C24"/>
        </row>
        <row r="25">
          <cell r="C25"/>
        </row>
        <row r="26">
          <cell r="C26"/>
        </row>
      </sheetData>
      <sheetData sheetId="15">
        <row r="6">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商业</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比例适宜</v>
          </cell>
          <cell r="D120" t="str">
            <v>比例较适宜</v>
          </cell>
          <cell r="E120" t="str">
            <v>比较较不适宜</v>
          </cell>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7"/>
      <sheetData sheetId="38"/>
      <sheetData sheetId="39"/>
      <sheetData sheetId="40">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H118">
            <v>2821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清单及结果"/>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结果表 (2)"/>
      <sheetName val="成本法大"/>
      <sheetName val="收益法大"/>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D14">
            <v>2567</v>
          </cell>
        </row>
        <row r="15">
          <cell r="D15">
            <v>7494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107227</v>
      </c>
    </row>
    <row r="21" spans="1:2" s="1189" customFormat="1">
      <c r="A21" s="1187" t="s">
        <v>537</v>
      </c>
      <c r="B21" s="1188">
        <f ca="1">'预评函-2'!D7</f>
        <v>7522</v>
      </c>
    </row>
    <row r="22" spans="1:2" s="1189" customFormat="1">
      <c r="A22" s="1187" t="s">
        <v>538</v>
      </c>
      <c r="B22" s="1188" t="str">
        <f ca="1">'预评函-2'!D6</f>
        <v>壹拾亿柒仟贰佰贰拾柒万元整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107227</v>
      </c>
    </row>
    <row r="31" spans="1:2" s="1189" customFormat="1">
      <c r="A31" s="1187" t="s">
        <v>576</v>
      </c>
      <c r="B31" s="1188">
        <f ca="1">'预评函-2'!D15</f>
        <v>7522</v>
      </c>
    </row>
    <row r="32" spans="1:2" s="1189" customFormat="1">
      <c r="A32" s="1187" t="s">
        <v>543</v>
      </c>
      <c r="B32" s="1188" t="str">
        <f ca="1">'预评函-2'!D14</f>
        <v>壹拾亿柒仟贰佰贰拾柒万元整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10294</v>
      </c>
    </row>
    <row r="48" spans="1:2" s="1189" customFormat="1">
      <c r="A48" s="1187" t="s">
        <v>549</v>
      </c>
      <c r="B48" s="1188">
        <f ca="1">'预评函-3'!E4</f>
        <v>722</v>
      </c>
    </row>
    <row r="49" spans="1:2" s="1189" customFormat="1">
      <c r="A49" s="1187" t="s">
        <v>550</v>
      </c>
      <c r="B49" s="1188" t="str">
        <f ca="1">'预评函-3'!D5</f>
        <v>壹亿零贰佰玖拾肆万元整</v>
      </c>
    </row>
    <row r="50" spans="1:2" s="1189" customFormat="1">
      <c r="A50" s="1187" t="s">
        <v>574</v>
      </c>
      <c r="B50" s="1188" t="str">
        <f>'预评函-3'!F2</f>
        <v>在建建筑物价值</v>
      </c>
    </row>
    <row r="51" spans="1:2" s="1189" customFormat="1">
      <c r="A51" s="1187" t="s">
        <v>551</v>
      </c>
      <c r="B51" s="1188">
        <f ca="1">'预评函-3'!F4</f>
        <v>96933</v>
      </c>
    </row>
    <row r="52" spans="1:2" s="1189" customFormat="1">
      <c r="A52" s="1187" t="s">
        <v>552</v>
      </c>
      <c r="B52" s="1188">
        <f ca="1">'预评函-3'!G4</f>
        <v>6800</v>
      </c>
    </row>
    <row r="53" spans="1:2" s="1189" customFormat="1">
      <c r="A53" s="1187" t="s">
        <v>580</v>
      </c>
      <c r="B53" s="1188" t="str">
        <f ca="1">'预评函-3'!F5</f>
        <v>玖亿陆仟玖佰叁拾叁万元整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57" t="str">
        <f>IF(B10="北京市","北京市",C10)&amp;F10&amp;IF(结果表!G1="在建","出让国有建设用地使用权及在建建筑物",IF(结果表!G1="土地","出让国有建设用地使用权",))&amp;B9&amp;"预评估"</f>
        <v>河北省廊坊市香河开发区第一城内房地产市场价值预评估</v>
      </c>
      <c r="C1" s="3558"/>
      <c r="D1" s="3558"/>
      <c r="E1" s="3558"/>
      <c r="F1" s="3558"/>
      <c r="G1" s="3558"/>
      <c r="H1" s="3558"/>
      <c r="I1" s="3559"/>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60"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61"/>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7"/>
      <c r="C16" s="3568"/>
      <c r="D16" s="3569"/>
      <c r="E16" s="2397" t="s">
        <v>2194</v>
      </c>
      <c r="F16" s="3570"/>
      <c r="G16" s="3571"/>
      <c r="H16" s="3571"/>
      <c r="I16" s="3572"/>
      <c r="J16" s="2423"/>
      <c r="K16" s="2598"/>
      <c r="L16" s="2435"/>
      <c r="M16" s="2435"/>
      <c r="N16" s="2490"/>
      <c r="O16" s="2435"/>
      <c r="P16" s="2490"/>
      <c r="Q16" s="2423"/>
      <c r="R16" s="2423"/>
    </row>
    <row r="17" spans="1:28">
      <c r="A17" s="303" t="s">
        <v>2195</v>
      </c>
      <c r="B17" s="292" t="s">
        <v>2196</v>
      </c>
      <c r="C17" s="8">
        <f>'数据-汇总表'!E3</f>
        <v>142552.80000000002</v>
      </c>
      <c r="D17" s="2308" t="s">
        <v>2197</v>
      </c>
      <c r="E17" s="3573" t="s">
        <v>2198</v>
      </c>
      <c r="F17" s="3574"/>
      <c r="G17" s="3574"/>
      <c r="H17" s="3574"/>
      <c r="I17" s="3575"/>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76" t="s">
        <v>2202</v>
      </c>
      <c r="F18" s="3577"/>
      <c r="G18" s="3577"/>
      <c r="H18" s="3577"/>
      <c r="I18" s="3578"/>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3" t="s">
        <v>2206</v>
      </c>
      <c r="C20" s="3564"/>
      <c r="D20" s="3565" t="s">
        <v>2207</v>
      </c>
      <c r="E20" s="3566"/>
      <c r="F20" s="2628" t="s">
        <v>1056</v>
      </c>
      <c r="G20" s="2645"/>
      <c r="H20" s="2645"/>
      <c r="I20" s="2645"/>
      <c r="J20" s="2423"/>
      <c r="K20" s="3562"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62"/>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62"/>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50"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50"/>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50"/>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1"/>
      <c r="B30" s="292" t="s">
        <v>2218</v>
      </c>
      <c r="C30" s="3552"/>
      <c r="D30" s="3553"/>
      <c r="E30" s="2645"/>
      <c r="F30" s="2645"/>
      <c r="G30" s="2645"/>
      <c r="H30" s="2645"/>
      <c r="I30" s="2645"/>
      <c r="J30" s="2423"/>
      <c r="K30" s="2597"/>
      <c r="L30" s="2594"/>
      <c r="M30" s="2594"/>
      <c r="N30" s="2423"/>
      <c r="O30" s="2434"/>
      <c r="P30" s="2423"/>
      <c r="Q30" s="2423"/>
      <c r="R30" s="2423"/>
      <c r="S30" s="2423"/>
      <c r="T30" s="2423"/>
      <c r="U30" s="2423"/>
      <c r="V30" s="2423"/>
    </row>
    <row r="31" spans="1:28">
      <c r="A31" s="3554"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5"/>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5"/>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49" t="s">
        <v>2228</v>
      </c>
      <c r="T34" s="2412" t="str">
        <f>NUMBERSTRING(7-K34,1)&amp;"通"</f>
        <v>七通</v>
      </c>
      <c r="U34" s="2423"/>
      <c r="V34" s="2423"/>
    </row>
    <row r="35" spans="1:30">
      <c r="A35" s="2413"/>
      <c r="B35" s="3556" t="s">
        <v>2229</v>
      </c>
      <c r="C35" s="3556"/>
      <c r="D35" s="3556"/>
      <c r="E35" s="3556"/>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49"/>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79" t="s">
        <v>3539</v>
      </c>
      <c r="C2" s="3579"/>
      <c r="D2" s="357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4" t="s">
        <v>3550</v>
      </c>
      <c r="B4" s="3437" t="s">
        <v>3551</v>
      </c>
      <c r="C4" s="3584">
        <v>51912</v>
      </c>
      <c r="D4" s="3437">
        <v>2524.48</v>
      </c>
      <c r="E4" s="3437">
        <v>3</v>
      </c>
      <c r="F4" s="3437" t="s">
        <v>3552</v>
      </c>
      <c r="G4" s="3584" t="s">
        <v>3553</v>
      </c>
      <c r="H4" s="3437" t="s">
        <v>3554</v>
      </c>
      <c r="I4" s="3589">
        <v>48633</v>
      </c>
      <c r="J4" s="3438" t="s">
        <v>3555</v>
      </c>
    </row>
    <row r="5" spans="1:10">
      <c r="A5" s="3584"/>
      <c r="B5" s="3437" t="s">
        <v>3556</v>
      </c>
      <c r="C5" s="3584"/>
      <c r="D5" s="3437">
        <v>140028.32</v>
      </c>
      <c r="E5" s="3437">
        <v>17</v>
      </c>
      <c r="F5" s="3437" t="s">
        <v>3552</v>
      </c>
      <c r="G5" s="3584"/>
      <c r="H5" s="3437" t="s">
        <v>3557</v>
      </c>
      <c r="I5" s="3589"/>
      <c r="J5" s="3438" t="s">
        <v>3558</v>
      </c>
    </row>
    <row r="6" spans="1:10">
      <c r="A6" s="3437" t="s">
        <v>2583</v>
      </c>
      <c r="B6" s="3437"/>
      <c r="C6" s="3437">
        <f>SUM(C4)</f>
        <v>51912</v>
      </c>
      <c r="D6" s="3437">
        <f>D4+D5</f>
        <v>142552.80000000002</v>
      </c>
      <c r="E6" s="3437"/>
      <c r="F6" s="3437"/>
      <c r="G6" s="3437"/>
      <c r="H6" s="3437"/>
      <c r="I6" s="3437"/>
      <c r="J6" s="3439"/>
    </row>
    <row r="11" spans="1:10">
      <c r="A11" s="3432" t="s">
        <v>649</v>
      </c>
      <c r="B11" s="3579" t="s">
        <v>3539</v>
      </c>
      <c r="C11" s="3579"/>
      <c r="D11" s="357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1" t="s">
        <v>3559</v>
      </c>
      <c r="B13" s="3437" t="s">
        <v>3560</v>
      </c>
      <c r="C13" s="3584">
        <v>34944</v>
      </c>
      <c r="D13" s="3437">
        <v>69.56</v>
      </c>
      <c r="E13" s="3440"/>
      <c r="F13" s="3437" t="s">
        <v>3552</v>
      </c>
      <c r="G13" s="3581" t="s">
        <v>3553</v>
      </c>
      <c r="H13" s="3437" t="s">
        <v>3554</v>
      </c>
      <c r="I13" s="3585">
        <v>48633</v>
      </c>
      <c r="J13" s="3438" t="s">
        <v>3561</v>
      </c>
    </row>
    <row r="14" spans="1:10">
      <c r="A14" s="3582"/>
      <c r="B14" s="3437" t="s">
        <v>3562</v>
      </c>
      <c r="C14" s="3584"/>
      <c r="D14" s="3437">
        <v>69.56</v>
      </c>
      <c r="E14" s="3440"/>
      <c r="F14" s="3437" t="s">
        <v>3552</v>
      </c>
      <c r="G14" s="3582"/>
      <c r="H14" s="3437" t="s">
        <v>3554</v>
      </c>
      <c r="I14" s="3586"/>
      <c r="J14" s="3441"/>
    </row>
    <row r="15" spans="1:10">
      <c r="A15" s="3582"/>
      <c r="B15" s="3437" t="s">
        <v>3563</v>
      </c>
      <c r="C15" s="3584"/>
      <c r="D15" s="3437">
        <v>209.91</v>
      </c>
      <c r="E15" s="3437">
        <v>2</v>
      </c>
      <c r="F15" s="3437" t="s">
        <v>3552</v>
      </c>
      <c r="G15" s="3582"/>
      <c r="H15" s="3437" t="s">
        <v>3554</v>
      </c>
      <c r="I15" s="3586"/>
      <c r="J15" s="3438" t="s">
        <v>3564</v>
      </c>
    </row>
    <row r="16" spans="1:10">
      <c r="A16" s="3582"/>
      <c r="B16" s="3437" t="s">
        <v>3565</v>
      </c>
      <c r="C16" s="3584"/>
      <c r="D16" s="3437">
        <v>260.76</v>
      </c>
      <c r="E16" s="3437">
        <v>2</v>
      </c>
      <c r="F16" s="3437" t="s">
        <v>3552</v>
      </c>
      <c r="G16" s="3582"/>
      <c r="H16" s="3437" t="s">
        <v>3554</v>
      </c>
      <c r="I16" s="3586"/>
      <c r="J16" s="3438" t="s">
        <v>3566</v>
      </c>
    </row>
    <row r="17" spans="1:10">
      <c r="A17" s="3582"/>
      <c r="B17" s="3437" t="s">
        <v>3567</v>
      </c>
      <c r="C17" s="3584"/>
      <c r="D17" s="3437">
        <v>171.35</v>
      </c>
      <c r="E17" s="3437">
        <v>2</v>
      </c>
      <c r="F17" s="3437" t="s">
        <v>3552</v>
      </c>
      <c r="G17" s="3582"/>
      <c r="H17" s="3437" t="s">
        <v>3554</v>
      </c>
      <c r="I17" s="3586"/>
      <c r="J17" s="3441"/>
    </row>
    <row r="18" spans="1:10">
      <c r="A18" s="3582"/>
      <c r="B18" s="3437" t="s">
        <v>3568</v>
      </c>
      <c r="C18" s="3584"/>
      <c r="D18" s="3437">
        <v>407.78</v>
      </c>
      <c r="E18" s="3437">
        <v>2</v>
      </c>
      <c r="F18" s="3437" t="s">
        <v>3552</v>
      </c>
      <c r="G18" s="3582"/>
      <c r="H18" s="3437" t="s">
        <v>3554</v>
      </c>
      <c r="I18" s="3586"/>
      <c r="J18" s="3438" t="s">
        <v>3569</v>
      </c>
    </row>
    <row r="19" spans="1:10">
      <c r="A19" s="3582"/>
      <c r="B19" s="3437" t="s">
        <v>3570</v>
      </c>
      <c r="C19" s="3584"/>
      <c r="D19" s="3437">
        <v>342.14</v>
      </c>
      <c r="E19" s="3437">
        <v>2</v>
      </c>
      <c r="F19" s="3437" t="s">
        <v>3552</v>
      </c>
      <c r="G19" s="3582"/>
      <c r="H19" s="3437" t="s">
        <v>3554</v>
      </c>
      <c r="I19" s="3586"/>
      <c r="J19" s="3438" t="s">
        <v>3571</v>
      </c>
    </row>
    <row r="20" spans="1:10">
      <c r="A20" s="3582"/>
      <c r="B20" s="3437" t="s">
        <v>3572</v>
      </c>
      <c r="C20" s="3584"/>
      <c r="D20" s="3437">
        <v>675.82</v>
      </c>
      <c r="E20" s="3437">
        <v>3</v>
      </c>
      <c r="F20" s="3437" t="s">
        <v>3552</v>
      </c>
      <c r="G20" s="3582"/>
      <c r="H20" s="3437" t="s">
        <v>3554</v>
      </c>
      <c r="I20" s="3586"/>
      <c r="J20" s="3438" t="s">
        <v>3573</v>
      </c>
    </row>
    <row r="21" spans="1:10">
      <c r="A21" s="3582"/>
      <c r="B21" s="3437" t="s">
        <v>3574</v>
      </c>
      <c r="C21" s="3584"/>
      <c r="D21" s="3437">
        <v>226.67</v>
      </c>
      <c r="E21" s="3437">
        <v>2</v>
      </c>
      <c r="F21" s="3437" t="s">
        <v>3552</v>
      </c>
      <c r="G21" s="3582"/>
      <c r="H21" s="3437" t="s">
        <v>3554</v>
      </c>
      <c r="I21" s="3586"/>
      <c r="J21" s="3438" t="s">
        <v>3575</v>
      </c>
    </row>
    <row r="22" spans="1:10">
      <c r="A22" s="3582"/>
      <c r="B22" s="3437" t="s">
        <v>3576</v>
      </c>
      <c r="C22" s="3584"/>
      <c r="D22" s="3437">
        <v>40.020000000000003</v>
      </c>
      <c r="E22" s="3437">
        <v>1</v>
      </c>
      <c r="F22" s="3437" t="s">
        <v>3552</v>
      </c>
      <c r="G22" s="3582"/>
      <c r="H22" s="3437" t="s">
        <v>3554</v>
      </c>
      <c r="I22" s="3586"/>
      <c r="J22" s="3438" t="s">
        <v>3577</v>
      </c>
    </row>
    <row r="23" spans="1:10">
      <c r="A23" s="3582"/>
      <c r="B23" s="3437" t="s">
        <v>3578</v>
      </c>
      <c r="C23" s="3584"/>
      <c r="D23" s="3437">
        <v>175.7</v>
      </c>
      <c r="E23" s="3437">
        <v>2</v>
      </c>
      <c r="F23" s="3437" t="s">
        <v>3552</v>
      </c>
      <c r="G23" s="3582"/>
      <c r="H23" s="3437" t="s">
        <v>3554</v>
      </c>
      <c r="I23" s="3586"/>
      <c r="J23" s="3438" t="s">
        <v>3579</v>
      </c>
    </row>
    <row r="24" spans="1:10">
      <c r="A24" s="3582"/>
      <c r="B24" s="3437" t="s">
        <v>3580</v>
      </c>
      <c r="C24" s="3584"/>
      <c r="D24" s="3437">
        <v>74.489999999999995</v>
      </c>
      <c r="E24" s="3437">
        <v>1</v>
      </c>
      <c r="F24" s="3437" t="s">
        <v>3552</v>
      </c>
      <c r="G24" s="3582"/>
      <c r="H24" s="3437" t="s">
        <v>3554</v>
      </c>
      <c r="I24" s="3586"/>
      <c r="J24" s="3438" t="s">
        <v>3581</v>
      </c>
    </row>
    <row r="25" spans="1:10">
      <c r="A25" s="3582"/>
      <c r="B25" s="3437" t="s">
        <v>3582</v>
      </c>
      <c r="C25" s="3584"/>
      <c r="D25" s="3437">
        <v>104.35</v>
      </c>
      <c r="E25" s="3437">
        <v>1</v>
      </c>
      <c r="F25" s="3437" t="s">
        <v>3552</v>
      </c>
      <c r="G25" s="3582"/>
      <c r="H25" s="3437" t="s">
        <v>3554</v>
      </c>
      <c r="I25" s="3586"/>
      <c r="J25" s="3438" t="s">
        <v>3583</v>
      </c>
    </row>
    <row r="26" spans="1:10">
      <c r="A26" s="3582"/>
      <c r="B26" s="3437" t="s">
        <v>3584</v>
      </c>
      <c r="C26" s="3584"/>
      <c r="D26" s="3437">
        <v>84.37</v>
      </c>
      <c r="E26" s="3437">
        <v>2</v>
      </c>
      <c r="F26" s="3437" t="s">
        <v>3552</v>
      </c>
      <c r="G26" s="3582"/>
      <c r="H26" s="3437" t="s">
        <v>3554</v>
      </c>
      <c r="I26" s="3586"/>
      <c r="J26" s="3438" t="s">
        <v>3585</v>
      </c>
    </row>
    <row r="27" spans="1:10">
      <c r="A27" s="3582"/>
      <c r="B27" s="3437" t="s">
        <v>3586</v>
      </c>
      <c r="C27" s="3584"/>
      <c r="D27" s="3437">
        <v>641.46</v>
      </c>
      <c r="E27" s="3437">
        <v>3</v>
      </c>
      <c r="F27" s="3437" t="s">
        <v>3552</v>
      </c>
      <c r="G27" s="3582"/>
      <c r="H27" s="3437" t="s">
        <v>3554</v>
      </c>
      <c r="I27" s="3586"/>
      <c r="J27" s="3438" t="s">
        <v>3587</v>
      </c>
    </row>
    <row r="28" spans="1:10">
      <c r="A28" s="3582"/>
      <c r="B28" s="3437" t="s">
        <v>3588</v>
      </c>
      <c r="C28" s="3584"/>
      <c r="D28" s="3437">
        <v>276.52999999999997</v>
      </c>
      <c r="E28" s="3437">
        <v>2</v>
      </c>
      <c r="F28" s="3437" t="s">
        <v>3552</v>
      </c>
      <c r="G28" s="3582"/>
      <c r="H28" s="3437" t="s">
        <v>3554</v>
      </c>
      <c r="I28" s="3586"/>
      <c r="J28" s="3438" t="s">
        <v>3589</v>
      </c>
    </row>
    <row r="29" spans="1:10">
      <c r="A29" s="3582"/>
      <c r="B29" s="3437" t="s">
        <v>3590</v>
      </c>
      <c r="C29" s="3584"/>
      <c r="D29" s="3437">
        <v>44.63</v>
      </c>
      <c r="E29" s="3437">
        <v>1</v>
      </c>
      <c r="F29" s="3437" t="s">
        <v>3552</v>
      </c>
      <c r="G29" s="3582"/>
      <c r="H29" s="3437" t="s">
        <v>3554</v>
      </c>
      <c r="I29" s="3586"/>
      <c r="J29" s="3438" t="s">
        <v>3591</v>
      </c>
    </row>
    <row r="30" spans="1:10">
      <c r="A30" s="3582"/>
      <c r="B30" s="3437" t="s">
        <v>3592</v>
      </c>
      <c r="C30" s="3584"/>
      <c r="D30" s="3437">
        <v>72.89</v>
      </c>
      <c r="E30" s="3437">
        <v>1</v>
      </c>
      <c r="F30" s="3437" t="s">
        <v>3552</v>
      </c>
      <c r="G30" s="3582"/>
      <c r="H30" s="3437" t="s">
        <v>3554</v>
      </c>
      <c r="I30" s="3586"/>
      <c r="J30" s="3438" t="s">
        <v>3593</v>
      </c>
    </row>
    <row r="31" spans="1:10">
      <c r="A31" s="3582"/>
      <c r="B31" s="3437" t="s">
        <v>3594</v>
      </c>
      <c r="C31" s="3584"/>
      <c r="D31" s="3437">
        <v>155.77000000000001</v>
      </c>
      <c r="E31" s="3437">
        <v>2</v>
      </c>
      <c r="F31" s="3437" t="s">
        <v>3552</v>
      </c>
      <c r="G31" s="3582"/>
      <c r="H31" s="3437" t="s">
        <v>3554</v>
      </c>
      <c r="I31" s="3586"/>
      <c r="J31" s="3438" t="s">
        <v>3595</v>
      </c>
    </row>
    <row r="32" spans="1:10">
      <c r="A32" s="3582"/>
      <c r="B32" s="3437" t="s">
        <v>3596</v>
      </c>
      <c r="C32" s="3584"/>
      <c r="D32" s="3437">
        <v>1228.42</v>
      </c>
      <c r="E32" s="3437">
        <v>2</v>
      </c>
      <c r="F32" s="3437" t="s">
        <v>3552</v>
      </c>
      <c r="G32" s="3582"/>
      <c r="H32" s="3437" t="s">
        <v>3554</v>
      </c>
      <c r="I32" s="3586"/>
      <c r="J32" s="3438" t="s">
        <v>3597</v>
      </c>
    </row>
    <row r="33" spans="1:10">
      <c r="A33" s="3582"/>
      <c r="B33" s="3437" t="s">
        <v>3598</v>
      </c>
      <c r="C33" s="3584"/>
      <c r="D33" s="3437">
        <v>1228.42</v>
      </c>
      <c r="E33" s="3437">
        <v>2</v>
      </c>
      <c r="F33" s="3437" t="s">
        <v>3552</v>
      </c>
      <c r="G33" s="3582"/>
      <c r="H33" s="3437" t="s">
        <v>3554</v>
      </c>
      <c r="I33" s="3586"/>
      <c r="J33" s="3438" t="s">
        <v>3599</v>
      </c>
    </row>
    <row r="34" spans="1:10">
      <c r="A34" s="3582"/>
      <c r="B34" s="3437" t="s">
        <v>3600</v>
      </c>
      <c r="C34" s="3584"/>
      <c r="D34" s="3437">
        <v>749.23</v>
      </c>
      <c r="E34" s="3437">
        <v>3</v>
      </c>
      <c r="F34" s="3437" t="s">
        <v>3552</v>
      </c>
      <c r="G34" s="3582"/>
      <c r="H34" s="3437" t="s">
        <v>3554</v>
      </c>
      <c r="I34" s="3586"/>
      <c r="J34" s="3438" t="s">
        <v>3601</v>
      </c>
    </row>
    <row r="35" spans="1:10">
      <c r="A35" s="3582"/>
      <c r="B35" s="3437" t="s">
        <v>3602</v>
      </c>
      <c r="C35" s="3584"/>
      <c r="D35" s="3437">
        <v>5193.3599999999997</v>
      </c>
      <c r="E35" s="3437">
        <v>6</v>
      </c>
      <c r="F35" s="3437" t="s">
        <v>3552</v>
      </c>
      <c r="G35" s="3582"/>
      <c r="H35" s="3437" t="s">
        <v>3554</v>
      </c>
      <c r="I35" s="3586"/>
      <c r="J35" s="3438" t="s">
        <v>3603</v>
      </c>
    </row>
    <row r="36" spans="1:10">
      <c r="A36" s="3583"/>
      <c r="B36" s="3437" t="s">
        <v>3604</v>
      </c>
      <c r="C36" s="3584"/>
      <c r="D36" s="3437">
        <v>112.68</v>
      </c>
      <c r="E36" s="3437">
        <v>1</v>
      </c>
      <c r="F36" s="3437" t="s">
        <v>3552</v>
      </c>
      <c r="G36" s="3583"/>
      <c r="H36" s="3437" t="s">
        <v>3554</v>
      </c>
      <c r="I36" s="3587"/>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1" t="s">
        <v>3609</v>
      </c>
      <c r="B38" s="3437" t="s">
        <v>3610</v>
      </c>
      <c r="C38" s="3588">
        <v>41819</v>
      </c>
      <c r="D38" s="3442">
        <v>422</v>
      </c>
      <c r="E38" s="3437">
        <v>1</v>
      </c>
      <c r="F38" s="3437" t="s">
        <v>3552</v>
      </c>
      <c r="G38" s="3437" t="s">
        <v>3553</v>
      </c>
      <c r="H38" s="3437" t="s">
        <v>3554</v>
      </c>
      <c r="I38" s="3443">
        <v>52775</v>
      </c>
      <c r="J38" s="3438" t="s">
        <v>3611</v>
      </c>
    </row>
    <row r="39" spans="1:10">
      <c r="A39" s="3583"/>
      <c r="B39" s="3437" t="s">
        <v>3612</v>
      </c>
      <c r="C39" s="3588"/>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0" t="s">
        <v>3618</v>
      </c>
      <c r="B45" s="3580"/>
      <c r="C45" s="3580"/>
      <c r="D45" s="3580"/>
      <c r="E45" s="3580"/>
      <c r="F45" s="3580"/>
      <c r="G45" s="3580"/>
    </row>
  </sheetData>
  <dataConsolidate/>
  <mergeCells count="13">
    <mergeCell ref="I13:I36"/>
    <mergeCell ref="A38:A39"/>
    <mergeCell ref="C38:C39"/>
    <mergeCell ref="B2:D2"/>
    <mergeCell ref="A4:A5"/>
    <mergeCell ref="C4:C5"/>
    <mergeCell ref="G4:G5"/>
    <mergeCell ref="I4:I5"/>
    <mergeCell ref="B11:D11"/>
    <mergeCell ref="A45:G45"/>
    <mergeCell ref="A13:A36"/>
    <mergeCell ref="C13:C36"/>
    <mergeCell ref="G13:G36"/>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G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134315.84000000003</v>
      </c>
      <c r="J5" s="13">
        <f t="shared" si="0"/>
        <v>0</v>
      </c>
      <c r="K5" s="13">
        <f t="shared" si="0"/>
        <v>8236.9599999999919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134315.84000000003</v>
      </c>
      <c r="BC5" s="15">
        <f t="shared" si="1"/>
        <v>8236.9599999999919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48912.43</v>
      </c>
      <c r="J6" s="13">
        <f t="shared" si="2"/>
        <v>0</v>
      </c>
      <c r="K6" s="13">
        <f t="shared" si="2"/>
        <v>2999.57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48912.43</v>
      </c>
      <c r="BC6" s="13">
        <f t="shared" ref="BC6:BH6" si="4">ROUND($AY$6*BC5/$AZ$5,2)</f>
        <v>2999.57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t="s">
        <v>3674</v>
      </c>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89" t="s">
        <v>673</v>
      </c>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t="str">
        <f>K9</f>
        <v>地下</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t="s">
        <v>3537</v>
      </c>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t="str">
        <f>K10</f>
        <v>商业</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t="str">
        <f>K11</f>
        <v>独立商业</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50936.31</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清单!D5/17*16</f>
        <v>131791.36000000002</v>
      </c>
      <c r="J13" s="1612"/>
      <c r="K13" s="1612">
        <f>清单!D5-I13</f>
        <v>8236.9599999999919</v>
      </c>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50936.31</v>
      </c>
      <c r="AW13" s="8">
        <f t="shared" si="6"/>
        <v>0</v>
      </c>
      <c r="AX13" s="8" t="str">
        <f t="shared" si="6"/>
        <v>福安宫大酒店</v>
      </c>
      <c r="AY13" s="1335">
        <f>ROUND($AY$6*AZ13/$AZ$5,2)</f>
        <v>50992.69</v>
      </c>
      <c r="AZ13" s="13">
        <f>BA13+BL13</f>
        <v>140028.32</v>
      </c>
      <c r="BA13" s="13">
        <f>SUM(BB13:BK13)</f>
        <v>140028.32</v>
      </c>
      <c r="BB13" s="13">
        <f>IF($D13="是",I13-J13,0)</f>
        <v>131791.36000000002</v>
      </c>
      <c r="BC13" s="13">
        <f>IF($D13="是",K13-L13,0)</f>
        <v>8236.9599999999919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975.69000000000233</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975.69000000000233</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4" sqref="F24"/>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2.59</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2.59</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48912.43</v>
      </c>
      <c r="E8" s="48">
        <f>SUMIF('数据-基础表'!BB10:BK10,"地上",'数据-基础表'!BB5:BK5)</f>
        <v>134315.84000000003</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2999.57</v>
      </c>
      <c r="E10" s="48">
        <f>SUMPRODUCT(('数据-基础表'!BB10:BK10="地下")*('数据-基础表'!BB11:BK11="商业")*('数据-基础表'!BB5:BK5))</f>
        <v>8236.9599999999919</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134315.84000000003</v>
      </c>
      <c r="G19" s="2776">
        <f>'数据-基础表'!K13</f>
        <v>8236.9599999999919</v>
      </c>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134315.84000000003</v>
      </c>
      <c r="G27" s="1129">
        <f>SUM(G19:G26)</f>
        <v>8236.9599999999919</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134315.84000000003</v>
      </c>
      <c r="G31" s="665">
        <f>G27+G30</f>
        <v>8236.9599999999919</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7429</v>
      </c>
      <c r="M6" s="67">
        <f t="shared" ref="M6:M14" si="0">ROUND(K6*L6/10000,0)</f>
        <v>105902</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7429</v>
      </c>
      <c r="M16" s="93">
        <f>SUM(M6:M14)</f>
        <v>105902</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5" t="s">
        <v>3669</v>
      </c>
      <c r="K21" s="3503">
        <f>'数据-基础表'!G13</f>
        <v>140028.32</v>
      </c>
      <c r="L21" s="3503">
        <v>7500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5" t="s">
        <v>3670</v>
      </c>
      <c r="K22" s="3503">
        <f>'数据-基础表'!I14</f>
        <v>2524.48</v>
      </c>
      <c r="L22" s="3503">
        <v>3500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142552.80000000002</v>
      </c>
      <c r="L24" s="3503">
        <f>ROUND(SUMPRODUCT(L21:L23,K21:K23)/K24,0)</f>
        <v>7429</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0.05</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2.5000000000000001E-2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2.5000000000000001E-2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3</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3</v>
      </c>
      <c r="C55" s="2642">
        <v>24</v>
      </c>
      <c r="D55" s="2656"/>
      <c r="E55" s="2653"/>
      <c r="F55" s="2653"/>
      <c r="G55" s="2653"/>
      <c r="H55" s="2653"/>
      <c r="I55" s="2654"/>
      <c r="J55" s="2653"/>
      <c r="K55" s="2652"/>
      <c r="L55" s="2652"/>
      <c r="M55" s="2651"/>
      <c r="N55" s="2651"/>
      <c r="O55" s="2651"/>
      <c r="P55" s="2651"/>
      <c r="Q55" s="2651"/>
      <c r="R55" s="2651"/>
      <c r="S55" s="2651"/>
      <c r="T55" s="3501" t="s">
        <v>3673</v>
      </c>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tabSelected="1" view="pageBreakPreview" zoomScale="80" zoomScaleNormal="80" zoomScaleSheetLayoutView="80" workbookViewId="0">
      <selection activeCell="B11" sqref="B11"/>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107227</v>
      </c>
      <c r="C5" s="2493">
        <f ca="1">IF(B5=D14,结果表!H102,ROUND(B5*10000/$B$1,0))</f>
        <v>7522</v>
      </c>
      <c r="D5" s="2493">
        <f ca="1">ROUND(B5*10000/$B$2,0)</f>
        <v>20656</v>
      </c>
      <c r="E5" s="2666"/>
      <c r="F5" s="2667"/>
      <c r="G5" s="2667"/>
      <c r="H5" s="2668"/>
      <c r="I5" s="2668"/>
      <c r="J5" s="2668"/>
      <c r="K5" s="2668"/>
    </row>
    <row r="6" spans="1:11" ht="16.5">
      <c r="A6" s="2493" t="s">
        <v>656</v>
      </c>
      <c r="B6" s="2493">
        <f ca="1">SUM(G14:G23)</f>
        <v>107227</v>
      </c>
      <c r="C6" s="2493">
        <f ca="1">IF(B6=G14,结果表!H108,ROUND(B6*10000/$B$1,0))</f>
        <v>7522</v>
      </c>
      <c r="D6" s="2493">
        <f ca="1">ROUND(B6*10000/$B$2,0)</f>
        <v>20656</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f ca="1">ROUND(B6*0.56,0)</f>
        <v>60047</v>
      </c>
      <c r="C11" s="2666">
        <f ca="1">B11/B14*10000</f>
        <v>4212.2638068140359</v>
      </c>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107227</v>
      </c>
      <c r="E14" s="2499">
        <f ca="1">ROUND(D14*10000/B14,0)</f>
        <v>7522</v>
      </c>
      <c r="F14" s="2499">
        <f ca="1">ROUND(D14*10000/C14,0)</f>
        <v>20656</v>
      </c>
      <c r="G14" s="2499">
        <f ca="1">D14</f>
        <v>107227</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85" zoomScaleNormal="100" zoomScaleSheetLayoutView="85" zoomScalePageLayoutView="80" workbookViewId="0">
      <selection activeCell="C19" sqref="C19:D20"/>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41" t="str">
        <f>项目基本情况!S2</f>
        <v>河北省廊坊市香河开发区第一城内房地产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40" t="s">
        <v>1265</v>
      </c>
      <c r="B4" s="1741" t="s">
        <v>1266</v>
      </c>
      <c r="C4" s="1742" t="s">
        <v>3662</v>
      </c>
      <c r="D4" s="1742" t="s">
        <v>3663</v>
      </c>
      <c r="E4" s="3647" t="s">
        <v>1267</v>
      </c>
      <c r="F4" s="3648"/>
      <c r="G4" s="3648"/>
      <c r="H4" s="3648"/>
      <c r="I4" s="364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1" t="s">
        <v>1268</v>
      </c>
      <c r="B5" s="3608">
        <v>25</v>
      </c>
      <c r="C5" s="3624">
        <v>23</v>
      </c>
      <c r="D5" s="3644">
        <v>21</v>
      </c>
      <c r="E5" s="121" t="s">
        <v>1269</v>
      </c>
      <c r="F5" s="1743"/>
      <c r="G5" s="1743"/>
      <c r="H5" s="1743"/>
      <c r="I5" s="1359"/>
    </row>
    <row r="6" spans="1:12" ht="12.75" customHeight="1">
      <c r="A6" s="3621"/>
      <c r="B6" s="3608"/>
      <c r="C6" s="3625"/>
      <c r="D6" s="3644"/>
      <c r="E6" s="121" t="s">
        <v>1270</v>
      </c>
      <c r="F6" s="1743"/>
      <c r="G6" s="1743"/>
      <c r="H6" s="1743"/>
      <c r="I6" s="1359"/>
    </row>
    <row r="7" spans="1:12" ht="12.75" customHeight="1">
      <c r="A7" s="3621"/>
      <c r="B7" s="3608"/>
      <c r="C7" s="3626"/>
      <c r="D7" s="3644"/>
      <c r="E7" s="121" t="s">
        <v>1271</v>
      </c>
      <c r="F7" s="1743"/>
      <c r="G7" s="1743"/>
      <c r="H7" s="1743"/>
      <c r="I7" s="1359"/>
    </row>
    <row r="8" spans="1:12" ht="12.75" customHeight="1">
      <c r="A8" s="3621" t="s">
        <v>1272</v>
      </c>
      <c r="B8" s="3608">
        <v>15</v>
      </c>
      <c r="C8" s="3624">
        <v>11</v>
      </c>
      <c r="D8" s="3644">
        <v>10</v>
      </c>
      <c r="E8" s="121" t="s">
        <v>1273</v>
      </c>
      <c r="F8" s="1743"/>
      <c r="G8" s="1743"/>
      <c r="H8" s="1743"/>
      <c r="I8" s="1359"/>
    </row>
    <row r="9" spans="1:12" ht="12.75" customHeight="1">
      <c r="A9" s="3621"/>
      <c r="B9" s="3608"/>
      <c r="C9" s="3626"/>
      <c r="D9" s="3644"/>
      <c r="E9" s="121" t="s">
        <v>1274</v>
      </c>
      <c r="F9" s="1743"/>
      <c r="G9" s="1743"/>
      <c r="H9" s="1743"/>
      <c r="I9" s="1359"/>
    </row>
    <row r="10" spans="1:12" ht="12.75" customHeight="1">
      <c r="A10" s="3621" t="s">
        <v>1275</v>
      </c>
      <c r="B10" s="3608">
        <v>15</v>
      </c>
      <c r="C10" s="3624">
        <v>10</v>
      </c>
      <c r="D10" s="3644">
        <v>9</v>
      </c>
      <c r="E10" s="121" t="s">
        <v>1276</v>
      </c>
      <c r="F10" s="1743"/>
      <c r="G10" s="1743"/>
      <c r="H10" s="1743"/>
      <c r="I10" s="1359"/>
    </row>
    <row r="11" spans="1:12" ht="12.75" customHeight="1">
      <c r="A11" s="3621"/>
      <c r="B11" s="3608"/>
      <c r="C11" s="3626"/>
      <c r="D11" s="3644"/>
      <c r="E11" s="121" t="s">
        <v>1277</v>
      </c>
      <c r="F11" s="1743"/>
      <c r="G11" s="1743"/>
      <c r="H11" s="1743"/>
      <c r="I11" s="1359"/>
    </row>
    <row r="12" spans="1:12" ht="12.75" customHeight="1">
      <c r="A12" s="3621" t="s">
        <v>1278</v>
      </c>
      <c r="B12" s="3608">
        <v>15</v>
      </c>
      <c r="C12" s="3624">
        <v>9</v>
      </c>
      <c r="D12" s="3644">
        <v>12</v>
      </c>
      <c r="E12" s="121" t="s">
        <v>1279</v>
      </c>
      <c r="F12" s="1743"/>
      <c r="G12" s="1743"/>
      <c r="H12" s="1743"/>
      <c r="I12" s="1359"/>
    </row>
    <row r="13" spans="1:12" ht="12.75" customHeight="1">
      <c r="A13" s="3621"/>
      <c r="B13" s="3608"/>
      <c r="C13" s="3626"/>
      <c r="D13" s="3644"/>
      <c r="E13" s="121" t="s">
        <v>1280</v>
      </c>
      <c r="F13" s="1743"/>
      <c r="G13" s="1743"/>
      <c r="H13" s="1743"/>
      <c r="I13" s="1359"/>
    </row>
    <row r="14" spans="1:12" ht="12.75" customHeight="1">
      <c r="A14" s="3621" t="s">
        <v>1281</v>
      </c>
      <c r="B14" s="3608">
        <v>30</v>
      </c>
      <c r="C14" s="3624">
        <v>22</v>
      </c>
      <c r="D14" s="3644">
        <v>23</v>
      </c>
      <c r="E14" s="121" t="s">
        <v>1282</v>
      </c>
      <c r="F14" s="1743"/>
      <c r="G14" s="1743"/>
      <c r="H14" s="1743"/>
      <c r="I14" s="1359"/>
    </row>
    <row r="15" spans="1:12" ht="12.75" customHeight="1">
      <c r="A15" s="3621"/>
      <c r="B15" s="3608"/>
      <c r="C15" s="3625"/>
      <c r="D15" s="3644"/>
      <c r="E15" s="121" t="s">
        <v>1283</v>
      </c>
      <c r="F15" s="1743"/>
      <c r="G15" s="1743"/>
      <c r="H15" s="1743"/>
      <c r="I15" s="1359"/>
    </row>
    <row r="16" spans="1:12" ht="12.75" customHeight="1">
      <c r="A16" s="3621"/>
      <c r="B16" s="3608"/>
      <c r="C16" s="3626"/>
      <c r="D16" s="3644"/>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31" t="s">
        <v>2131</v>
      </c>
      <c r="F18" s="3632"/>
      <c r="G18" s="3632"/>
      <c r="H18" s="3632"/>
      <c r="I18" s="3632"/>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134346</v>
      </c>
      <c r="D19" s="125">
        <f ca="1">SUMIF(INDIRECT("'"&amp;D4&amp;"'"&amp;"!A:A"),结果表!B19,INDIRECT("'"&amp;D4&amp;"'"&amp;"!B:B"))</f>
        <v>80107</v>
      </c>
      <c r="E19" s="1747" t="s">
        <v>1292</v>
      </c>
      <c r="F19" s="1748" t="s">
        <v>1291</v>
      </c>
      <c r="G19" s="126">
        <f ca="1">ROUND(C19*$C$18+D19*$D$18,0)</f>
        <v>107227</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9424</v>
      </c>
      <c r="D20" s="128">
        <f ca="1">SUMIF(INDIRECT("'"&amp;D4&amp;"'"&amp;"!A:A"),结果表!B20,INDIRECT("'"&amp;D4&amp;"'"&amp;"!B:B"))</f>
        <v>5619</v>
      </c>
      <c r="E20" s="1750"/>
      <c r="F20" s="1013" t="s">
        <v>1295</v>
      </c>
      <c r="G20" s="129">
        <f ca="1">ROUND(C20*$C$18+D20*$D$18,0)</f>
        <v>7522</v>
      </c>
      <c r="H20" s="795" t="s">
        <v>1296</v>
      </c>
      <c r="I20" s="119"/>
    </row>
    <row r="21" spans="1:36" ht="15" customHeight="1" thickBot="1">
      <c r="A21" s="815"/>
      <c r="B21" s="1751" t="s">
        <v>1297</v>
      </c>
      <c r="C21" s="706">
        <f ca="1">ROUND(C19*10000/L19,0)</f>
        <v>25880</v>
      </c>
      <c r="D21" s="707">
        <f ca="1">ROUND(D19*10000/L19,0)</f>
        <v>15431</v>
      </c>
      <c r="E21" s="815"/>
      <c r="F21" s="1751" t="s">
        <v>1297</v>
      </c>
      <c r="G21" s="130">
        <f ca="1">ROUND(G19*10000/L19,0)</f>
        <v>20656</v>
      </c>
      <c r="H21" s="1752" t="s">
        <v>1296</v>
      </c>
      <c r="I21" s="119"/>
    </row>
    <row r="22" spans="1:36" ht="15" thickBot="1">
      <c r="A22" s="1674" t="s">
        <v>1298</v>
      </c>
      <c r="B22" s="1753"/>
      <c r="C22" s="1754"/>
      <c r="D22" s="708">
        <f ca="1">IF(C19&lt;D19,D19/C19-1,C19/D19-1)</f>
        <v>0.67708190295479787</v>
      </c>
      <c r="E22" s="119"/>
      <c r="F22" s="119"/>
      <c r="G22" s="119"/>
      <c r="H22" s="119"/>
      <c r="I22" s="119"/>
    </row>
    <row r="23" spans="1:36" ht="13.5" thickBot="1">
      <c r="A23" s="1733"/>
      <c r="B23" s="1733"/>
      <c r="C23" s="1733"/>
      <c r="D23" s="1733"/>
      <c r="E23" s="119"/>
      <c r="F23" s="119"/>
      <c r="G23" s="119"/>
      <c r="H23" s="119"/>
      <c r="I23" s="119"/>
      <c r="L23" s="712">
        <f ca="1">G19</f>
        <v>107227</v>
      </c>
    </row>
    <row r="24" spans="1:36" ht="14.25">
      <c r="A24" s="3615" t="s">
        <v>1299</v>
      </c>
      <c r="B24" s="1748" t="s">
        <v>1291</v>
      </c>
      <c r="C24" s="126">
        <f>IF(B30=0,0,D30)</f>
        <v>0</v>
      </c>
      <c r="D24" s="1755"/>
      <c r="E24" s="119"/>
      <c r="F24" s="119"/>
      <c r="G24" s="119"/>
      <c r="H24" s="119"/>
      <c r="I24" s="119"/>
      <c r="L24" s="712">
        <f>[3]结果表!$H$118</f>
        <v>2821</v>
      </c>
    </row>
    <row r="25" spans="1:36" ht="14.25">
      <c r="A25" s="3616"/>
      <c r="B25" s="1013" t="s">
        <v>1295</v>
      </c>
      <c r="C25" s="131">
        <f>IF(B30=0,0,C30)</f>
        <v>0</v>
      </c>
      <c r="D25" s="1756"/>
      <c r="E25" s="119"/>
      <c r="F25" s="119"/>
      <c r="G25" s="119"/>
      <c r="H25" s="119"/>
      <c r="I25" s="119"/>
      <c r="L25" s="712">
        <f>[4]系统读取表!$D$14+[4]系统读取表!$D$15</f>
        <v>10061</v>
      </c>
    </row>
    <row r="26" spans="1:36" ht="13.5" customHeight="1">
      <c r="A26" s="1757" t="s">
        <v>1300</v>
      </c>
      <c r="B26" s="132" t="s">
        <v>1301</v>
      </c>
      <c r="C26" s="132" t="s">
        <v>1302</v>
      </c>
      <c r="D26" s="133" t="s">
        <v>1303</v>
      </c>
      <c r="E26" s="119"/>
      <c r="F26" s="119"/>
      <c r="G26" s="119"/>
      <c r="H26" s="119"/>
      <c r="I26" s="119"/>
      <c r="L26" s="712">
        <f ca="1">L23+L24+L25</f>
        <v>120109</v>
      </c>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107227</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10294</v>
      </c>
      <c r="D34" s="848">
        <f ca="1">IF(C33="自定义",ROUND(C34/C32,3),IF(C33="收益比率",SUMIF(INDIRECT("'"&amp;D33&amp;"'"&amp;"!b:b"),"土地收益比率",INDIRECT("'"&amp;D33&amp;"'"&amp;"!c:c")),SUMIF(INDIRECT("'"&amp;D33&amp;"'"&amp;"!b:b"),"土地成本比率",INDIRECT("'"&amp;D33&amp;"'"&amp;"!c:c"))))</f>
        <v>9.5999999999999974E-2</v>
      </c>
      <c r="E34" s="1769" t="s">
        <v>1309</v>
      </c>
      <c r="F34" s="1316"/>
      <c r="G34" s="119"/>
      <c r="H34" s="119"/>
      <c r="I34" s="119"/>
    </row>
    <row r="35" spans="1:15" ht="15.75" thickBot="1">
      <c r="A35" s="1770"/>
      <c r="B35" s="1771" t="s">
        <v>1310</v>
      </c>
      <c r="C35" s="1157">
        <f ca="1">IF(C33="自定义",F35,ROUND(C32*D35,0))</f>
        <v>96933</v>
      </c>
      <c r="D35" s="1158">
        <f ca="1">IF(C33="自定义",ROUND(C35/C32,3),IF(C33="收益比率",SUMIF(INDIRECT("'"&amp;D33&amp;"'"&amp;"!b:b"),"建筑物收益比率",INDIRECT("'"&amp;D33&amp;"'"&amp;"!c:c")),SUMIF(INDIRECT("'"&amp;D33&amp;"'"&amp;"!b:b"),"建筑物成本比率",INDIRECT("'"&amp;D33&amp;"'"&amp;"!c:c"))))</f>
        <v>0.90400000000000003</v>
      </c>
      <c r="E35" s="1772" t="s">
        <v>1311</v>
      </c>
      <c r="F35" s="144"/>
      <c r="G35" s="119"/>
      <c r="H35" s="119"/>
      <c r="I35" s="119"/>
    </row>
    <row r="36" spans="1:15" ht="15.75" thickBot="1">
      <c r="A36" s="3635" t="s">
        <v>1312</v>
      </c>
      <c r="B36" s="1773" t="s">
        <v>1313</v>
      </c>
      <c r="C36" s="135"/>
      <c r="D36" s="1774"/>
      <c r="E36" s="1775"/>
      <c r="F36" s="1776"/>
      <c r="G36" s="119"/>
      <c r="H36" s="119"/>
      <c r="I36" s="119"/>
    </row>
    <row r="37" spans="1:15" ht="15.75" thickBot="1">
      <c r="A37" s="3636"/>
      <c r="B37" s="1660" t="s">
        <v>1314</v>
      </c>
      <c r="C37" s="137"/>
      <c r="D37" s="1126"/>
      <c r="E37" s="1126"/>
      <c r="F37" s="1776"/>
      <c r="G37" s="119"/>
      <c r="H37" s="119"/>
      <c r="I37" s="119"/>
    </row>
    <row r="38" spans="1:15" ht="15.75" thickBot="1">
      <c r="A38" s="3637"/>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2" t="s">
        <v>1326</v>
      </c>
      <c r="B45" s="3613"/>
      <c r="C45" s="3614"/>
      <c r="D45" s="145">
        <f ca="1">ROUND(H101*F45,0)</f>
        <v>107227</v>
      </c>
      <c r="E45" s="146" t="s">
        <v>1327</v>
      </c>
      <c r="F45" s="147">
        <v>1</v>
      </c>
      <c r="G45" s="148" t="s">
        <v>1328</v>
      </c>
      <c r="H45" s="119"/>
      <c r="I45" s="119"/>
      <c r="J45" s="3690" t="s">
        <v>1329</v>
      </c>
      <c r="K45" s="3690"/>
      <c r="L45" s="3690"/>
      <c r="M45" s="3690"/>
      <c r="N45" s="3690"/>
      <c r="O45" s="3690"/>
    </row>
    <row r="46" spans="1:15" ht="14.25" customHeight="1">
      <c r="A46" s="3609" t="s">
        <v>1330</v>
      </c>
      <c r="B46" s="3610"/>
      <c r="C46" s="3610"/>
      <c r="D46" s="3610"/>
      <c r="E46" s="3610"/>
      <c r="F46" s="3610"/>
      <c r="G46" s="3611"/>
      <c r="H46" s="1792"/>
      <c r="I46" s="149"/>
      <c r="J46" s="2504">
        <v>1</v>
      </c>
      <c r="K46" s="3671" t="s">
        <v>1331</v>
      </c>
      <c r="L46" s="3671"/>
      <c r="M46" s="3691"/>
      <c r="N46" s="3691"/>
      <c r="O46" s="3691"/>
    </row>
    <row r="47" spans="1:15" ht="12" customHeight="1">
      <c r="A47" s="150" t="s">
        <v>1332</v>
      </c>
      <c r="B47" s="151"/>
      <c r="C47" s="152"/>
      <c r="D47" s="1074" t="s">
        <v>1333</v>
      </c>
      <c r="E47" s="292" t="s">
        <v>1334</v>
      </c>
      <c r="F47" s="153" t="s">
        <v>1335</v>
      </c>
      <c r="G47" s="2527" t="s">
        <v>1336</v>
      </c>
      <c r="H47" s="2528"/>
      <c r="I47" s="149"/>
      <c r="J47" s="2504">
        <v>2</v>
      </c>
      <c r="K47" s="3671" t="s">
        <v>1337</v>
      </c>
      <c r="L47" s="3671"/>
      <c r="M47" s="3692">
        <f>'数据-取费表'!B2</f>
        <v>45194</v>
      </c>
      <c r="N47" s="3692"/>
      <c r="O47" s="3692"/>
    </row>
    <row r="48" spans="1:15" ht="25.5">
      <c r="A48" s="3640" t="s">
        <v>1338</v>
      </c>
      <c r="B48" s="3623"/>
      <c r="C48" s="362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1" t="s">
        <v>1340</v>
      </c>
      <c r="L48" s="3671"/>
      <c r="M48" s="3693">
        <f ca="1">H101</f>
        <v>107227</v>
      </c>
      <c r="N48" s="3693"/>
      <c r="O48" s="3693"/>
    </row>
    <row r="49" spans="1:35" ht="25.5" customHeight="1">
      <c r="A49" s="2319" t="s">
        <v>1341</v>
      </c>
      <c r="B49" s="3607" t="s">
        <v>1342</v>
      </c>
      <c r="C49" s="3607"/>
      <c r="D49" s="1576">
        <v>0</v>
      </c>
      <c r="E49" s="314" t="s">
        <v>1343</v>
      </c>
      <c r="F49" s="2408" t="s">
        <v>28</v>
      </c>
      <c r="G49" s="3677"/>
      <c r="H49" s="2296" t="s">
        <v>2134</v>
      </c>
      <c r="I49" s="2297"/>
      <c r="J49" s="2504">
        <v>4</v>
      </c>
      <c r="K49" s="3671" t="str">
        <f>IF(项目基本情况!E8="房地产抵押价值","房地产抵押价值","抵押担保权已注销时的房地产抵押价值")</f>
        <v>抵押担保权已注销时的房地产抵押价值</v>
      </c>
      <c r="L49" s="3671"/>
      <c r="M49" s="3693" t="str">
        <f>IF(项目基本情况!E8="房地产抵押价值",H107,H109)</f>
        <v>——</v>
      </c>
      <c r="N49" s="3693"/>
      <c r="O49" s="3693"/>
    </row>
    <row r="50" spans="1:35" ht="25.5" customHeight="1">
      <c r="A50" s="2532"/>
      <c r="B50" s="3607" t="s">
        <v>1344</v>
      </c>
      <c r="C50" s="3607"/>
      <c r="D50" s="2533"/>
      <c r="E50" s="322"/>
      <c r="F50" s="2408"/>
      <c r="G50" s="3678"/>
      <c r="H50" s="2298" t="s">
        <v>2135</v>
      </c>
      <c r="I50" s="2297"/>
      <c r="J50" s="3690" t="s">
        <v>1345</v>
      </c>
      <c r="K50" s="3690"/>
      <c r="L50" s="3690"/>
      <c r="M50" s="3690"/>
      <c r="N50" s="3690"/>
      <c r="O50" s="3690"/>
    </row>
    <row r="51" spans="1:35" ht="20.45" customHeight="1">
      <c r="A51" s="2534"/>
      <c r="B51" s="3607" t="s">
        <v>1346</v>
      </c>
      <c r="C51" s="3607"/>
      <c r="D51" s="1074"/>
      <c r="E51" s="317"/>
      <c r="F51" s="2408"/>
      <c r="G51" s="3679"/>
      <c r="H51" s="2298" t="s">
        <v>2136</v>
      </c>
      <c r="I51" s="2297"/>
      <c r="J51" s="2505" t="s">
        <v>1347</v>
      </c>
      <c r="K51" s="3671" t="s">
        <v>1348</v>
      </c>
      <c r="L51" s="3671"/>
      <c r="M51" s="2505" t="s">
        <v>1349</v>
      </c>
      <c r="N51" s="2505" t="s">
        <v>1350</v>
      </c>
      <c r="O51" s="2505" t="s">
        <v>1351</v>
      </c>
    </row>
    <row r="52" spans="1:35" ht="24" customHeight="1">
      <c r="A52" s="2321" t="s">
        <v>1352</v>
      </c>
      <c r="B52" s="3607" t="s">
        <v>1353</v>
      </c>
      <c r="C52" s="3607"/>
      <c r="D52" s="1074">
        <f ca="1">ROUND(D45*'数据-取费表'!B41/(1+'数据-取费表'!C42),0)</f>
        <v>5617</v>
      </c>
      <c r="E52" s="2320" t="s">
        <v>1354</v>
      </c>
      <c r="F52" s="2535">
        <f>'数据-取费表'!B41</f>
        <v>5.5000000000000007E-2</v>
      </c>
      <c r="G52" s="2536"/>
      <c r="H52" s="2525"/>
      <c r="I52" s="1793"/>
      <c r="J52" s="2504">
        <v>1</v>
      </c>
      <c r="K52" s="3672" t="s">
        <v>1355</v>
      </c>
      <c r="L52" s="3672"/>
      <c r="M52" s="2506" t="b">
        <f>D48</f>
        <v>0</v>
      </c>
      <c r="N52" s="2504" t="str">
        <f>E48</f>
        <v>销售额×税（费）率</v>
      </c>
      <c r="O52" s="2507">
        <f>F48</f>
        <v>5.5000000000000007E-2</v>
      </c>
    </row>
    <row r="53" spans="1:35" ht="12" customHeight="1">
      <c r="A53" s="2321" t="s">
        <v>1356</v>
      </c>
      <c r="B53" s="3633" t="s">
        <v>2287</v>
      </c>
      <c r="C53" s="3634"/>
      <c r="D53" s="1074">
        <f ca="1">ROUND(D45*'数据-取费表'!B41/(1+'数据-取费表'!C42),0)</f>
        <v>5617</v>
      </c>
      <c r="E53" s="2320" t="s">
        <v>1354</v>
      </c>
      <c r="F53" s="2535">
        <f>'数据-取费表'!B41</f>
        <v>5.5000000000000007E-2</v>
      </c>
      <c r="G53" s="2536"/>
      <c r="H53" s="2525"/>
      <c r="I53" s="1793"/>
      <c r="J53" s="2504">
        <v>2</v>
      </c>
      <c r="K53" s="3672" t="s">
        <v>1357</v>
      </c>
      <c r="L53" s="3672"/>
      <c r="M53" s="2506">
        <f t="shared" ref="M53:O54" ca="1" si="0">D55</f>
        <v>54</v>
      </c>
      <c r="N53" s="2504" t="str">
        <f t="shared" si="0"/>
        <v>销售额×税（费）率</v>
      </c>
      <c r="O53" s="2507" t="str">
        <f t="shared" si="0"/>
        <v>免征</v>
      </c>
    </row>
    <row r="54" spans="1:35" ht="12" customHeight="1">
      <c r="A54" s="2321" t="s">
        <v>1358</v>
      </c>
      <c r="B54" s="3633" t="s">
        <v>2288</v>
      </c>
      <c r="C54" s="3634"/>
      <c r="D54" s="1074">
        <f ca="1">C68</f>
        <v>5617</v>
      </c>
      <c r="E54" s="317" t="s">
        <v>1359</v>
      </c>
      <c r="F54" s="2535">
        <f>'数据-取费表'!B41</f>
        <v>5.5000000000000007E-2</v>
      </c>
      <c r="G54" s="2536"/>
      <c r="H54" s="2537"/>
      <c r="I54" s="1793"/>
      <c r="J54" s="2504">
        <v>3</v>
      </c>
      <c r="K54" s="3672" t="s">
        <v>1360</v>
      </c>
      <c r="L54" s="3672"/>
      <c r="M54" s="2506">
        <f t="shared" ca="1" si="0"/>
        <v>60787</v>
      </c>
      <c r="N54" s="2504" t="str">
        <f t="shared" si="0"/>
        <v>增值额×税（费）率</v>
      </c>
      <c r="O54" s="2508" t="str">
        <f t="shared" si="0"/>
        <v>免征</v>
      </c>
    </row>
    <row r="55" spans="1:35" ht="24" customHeight="1">
      <c r="A55" s="3622" t="s">
        <v>1361</v>
      </c>
      <c r="B55" s="3623"/>
      <c r="C55" s="3623"/>
      <c r="D55" s="2310">
        <f ca="1">IF(H55="个人住宅",0,ROUND(D45*I55,0))</f>
        <v>54</v>
      </c>
      <c r="E55" s="2320" t="s">
        <v>1362</v>
      </c>
      <c r="F55" s="2535" t="str">
        <f>IF(H55="正常",I55,"免征")</f>
        <v>免征</v>
      </c>
      <c r="G55" s="2536"/>
      <c r="H55" s="2531"/>
      <c r="I55" s="155">
        <f>'数据-取费表'!B49</f>
        <v>5.0000000000000001E-4</v>
      </c>
      <c r="J55" s="2504">
        <f>IF(H59="非个人房产","",4)</f>
        <v>4</v>
      </c>
      <c r="K55" s="3672" t="str">
        <f>IF(H59="非个人房产","——","个人所得税")</f>
        <v>个人所得税</v>
      </c>
      <c r="L55" s="3672"/>
      <c r="M55" s="2509">
        <f ca="1">D59</f>
        <v>1021</v>
      </c>
      <c r="N55" s="2026" t="str">
        <f>E59</f>
        <v>差额计税</v>
      </c>
      <c r="O55" s="2510">
        <f>F59</f>
        <v>0.01</v>
      </c>
    </row>
    <row r="56" spans="1:35" ht="24.75">
      <c r="A56" s="3622" t="s">
        <v>1363</v>
      </c>
      <c r="B56" s="3623"/>
      <c r="C56" s="3623"/>
      <c r="D56" s="2310">
        <f ca="1">IF(H56="个人住宅",D57,D58)</f>
        <v>60787</v>
      </c>
      <c r="E56" s="2320" t="s">
        <v>1364</v>
      </c>
      <c r="F56" s="2535" t="str">
        <f>IF(H56="正常",F58,"免征")</f>
        <v>免征</v>
      </c>
      <c r="G56" s="2538" t="s">
        <v>1365</v>
      </c>
      <c r="H56" s="2539"/>
      <c r="I56" s="1794"/>
      <c r="J56" s="2504" t="str">
        <f>IF(项目基本情况!K6="上海银行",IF(J55="",4,J55+1),"")</f>
        <v/>
      </c>
      <c r="K56" s="3695" t="str">
        <f>IF(项目基本情况!K6="上海银行","其他处置费用","")</f>
        <v/>
      </c>
      <c r="L56" s="3696"/>
      <c r="M56" s="2506" t="str">
        <f>IF(项目基本情况!K6="上海银行",M69,"")</f>
        <v/>
      </c>
      <c r="N56" s="3695" t="str">
        <f>IF(项目基本情况!K6="上海银行","包含处置中涉及的律师、诉讼、拍卖、评估等费用","")</f>
        <v/>
      </c>
      <c r="O56" s="3698"/>
    </row>
    <row r="57" spans="1:35" ht="12.75">
      <c r="A57" s="2321" t="s">
        <v>1341</v>
      </c>
      <c r="B57" s="3633" t="s">
        <v>1366</v>
      </c>
      <c r="C57" s="3634"/>
      <c r="D57" s="1576">
        <v>0</v>
      </c>
      <c r="E57" s="314" t="s">
        <v>1343</v>
      </c>
      <c r="F57" s="292"/>
      <c r="G57" s="2536"/>
      <c r="H57" s="2540"/>
      <c r="I57" s="1794"/>
      <c r="J57" s="3672">
        <f>IF(AND(J55="",J56=""),4,IF(项目基本情况!K6="上海银行",结果表!J56+1,结果表!J55+1))</f>
        <v>5</v>
      </c>
      <c r="K57" s="3672" t="s">
        <v>1367</v>
      </c>
      <c r="L57" s="2511" t="s">
        <v>1368</v>
      </c>
      <c r="M57" s="2512"/>
      <c r="N57" s="2513">
        <f ca="1">SUMIF(M52:M56,"&lt;9e307")</f>
        <v>61862</v>
      </c>
      <c r="O57" s="2514"/>
      <c r="P57" s="2670" t="e">
        <f ca="1">N57/M49</f>
        <v>#VALUE!</v>
      </c>
    </row>
    <row r="58" spans="1:35" ht="24.75">
      <c r="A58" s="2321" t="s">
        <v>1352</v>
      </c>
      <c r="B58" s="3633" t="s">
        <v>1369</v>
      </c>
      <c r="C58" s="3607"/>
      <c r="D58" s="2310">
        <f ca="1">IF(H58="转让取得",C81,C97)</f>
        <v>60787</v>
      </c>
      <c r="E58" s="2320" t="s">
        <v>1364</v>
      </c>
      <c r="F58" s="292" t="s">
        <v>28</v>
      </c>
      <c r="G58" s="2536"/>
      <c r="H58" s="2539"/>
      <c r="I58" s="1794"/>
      <c r="J58" s="3672"/>
      <c r="K58" s="3672"/>
      <c r="L58" s="2511" t="s">
        <v>1370</v>
      </c>
      <c r="M58" s="2515"/>
      <c r="N58" s="2516" t="str">
        <f ca="1">NUMBERSTRING(INT(N57*10000),2)&amp;"元整"</f>
        <v>陆亿壹仟捌佰陆拾贰万元整</v>
      </c>
      <c r="O58" s="2517"/>
    </row>
    <row r="59" spans="1:35" ht="24.75" thickBot="1">
      <c r="A59" s="3675" t="s">
        <v>1371</v>
      </c>
      <c r="B59" s="3676"/>
      <c r="C59" s="3676"/>
      <c r="D59" s="2541">
        <f ca="1">IF(H59="非个人房产","——",IF(H59="个人住宅（满五唯一有凭证）",0,IF(H59="个人其他（无凭证）",ROUND(D45*F59,0),ROUND(C67*F59,0))))</f>
        <v>1021</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3">
        <f>J57+1</f>
        <v>6</v>
      </c>
      <c r="K59" s="3672" t="s">
        <v>1372</v>
      </c>
      <c r="L59" s="2504" t="s">
        <v>1368</v>
      </c>
      <c r="M59" s="2518"/>
      <c r="N59" s="2519" t="e">
        <f ca="1">M49-N57</f>
        <v>#VALUE!</v>
      </c>
      <c r="O59" s="2520"/>
    </row>
    <row r="60" spans="1:35" ht="12" customHeight="1">
      <c r="A60" s="1795"/>
      <c r="B60" s="1733"/>
      <c r="C60" s="1733"/>
      <c r="D60" s="1733"/>
      <c r="E60" s="1564"/>
      <c r="F60" s="1794"/>
      <c r="G60" s="1794"/>
      <c r="H60" s="1796"/>
      <c r="I60" s="119"/>
      <c r="J60" s="3674"/>
      <c r="K60" s="3672"/>
      <c r="L60" s="2511" t="s">
        <v>1370</v>
      </c>
      <c r="M60" s="2515"/>
      <c r="N60" s="2516" t="e">
        <f ca="1">NUMBERSTRING(INT(N59*10000),2)&amp;"元整"</f>
        <v>#VALUE!</v>
      </c>
      <c r="O60" s="2517"/>
    </row>
    <row r="61" spans="1:35" ht="13.5" thickBot="1">
      <c r="A61" s="3620" t="s">
        <v>1373</v>
      </c>
      <c r="B61" s="3620"/>
      <c r="C61" s="3620"/>
      <c r="D61" s="3620"/>
      <c r="E61" s="3620"/>
      <c r="F61" s="1794"/>
      <c r="G61" s="1794"/>
      <c r="H61" s="1796"/>
      <c r="I61" s="119"/>
      <c r="J61" s="2504">
        <f>J59+1</f>
        <v>7</v>
      </c>
      <c r="K61" s="3672" t="s">
        <v>1374</v>
      </c>
      <c r="L61" s="3672"/>
      <c r="M61" s="2521"/>
      <c r="N61" s="2522" t="e">
        <f ca="1">ROUND(N59*10000/'数据-汇总表'!E3,0)</f>
        <v>#VALUE!</v>
      </c>
      <c r="O61" s="2523"/>
    </row>
    <row r="62" spans="1:35" ht="12.75">
      <c r="A62" s="3638" t="s">
        <v>1375</v>
      </c>
      <c r="B62" s="3639"/>
      <c r="C62" s="2007"/>
      <c r="D62" s="2007" t="s">
        <v>1376</v>
      </c>
      <c r="E62" s="156" t="s">
        <v>1377</v>
      </c>
      <c r="F62" s="1794"/>
      <c r="G62" s="1794"/>
      <c r="H62" s="1796"/>
      <c r="I62" s="119"/>
    </row>
    <row r="63" spans="1:35" ht="12.75">
      <c r="A63" s="163" t="s">
        <v>330</v>
      </c>
      <c r="B63" s="157" t="s">
        <v>1378</v>
      </c>
      <c r="C63" s="2545">
        <f ca="1">ROUND((C64+C65)/(1+'数据-取费表'!C42),0)</f>
        <v>102121</v>
      </c>
      <c r="D63" s="157"/>
      <c r="E63" s="158"/>
      <c r="F63" s="1794"/>
      <c r="G63" s="1794"/>
      <c r="H63" s="1796"/>
      <c r="I63" s="119"/>
      <c r="J63" s="3697"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107227</v>
      </c>
      <c r="D64" s="160" t="s">
        <v>26</v>
      </c>
      <c r="E64" s="162"/>
      <c r="F64" s="1794"/>
      <c r="G64" s="1794"/>
      <c r="H64" s="1796"/>
      <c r="I64" s="119"/>
      <c r="J64" s="3697"/>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7"/>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7"/>
      <c r="K66" s="1318" t="s">
        <v>1387</v>
      </c>
      <c r="L66" s="1318" t="e">
        <f>M49*0.5%</f>
        <v>#VALUE!</v>
      </c>
      <c r="M66" s="292" t="e">
        <f>IF(L66&gt;0.5,0.5,ROUND(L66,0))</f>
        <v>#VALUE!</v>
      </c>
      <c r="N66" s="2525" t="s">
        <v>1388</v>
      </c>
      <c r="Z66" s="1738"/>
      <c r="AI66" s="1739"/>
    </row>
    <row r="67" spans="1:35" ht="14.25" customHeight="1">
      <c r="A67" s="163" t="s">
        <v>328</v>
      </c>
      <c r="B67" s="164" t="s">
        <v>1389</v>
      </c>
      <c r="C67" s="2549">
        <f ca="1">C63-C66</f>
        <v>102121</v>
      </c>
      <c r="D67" s="160" t="s">
        <v>26</v>
      </c>
      <c r="E67" s="162"/>
      <c r="F67" s="1794"/>
      <c r="G67" s="1794"/>
      <c r="H67" s="1796"/>
      <c r="I67" s="119"/>
      <c r="J67" s="3697"/>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5617</v>
      </c>
      <c r="D68" s="2551">
        <f>'数据-取费表'!B41</f>
        <v>5.5000000000000007E-2</v>
      </c>
      <c r="E68" s="168"/>
      <c r="F68" s="1794"/>
      <c r="G68" s="1794"/>
      <c r="H68" s="1796"/>
      <c r="I68" s="119"/>
      <c r="J68" s="3697"/>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7"/>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59" t="s">
        <v>1394</v>
      </c>
      <c r="B70" s="3660"/>
      <c r="C70" s="3660"/>
      <c r="D70" s="3660"/>
      <c r="E70" s="3660"/>
      <c r="F70" s="3660"/>
      <c r="G70" s="3660"/>
      <c r="H70" s="3660"/>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38" t="s">
        <v>1375</v>
      </c>
      <c r="B71" s="3639"/>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102121</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511</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3" t="s">
        <v>1402</v>
      </c>
      <c r="F76" s="3607"/>
      <c r="G76" s="3607"/>
      <c r="H76" s="3658"/>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511</v>
      </c>
      <c r="D78" s="2558">
        <f>'数据-取费表'!B43</f>
        <v>5.000000000000001E-3</v>
      </c>
      <c r="E78" s="3617" t="s">
        <v>1406</v>
      </c>
      <c r="F78" s="3618"/>
      <c r="G78" s="3618"/>
      <c r="H78" s="3627"/>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101610</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198.8454011741683</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60787</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59" t="s">
        <v>1410</v>
      </c>
      <c r="B83" s="3660"/>
      <c r="C83" s="3660"/>
      <c r="D83" s="3660"/>
      <c r="E83" s="3660"/>
      <c r="F83" s="3660"/>
      <c r="G83" s="3660"/>
      <c r="H83" s="3660"/>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38" t="s">
        <v>1375</v>
      </c>
      <c r="B84" s="3639"/>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102121</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511</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99" t="s">
        <v>2129</v>
      </c>
      <c r="H90" s="3700"/>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7" t="s">
        <v>1419</v>
      </c>
      <c r="F91" s="3618"/>
      <c r="G91" s="3618"/>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7" t="s">
        <v>1422</v>
      </c>
      <c r="F92" s="3618"/>
      <c r="G92" s="3618"/>
      <c r="H92" s="3627"/>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511</v>
      </c>
      <c r="D93" s="2558">
        <f>'数据-取费表'!B43</f>
        <v>5.000000000000001E-3</v>
      </c>
      <c r="E93" s="3617" t="s">
        <v>1406</v>
      </c>
      <c r="F93" s="3618"/>
      <c r="G93" s="3618"/>
      <c r="H93" s="3627"/>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28" t="s">
        <v>1426</v>
      </c>
      <c r="F94" s="3629"/>
      <c r="G94" s="3629"/>
      <c r="H94" s="3630"/>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101610</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198.8454011741683</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60787</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19"/>
      <c r="E100" s="3602" t="s">
        <v>1429</v>
      </c>
      <c r="F100" s="3602"/>
      <c r="G100" s="3602"/>
      <c r="H100" s="3619"/>
      <c r="I100" s="119"/>
    </row>
    <row r="101" spans="1:35" ht="18.75" customHeight="1">
      <c r="A101" s="3680" t="s">
        <v>1430</v>
      </c>
      <c r="B101" s="3681"/>
      <c r="C101" s="2566" t="str">
        <f>C4</f>
        <v>成本法</v>
      </c>
      <c r="D101" s="2567" t="str">
        <f>D4</f>
        <v>收益法-酒店模型</v>
      </c>
      <c r="E101" s="3694" t="s">
        <v>1431</v>
      </c>
      <c r="F101" s="3651"/>
      <c r="G101" s="1813" t="s">
        <v>1432</v>
      </c>
      <c r="H101" s="2576">
        <f ca="1">H118</f>
        <v>107227</v>
      </c>
      <c r="I101" s="119"/>
    </row>
    <row r="102" spans="1:35" ht="18.75" customHeight="1">
      <c r="A102" s="3653" t="s">
        <v>1433</v>
      </c>
      <c r="B102" s="2565" t="s">
        <v>1432</v>
      </c>
      <c r="C102" s="2566">
        <f ca="1">IF(D32="楼面单价",ROUND(C19,0),C19)</f>
        <v>134346</v>
      </c>
      <c r="D102" s="2567">
        <f ca="1">IF(D32="楼面单价",ROUND(D19,0),D19)</f>
        <v>80107</v>
      </c>
      <c r="E102" s="3694"/>
      <c r="F102" s="3651"/>
      <c r="G102" s="1813" t="s">
        <v>1434</v>
      </c>
      <c r="H102" s="2536">
        <f ca="1">I118</f>
        <v>7522</v>
      </c>
      <c r="I102" s="119"/>
    </row>
    <row r="103" spans="1:35" ht="42.75" customHeight="1">
      <c r="A103" s="3653"/>
      <c r="B103" s="2565" t="s">
        <v>1434</v>
      </c>
      <c r="C103" s="2568">
        <f ca="1">C20</f>
        <v>9424</v>
      </c>
      <c r="D103" s="2569">
        <f ca="1">D20</f>
        <v>5619</v>
      </c>
      <c r="E103" s="3688" t="s">
        <v>1435</v>
      </c>
      <c r="F103" s="3689"/>
      <c r="G103" s="1814" t="s">
        <v>1436</v>
      </c>
      <c r="H103" s="2576">
        <f>IF(D36="正常操作",H104+H105+H106,H105+H106)</f>
        <v>0</v>
      </c>
      <c r="I103" s="119"/>
    </row>
    <row r="104" spans="1:35" ht="18.75" customHeight="1">
      <c r="A104" s="3653" t="s">
        <v>1437</v>
      </c>
      <c r="B104" s="2570" t="s">
        <v>1432</v>
      </c>
      <c r="C104" s="2571">
        <f ca="1">H118</f>
        <v>107227</v>
      </c>
      <c r="D104" s="2572"/>
      <c r="E104" s="1660" t="s">
        <v>1438</v>
      </c>
      <c r="F104" s="1652"/>
      <c r="G104" s="1814" t="s">
        <v>1436</v>
      </c>
      <c r="H104" s="2577">
        <f>IF(D36="同一抵押权人同一抵押物续贷",C36&amp;"（续贷，未扣减，详见特别提示）",C36)</f>
        <v>0</v>
      </c>
      <c r="I104" s="119"/>
    </row>
    <row r="105" spans="1:35" ht="18.75" customHeight="1" thickBot="1">
      <c r="A105" s="3654"/>
      <c r="B105" s="2573" t="s">
        <v>1434</v>
      </c>
      <c r="C105" s="2574">
        <f ca="1">I118</f>
        <v>7522</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50" t="str">
        <f>IF(项目基本情况!E8="已注销","——","3.房地产抵押价值")</f>
        <v>3.房地产抵押价值</v>
      </c>
      <c r="F107" s="3651"/>
      <c r="G107" s="1813" t="s">
        <v>1432</v>
      </c>
      <c r="H107" s="2576">
        <f ca="1">IF(E107="——","——",H101-H103)</f>
        <v>107227</v>
      </c>
      <c r="I107" s="119"/>
    </row>
    <row r="108" spans="1:35" ht="18.75" customHeight="1">
      <c r="A108" s="119"/>
      <c r="B108" s="119"/>
      <c r="C108" s="119"/>
      <c r="D108" s="119"/>
      <c r="E108" s="3650"/>
      <c r="F108" s="3651"/>
      <c r="G108" s="1813" t="s">
        <v>1434</v>
      </c>
      <c r="H108" s="2536">
        <f ca="1">IF(H107=H101,H102,ROUND(H107*10000/'数据-汇总表'!E3,0))</f>
        <v>7522</v>
      </c>
      <c r="I108" s="119"/>
    </row>
    <row r="109" spans="1:35" ht="18.75" customHeight="1">
      <c r="A109" s="119"/>
      <c r="B109" s="119"/>
      <c r="C109" s="119"/>
      <c r="D109" s="119"/>
      <c r="E109" s="3650" t="str">
        <f>IF(项目基本情况!E8="已注销及未注销","4.抵押担保权已注销时的房地产抵押价值",IF(项目基本情况!E8="已注销","3.抵押担保权已注销时的房地产抵押价值","——"))</f>
        <v>——</v>
      </c>
      <c r="F109" s="3651"/>
      <c r="G109" s="1813" t="s">
        <v>1432</v>
      </c>
      <c r="H109" s="2579" t="str">
        <f>IF(E109="——","——",H101-H105-H106)</f>
        <v>——</v>
      </c>
      <c r="I109" s="119"/>
    </row>
    <row r="110" spans="1:35" ht="18.75" customHeight="1">
      <c r="A110" s="119"/>
      <c r="B110" s="119"/>
      <c r="C110" s="119"/>
      <c r="D110" s="119"/>
      <c r="E110" s="3650"/>
      <c r="F110" s="3651"/>
      <c r="G110" s="1813" t="s">
        <v>1434</v>
      </c>
      <c r="H110" s="2536" t="str">
        <f>IF(H109="——","——",ROUND(H109*10000/'数据-汇总表'!E3,0))</f>
        <v>——</v>
      </c>
      <c r="I110" s="119"/>
    </row>
    <row r="111" spans="1:35" ht="18.75" customHeight="1">
      <c r="A111" s="119"/>
      <c r="B111" s="119"/>
      <c r="C111" s="119"/>
      <c r="D111" s="119"/>
      <c r="E111" s="3682" t="str">
        <f>IF(项目基本情况!E9="抵押净值",IF(OR(项目基本情况!E8="已注销",项目基本情况!E8="房地产抵押价值"),"4.抵押净值","5.抵押净值"),"——")</f>
        <v>——</v>
      </c>
      <c r="F111" s="3652"/>
      <c r="G111" s="1813" t="s">
        <v>1432</v>
      </c>
      <c r="H111" s="2576" t="str">
        <f>IF(E111="——","——",N59)</f>
        <v>——</v>
      </c>
      <c r="I111" s="119"/>
    </row>
    <row r="112" spans="1:35" ht="18.75" customHeight="1" thickBot="1">
      <c r="A112" s="119"/>
      <c r="B112" s="119"/>
      <c r="C112" s="119"/>
      <c r="D112" s="119"/>
      <c r="E112" s="3683"/>
      <c r="F112" s="3684"/>
      <c r="G112" s="1816" t="s">
        <v>1434</v>
      </c>
      <c r="H112" s="2580" t="str">
        <f>IF(E111="——","——",N61)</f>
        <v>——</v>
      </c>
      <c r="I112" s="119"/>
    </row>
    <row r="113" spans="1:27" ht="18.75" customHeight="1">
      <c r="A113" s="119"/>
      <c r="B113" s="119"/>
      <c r="C113" s="119"/>
      <c r="D113" s="119"/>
      <c r="E113" s="3655" t="s">
        <v>1440</v>
      </c>
      <c r="F113" s="3655"/>
      <c r="G113" s="3655"/>
      <c r="H113" s="3655"/>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10294</v>
      </c>
      <c r="E118" s="2315">
        <f ca="1">ROUND(IF(C33="自定义",IF(D32="楼面单价",C34,D118*10000/B118),I118-G118),0)</f>
        <v>722</v>
      </c>
      <c r="F118" s="2315">
        <f ca="1">ROUND(IF(D32="总价",C35,G118*B118/10000),0)</f>
        <v>96933</v>
      </c>
      <c r="G118" s="2315">
        <f ca="1">ROUND(IF(D32="楼面单价",C35,F118*10000/B118),0)</f>
        <v>6800</v>
      </c>
      <c r="H118" s="2315">
        <f ca="1">ROUND(IF(D32="总价",C32,I118*B118/10000),0)</f>
        <v>107227</v>
      </c>
      <c r="I118" s="2315">
        <f ca="1">ROUND(IF(D32="楼面单价",C32,H118*10000/B118),0)</f>
        <v>7522</v>
      </c>
    </row>
    <row r="119" spans="1:27" ht="18.75" customHeight="1">
      <c r="A119" s="3621" t="s">
        <v>1452</v>
      </c>
      <c r="B119" s="3621"/>
      <c r="C119" s="3621"/>
      <c r="D119" s="3661" t="str">
        <f ca="1">NUMBERSTRING(INT(D118*10000),2)&amp;"元整"</f>
        <v>壹亿零贰佰玖拾肆万元整</v>
      </c>
      <c r="E119" s="3663"/>
      <c r="F119" s="3661" t="str">
        <f ca="1">NUMBERSTRING(INT(F118*10000),2)&amp;"元整"</f>
        <v>玖亿陆仟玖佰叁拾叁万元整</v>
      </c>
      <c r="G119" s="3663"/>
      <c r="H119" s="3661" t="str">
        <f ca="1">NUMBERSTRING(INT(H118*10000),2)&amp;"元整"</f>
        <v>壹拾亿柒仟贰佰贰拾柒万元整</v>
      </c>
      <c r="I119" s="3663"/>
    </row>
    <row r="120" spans="1:27" ht="18.75" customHeight="1">
      <c r="A120" s="3685" t="str">
        <f>IF(项目基本情况!B9="房地产市场价值","",MID(E103,3,LEN(E103)-2))</f>
        <v/>
      </c>
      <c r="B120" s="3686"/>
      <c r="C120" s="3687"/>
      <c r="D120" s="3685">
        <f>H103</f>
        <v>0</v>
      </c>
      <c r="E120" s="3686"/>
      <c r="F120" s="3686"/>
      <c r="G120" s="3686"/>
      <c r="H120" s="3686"/>
      <c r="I120" s="3687"/>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1" t="s">
        <v>1452</v>
      </c>
      <c r="B121" s="3662"/>
      <c r="C121" s="3663"/>
      <c r="D121" s="3661" t="str">
        <f>IF(D120=0,"零元整",NUMBERSTRING(INT(D120*10000),2)&amp;"元整")</f>
        <v>零元整</v>
      </c>
      <c r="E121" s="3662"/>
      <c r="F121" s="3662"/>
      <c r="G121" s="3662"/>
      <c r="H121" s="3662"/>
      <c r="I121" s="3663"/>
      <c r="AA121" s="712"/>
    </row>
    <row r="122" spans="1:27" ht="18.75" customHeight="1">
      <c r="A122" s="3652" t="str">
        <f>IF(项目基本情况!B9="房地产市场价值","",MID(E107,3,LEN(E107)-2))</f>
        <v/>
      </c>
      <c r="B122" s="3652"/>
      <c r="C122" s="3652"/>
      <c r="D122" s="3685">
        <f ca="1">H107</f>
        <v>107227</v>
      </c>
      <c r="E122" s="3686"/>
      <c r="F122" s="3686"/>
      <c r="G122" s="3686"/>
      <c r="H122" s="3686"/>
      <c r="I122" s="3687"/>
      <c r="AA122" s="712"/>
    </row>
    <row r="123" spans="1:27" ht="18.75" customHeight="1">
      <c r="A123" s="3621" t="s">
        <v>1452</v>
      </c>
      <c r="B123" s="3621"/>
      <c r="C123" s="3621"/>
      <c r="D123" s="3661" t="str">
        <f ca="1">NUMBERSTRING(INT(D122*10000),2)&amp;"元整"</f>
        <v>壹拾亿柒仟贰佰贰拾柒万元整</v>
      </c>
      <c r="E123" s="3662"/>
      <c r="F123" s="3662"/>
      <c r="G123" s="3662"/>
      <c r="H123" s="3662"/>
      <c r="I123" s="3663"/>
      <c r="AA123" s="712"/>
    </row>
    <row r="124" spans="1:27" ht="18.75" customHeight="1">
      <c r="A124" s="3652" t="str">
        <f>IF(项目基本情况!B9="房地产市场价值","",MID(E109,3,LEN(E109)-2))</f>
        <v/>
      </c>
      <c r="B124" s="3652"/>
      <c r="C124" s="3652"/>
      <c r="D124" s="3685" t="str">
        <f>H109</f>
        <v>——</v>
      </c>
      <c r="E124" s="3686"/>
      <c r="F124" s="3686"/>
      <c r="G124" s="3686"/>
      <c r="H124" s="3686"/>
      <c r="I124" s="3687"/>
      <c r="AA124" s="712"/>
    </row>
    <row r="125" spans="1:27" ht="18.75" customHeight="1">
      <c r="A125" s="3621" t="s">
        <v>1452</v>
      </c>
      <c r="B125" s="3621"/>
      <c r="C125" s="3621"/>
      <c r="D125" s="3661" t="e">
        <f>NUMBERSTRING(INT(D124*10000),2)&amp;"元整"</f>
        <v>#VALUE!</v>
      </c>
      <c r="E125" s="3662"/>
      <c r="F125" s="3662"/>
      <c r="G125" s="3662"/>
      <c r="H125" s="3662"/>
      <c r="I125" s="3663"/>
      <c r="AA125" s="712"/>
    </row>
    <row r="126" spans="1:27" ht="18.75" customHeight="1">
      <c r="A126" s="3652" t="str">
        <f>IF(项目基本情况!B9="房地产市场价值","",MID(E111,3,LEN(E111)-2))</f>
        <v/>
      </c>
      <c r="B126" s="3652"/>
      <c r="C126" s="3652"/>
      <c r="D126" s="3685" t="str">
        <f>H111</f>
        <v>——</v>
      </c>
      <c r="E126" s="3686"/>
      <c r="F126" s="3686"/>
      <c r="G126" s="3686"/>
      <c r="H126" s="3686"/>
      <c r="I126" s="3687"/>
      <c r="AA126" s="712"/>
    </row>
    <row r="127" spans="1:27" ht="18.75" customHeight="1">
      <c r="A127" s="3621" t="s">
        <v>1452</v>
      </c>
      <c r="B127" s="3621"/>
      <c r="C127" s="3621"/>
      <c r="D127" s="3661" t="e">
        <f>NUMBERSTRING(INT(D126*10000),2)&amp;"元整"</f>
        <v>#VALUE!</v>
      </c>
      <c r="E127" s="3662"/>
      <c r="F127" s="3662"/>
      <c r="G127" s="3662"/>
      <c r="H127" s="3662"/>
      <c r="I127" s="3663"/>
      <c r="AA127" s="712"/>
    </row>
    <row r="128" spans="1:27" ht="21.75" customHeight="1">
      <c r="A128" s="3668" t="s">
        <v>1453</v>
      </c>
      <c r="B128" s="3668"/>
      <c r="C128" s="3668"/>
      <c r="D128" s="3668"/>
      <c r="E128" s="3668"/>
      <c r="F128" s="3668"/>
      <c r="G128" s="3668"/>
      <c r="H128" s="3668"/>
      <c r="I128" s="3668"/>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E56" sqref="E56"/>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8086</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567</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30" ht="35.25" customHeight="1">
      <c r="A5" s="348"/>
      <c r="B5" s="349"/>
      <c r="C5" s="3734" t="s">
        <v>1673</v>
      </c>
      <c r="D5" s="3735"/>
      <c r="E5" s="3741" t="str">
        <f>土地案例!A6</f>
        <v>永盛路东侧,新华大街南侧</v>
      </c>
      <c r="F5" s="3742"/>
      <c r="G5" s="3734" t="str">
        <f>土地案例!A12</f>
        <v>平安大街北侧,北经三路东侧</v>
      </c>
      <c r="H5" s="3735"/>
      <c r="I5" s="3734" t="str">
        <f>土地案例!A13</f>
        <v>平安大街北侧,北经三路西侧</v>
      </c>
      <c r="J5" s="3735"/>
      <c r="K5" s="549"/>
      <c r="L5" s="2695"/>
      <c r="M5" s="2696"/>
      <c r="N5" s="2696"/>
      <c r="O5" s="2696"/>
      <c r="P5" s="3722"/>
      <c r="Q5" s="3723"/>
      <c r="R5" s="3728"/>
      <c r="S5" s="3729"/>
      <c r="T5" s="3728"/>
      <c r="U5" s="3729"/>
      <c r="V5" s="3713"/>
      <c r="W5" s="3713"/>
      <c r="X5" s="1341"/>
      <c r="Y5" s="3728"/>
      <c r="Z5" s="3729"/>
      <c r="AA5" s="3715"/>
      <c r="AB5" s="3715"/>
      <c r="AC5" s="3715"/>
    </row>
    <row r="6" spans="1:30"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6" t="s">
        <v>1680</v>
      </c>
      <c r="Q7" s="3738"/>
      <c r="R7" s="688" t="s">
        <v>14</v>
      </c>
      <c r="S7" s="689">
        <f t="shared" ref="S7:S15" si="0">F7</f>
        <v>99.500000000000028</v>
      </c>
      <c r="T7" s="688" t="s">
        <v>14</v>
      </c>
      <c r="U7" s="689">
        <f t="shared" ref="U7:U15" si="1">H7</f>
        <v>99.30000000000004</v>
      </c>
      <c r="V7" s="688" t="s">
        <v>14</v>
      </c>
      <c r="W7" s="689">
        <f t="shared" ref="W7:W15" si="2">J7</f>
        <v>99.200000000000045</v>
      </c>
      <c r="X7" s="690"/>
      <c r="Y7" s="3736" t="s">
        <v>1680</v>
      </c>
      <c r="Z7" s="3737"/>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08"/>
      <c r="Q11" s="1329" t="str">
        <f t="shared" si="6"/>
        <v>容积率</v>
      </c>
      <c r="R11" s="688" t="s">
        <v>14</v>
      </c>
      <c r="S11" s="689">
        <f t="shared" si="0"/>
        <v>99</v>
      </c>
      <c r="T11" s="688" t="s">
        <v>14</v>
      </c>
      <c r="U11" s="689">
        <f t="shared" si="1"/>
        <v>98</v>
      </c>
      <c r="V11" s="688" t="s">
        <v>14</v>
      </c>
      <c r="W11" s="689">
        <f t="shared" si="2"/>
        <v>98</v>
      </c>
      <c r="X11" s="690"/>
      <c r="Y11" s="3608"/>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08"/>
      <c r="Q12" s="1329" t="str">
        <f t="shared" si="6"/>
        <v>配建</v>
      </c>
      <c r="R12" s="688" t="s">
        <v>14</v>
      </c>
      <c r="S12" s="689">
        <f t="shared" si="0"/>
        <v>100</v>
      </c>
      <c r="T12" s="688" t="s">
        <v>14</v>
      </c>
      <c r="U12" s="689">
        <f t="shared" si="1"/>
        <v>100</v>
      </c>
      <c r="V12" s="688" t="s">
        <v>14</v>
      </c>
      <c r="W12" s="689">
        <f t="shared" si="2"/>
        <v>100</v>
      </c>
      <c r="X12" s="690"/>
      <c r="Y12" s="3608"/>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09" t="s">
        <v>1691</v>
      </c>
      <c r="Q15" s="1338" t="str">
        <f t="shared" si="6"/>
        <v>居住社区成熟度</v>
      </c>
      <c r="R15" s="692" t="s">
        <v>14</v>
      </c>
      <c r="S15" s="693">
        <f t="shared" si="0"/>
        <v>100</v>
      </c>
      <c r="T15" s="692" t="s">
        <v>14</v>
      </c>
      <c r="U15" s="693">
        <f t="shared" si="1"/>
        <v>100</v>
      </c>
      <c r="V15" s="692" t="s">
        <v>14</v>
      </c>
      <c r="W15" s="693">
        <f t="shared" si="2"/>
        <v>100</v>
      </c>
      <c r="X15" s="1341"/>
      <c r="Y15" s="3709"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10"/>
      <c r="Q17" s="1338" t="str">
        <f>B17</f>
        <v>商业繁华度</v>
      </c>
      <c r="R17" s="692" t="s">
        <v>14</v>
      </c>
      <c r="S17" s="693">
        <f>F17</f>
        <v>95</v>
      </c>
      <c r="T17" s="692" t="s">
        <v>14</v>
      </c>
      <c r="U17" s="693">
        <f>H17</f>
        <v>95</v>
      </c>
      <c r="V17" s="692" t="s">
        <v>14</v>
      </c>
      <c r="W17" s="693">
        <f>J17</f>
        <v>95</v>
      </c>
      <c r="X17" s="1341"/>
      <c r="Y17" s="3710"/>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10"/>
      <c r="Q19" s="1338" t="str">
        <f>B19</f>
        <v>办公集聚程度</v>
      </c>
      <c r="R19" s="692" t="s">
        <v>14</v>
      </c>
      <c r="S19" s="693">
        <f>F19</f>
        <v>100</v>
      </c>
      <c r="T19" s="692" t="s">
        <v>14</v>
      </c>
      <c r="U19" s="693">
        <f>H19</f>
        <v>100</v>
      </c>
      <c r="V19" s="692" t="s">
        <v>14</v>
      </c>
      <c r="W19" s="693">
        <f>J19</f>
        <v>100</v>
      </c>
      <c r="X19" s="1341"/>
      <c r="Y19" s="3710"/>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10"/>
      <c r="Q20" s="1338"/>
      <c r="R20" s="692"/>
      <c r="S20" s="693"/>
      <c r="T20" s="692"/>
      <c r="U20" s="693"/>
      <c r="V20" s="692"/>
      <c r="W20" s="693"/>
      <c r="X20" s="1341"/>
      <c r="Y20" s="3710"/>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10"/>
      <c r="Q21" s="1338" t="str">
        <f>B21</f>
        <v>交通便捷度</v>
      </c>
      <c r="R21" s="692" t="s">
        <v>14</v>
      </c>
      <c r="S21" s="693">
        <f>F21</f>
        <v>100</v>
      </c>
      <c r="T21" s="692" t="s">
        <v>14</v>
      </c>
      <c r="U21" s="693">
        <f>H21</f>
        <v>100</v>
      </c>
      <c r="V21" s="692" t="s">
        <v>14</v>
      </c>
      <c r="W21" s="693">
        <f>J21</f>
        <v>100</v>
      </c>
      <c r="X21" s="1341"/>
      <c r="Y21" s="3710"/>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10"/>
      <c r="Q23" s="1338" t="str">
        <f t="shared" ref="Q23:Q37" si="8">B23</f>
        <v>区域土地利用方向</v>
      </c>
      <c r="R23" s="692" t="s">
        <v>14</v>
      </c>
      <c r="S23" s="693">
        <f>F23</f>
        <v>100</v>
      </c>
      <c r="T23" s="692" t="s">
        <v>14</v>
      </c>
      <c r="U23" s="693">
        <f>H23</f>
        <v>100</v>
      </c>
      <c r="V23" s="692" t="s">
        <v>14</v>
      </c>
      <c r="W23" s="693">
        <f>J23</f>
        <v>100</v>
      </c>
      <c r="X23" s="1341"/>
      <c r="Y23" s="3710"/>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10"/>
      <c r="Q24" s="1338"/>
      <c r="R24" s="692"/>
      <c r="S24" s="693"/>
      <c r="T24" s="692"/>
      <c r="U24" s="693"/>
      <c r="V24" s="692"/>
      <c r="W24" s="693"/>
      <c r="X24" s="1341"/>
      <c r="Y24" s="3710"/>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10"/>
      <c r="Q25" s="1338" t="str">
        <f t="shared" si="8"/>
        <v>自然及人文环境状况</v>
      </c>
      <c r="R25" s="692" t="s">
        <v>14</v>
      </c>
      <c r="S25" s="693">
        <f>F25</f>
        <v>97</v>
      </c>
      <c r="T25" s="692" t="s">
        <v>14</v>
      </c>
      <c r="U25" s="693">
        <f>H25</f>
        <v>97</v>
      </c>
      <c r="V25" s="692" t="s">
        <v>14</v>
      </c>
      <c r="W25" s="693">
        <f>J25</f>
        <v>97</v>
      </c>
      <c r="X25" s="1341"/>
      <c r="Y25" s="3710"/>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10"/>
      <c r="Q26" s="1338"/>
      <c r="R26" s="692"/>
      <c r="S26" s="693"/>
      <c r="T26" s="692"/>
      <c r="U26" s="693"/>
      <c r="V26" s="692"/>
      <c r="W26" s="693"/>
      <c r="X26" s="1341"/>
      <c r="Y26" s="3710"/>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10"/>
      <c r="Q27" s="1329" t="str">
        <f t="shared" si="8"/>
        <v>公共配套设施</v>
      </c>
      <c r="R27" s="688" t="s">
        <v>14</v>
      </c>
      <c r="S27" s="689">
        <f>F27</f>
        <v>100</v>
      </c>
      <c r="T27" s="688" t="s">
        <v>14</v>
      </c>
      <c r="U27" s="689">
        <f>H27</f>
        <v>100</v>
      </c>
      <c r="V27" s="688" t="s">
        <v>14</v>
      </c>
      <c r="W27" s="689">
        <f>J27</f>
        <v>100</v>
      </c>
      <c r="X27" s="690"/>
      <c r="Y27" s="3710"/>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10"/>
      <c r="Q28" s="1329"/>
      <c r="R28" s="688"/>
      <c r="S28" s="689"/>
      <c r="T28" s="688"/>
      <c r="U28" s="689"/>
      <c r="V28" s="688"/>
      <c r="W28" s="689"/>
      <c r="X28" s="690"/>
      <c r="Y28" s="3710"/>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10"/>
      <c r="Q29" s="1329" t="str">
        <f t="shared" ref="Q29" si="9">B29</f>
        <v>基础设施水平</v>
      </c>
      <c r="R29" s="688" t="s">
        <v>14</v>
      </c>
      <c r="S29" s="689">
        <f>F29</f>
        <v>100</v>
      </c>
      <c r="T29" s="688" t="s">
        <v>14</v>
      </c>
      <c r="U29" s="689">
        <f>H29</f>
        <v>100</v>
      </c>
      <c r="V29" s="688" t="s">
        <v>14</v>
      </c>
      <c r="W29" s="689">
        <f>J29</f>
        <v>100</v>
      </c>
      <c r="X29" s="690"/>
      <c r="Y29" s="3710"/>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10"/>
      <c r="Q30" s="1329"/>
      <c r="R30" s="688"/>
      <c r="S30" s="689"/>
      <c r="T30" s="688"/>
      <c r="U30" s="689"/>
      <c r="V30" s="688"/>
      <c r="W30" s="689"/>
      <c r="X30" s="690"/>
      <c r="Y30" s="3710"/>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10"/>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10"/>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10"/>
      <c r="Q32" s="1338" t="str">
        <f t="shared" si="8"/>
        <v>毗邻道路的类型与等级</v>
      </c>
      <c r="R32" s="692" t="s">
        <v>14</v>
      </c>
      <c r="S32" s="693">
        <f t="shared" si="10"/>
        <v>100</v>
      </c>
      <c r="T32" s="692" t="s">
        <v>14</v>
      </c>
      <c r="U32" s="693">
        <f t="shared" si="11"/>
        <v>100</v>
      </c>
      <c r="V32" s="692" t="s">
        <v>14</v>
      </c>
      <c r="W32" s="693">
        <f t="shared" si="12"/>
        <v>100</v>
      </c>
      <c r="X32" s="1341"/>
      <c r="Y32" s="3710"/>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10"/>
      <c r="Q33" s="1338"/>
      <c r="R33" s="692"/>
      <c r="S33" s="693"/>
      <c r="T33" s="692"/>
      <c r="U33" s="693"/>
      <c r="V33" s="692"/>
      <c r="W33" s="693"/>
      <c r="X33" s="1341"/>
      <c r="Y33" s="3710"/>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10"/>
      <c r="Q34" s="1338" t="str">
        <f t="shared" si="8"/>
        <v>土地级别</v>
      </c>
      <c r="R34" s="692" t="s">
        <v>14</v>
      </c>
      <c r="S34" s="693">
        <f t="shared" si="10"/>
        <v>100</v>
      </c>
      <c r="T34" s="692" t="s">
        <v>14</v>
      </c>
      <c r="U34" s="693">
        <f t="shared" si="11"/>
        <v>100</v>
      </c>
      <c r="V34" s="692" t="s">
        <v>14</v>
      </c>
      <c r="W34" s="693">
        <f t="shared" si="12"/>
        <v>100</v>
      </c>
      <c r="X34" s="1341"/>
      <c r="Y34" s="3710"/>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10"/>
      <c r="Q35" s="1338">
        <f t="shared" si="8"/>
        <v>111</v>
      </c>
      <c r="R35" s="692" t="s">
        <v>14</v>
      </c>
      <c r="S35" s="693">
        <f t="shared" si="10"/>
        <v>100</v>
      </c>
      <c r="T35" s="692" t="s">
        <v>14</v>
      </c>
      <c r="U35" s="693">
        <f t="shared" si="11"/>
        <v>100</v>
      </c>
      <c r="V35" s="692" t="s">
        <v>14</v>
      </c>
      <c r="W35" s="693">
        <f t="shared" si="12"/>
        <v>100</v>
      </c>
      <c r="X35" s="1341"/>
      <c r="Y35" s="3710"/>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1" t="s">
        <v>1696</v>
      </c>
      <c r="Q36" s="1338">
        <f t="shared" si="8"/>
        <v>111</v>
      </c>
      <c r="R36" s="692" t="s">
        <v>14</v>
      </c>
      <c r="S36" s="693">
        <f t="shared" si="10"/>
        <v>100</v>
      </c>
      <c r="T36" s="692" t="s">
        <v>14</v>
      </c>
      <c r="U36" s="693">
        <f t="shared" si="11"/>
        <v>100</v>
      </c>
      <c r="V36" s="692" t="s">
        <v>14</v>
      </c>
      <c r="W36" s="693">
        <f t="shared" si="12"/>
        <v>100</v>
      </c>
      <c r="X36" s="1341"/>
      <c r="Y36" s="3712"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2"/>
      <c r="Q37" s="1338">
        <f t="shared" si="8"/>
        <v>111</v>
      </c>
      <c r="R37" s="695" t="s">
        <v>14</v>
      </c>
      <c r="S37" s="696">
        <f t="shared" si="10"/>
        <v>100</v>
      </c>
      <c r="T37" s="695" t="s">
        <v>14</v>
      </c>
      <c r="U37" s="696">
        <f t="shared" si="11"/>
        <v>100</v>
      </c>
      <c r="V37" s="695" t="s">
        <v>14</v>
      </c>
      <c r="W37" s="696">
        <f t="shared" si="12"/>
        <v>100</v>
      </c>
      <c r="X37" s="697"/>
      <c r="Y37" s="3712"/>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2"/>
      <c r="Q38" s="1338" t="str">
        <f>B38</f>
        <v>宗地面积</v>
      </c>
      <c r="R38" s="692" t="s">
        <v>14</v>
      </c>
      <c r="S38" s="693">
        <f t="shared" si="10"/>
        <v>100</v>
      </c>
      <c r="T38" s="692" t="s">
        <v>14</v>
      </c>
      <c r="U38" s="693">
        <f t="shared" si="11"/>
        <v>100</v>
      </c>
      <c r="V38" s="692" t="s">
        <v>14</v>
      </c>
      <c r="W38" s="693">
        <f t="shared" si="12"/>
        <v>100</v>
      </c>
      <c r="X38" s="1341"/>
      <c r="Y38" s="3712"/>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2"/>
      <c r="Q39" s="1338" t="str">
        <f t="shared" ref="Q39:Q45" si="14">B39</f>
        <v>宗地形状</v>
      </c>
      <c r="R39" s="692" t="s">
        <v>14</v>
      </c>
      <c r="S39" s="693">
        <f t="shared" si="10"/>
        <v>100</v>
      </c>
      <c r="T39" s="692" t="s">
        <v>14</v>
      </c>
      <c r="U39" s="693">
        <f t="shared" si="11"/>
        <v>100</v>
      </c>
      <c r="V39" s="692" t="s">
        <v>14</v>
      </c>
      <c r="W39" s="693">
        <f t="shared" si="12"/>
        <v>100</v>
      </c>
      <c r="X39" s="1341"/>
      <c r="Y39" s="3712"/>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2"/>
      <c r="Q40" s="1338" t="str">
        <f t="shared" si="14"/>
        <v>临街宽度及深度</v>
      </c>
      <c r="R40" s="692" t="s">
        <v>14</v>
      </c>
      <c r="S40" s="693">
        <f t="shared" si="10"/>
        <v>100</v>
      </c>
      <c r="T40" s="692" t="s">
        <v>14</v>
      </c>
      <c r="U40" s="693">
        <f t="shared" si="11"/>
        <v>100</v>
      </c>
      <c r="V40" s="692" t="s">
        <v>14</v>
      </c>
      <c r="W40" s="693">
        <f t="shared" si="12"/>
        <v>100</v>
      </c>
      <c r="X40" s="1341"/>
      <c r="Y40" s="3712"/>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12"/>
      <c r="Q41" s="1338" t="str">
        <f t="shared" si="14"/>
        <v>宗地开发程度</v>
      </c>
      <c r="R41" s="688" t="s">
        <v>14</v>
      </c>
      <c r="S41" s="689">
        <f t="shared" si="10"/>
        <v>100</v>
      </c>
      <c r="T41" s="688" t="s">
        <v>14</v>
      </c>
      <c r="U41" s="689">
        <f t="shared" si="11"/>
        <v>100</v>
      </c>
      <c r="V41" s="688" t="s">
        <v>14</v>
      </c>
      <c r="W41" s="689">
        <f t="shared" si="12"/>
        <v>100</v>
      </c>
      <c r="X41" s="690"/>
      <c r="Y41" s="3712"/>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12" t="s">
        <v>1696</v>
      </c>
      <c r="Q42" s="1338" t="str">
        <f t="shared" si="14"/>
        <v>工程地质条件</v>
      </c>
      <c r="R42" s="692" t="s">
        <v>14</v>
      </c>
      <c r="S42" s="693">
        <f t="shared" si="10"/>
        <v>100</v>
      </c>
      <c r="T42" s="692" t="s">
        <v>14</v>
      </c>
      <c r="U42" s="693">
        <f t="shared" si="11"/>
        <v>100</v>
      </c>
      <c r="V42" s="692" t="s">
        <v>14</v>
      </c>
      <c r="W42" s="693">
        <f t="shared" si="12"/>
        <v>100</v>
      </c>
      <c r="X42" s="1341"/>
      <c r="Y42" s="3712"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2"/>
      <c r="Q43" s="1338">
        <f t="shared" si="14"/>
        <v>111</v>
      </c>
      <c r="R43" s="692" t="s">
        <v>14</v>
      </c>
      <c r="S43" s="693">
        <f t="shared" si="10"/>
        <v>100</v>
      </c>
      <c r="T43" s="692" t="s">
        <v>14</v>
      </c>
      <c r="U43" s="693">
        <f t="shared" si="11"/>
        <v>100</v>
      </c>
      <c r="V43" s="692" t="s">
        <v>14</v>
      </c>
      <c r="W43" s="693">
        <f t="shared" si="12"/>
        <v>100</v>
      </c>
      <c r="X43" s="1341"/>
      <c r="Y43" s="3712"/>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2"/>
      <c r="Q44" s="1338">
        <f t="shared" si="14"/>
        <v>111</v>
      </c>
      <c r="R44" s="692" t="s">
        <v>14</v>
      </c>
      <c r="S44" s="693">
        <f t="shared" si="10"/>
        <v>100</v>
      </c>
      <c r="T44" s="692" t="s">
        <v>14</v>
      </c>
      <c r="U44" s="693">
        <f t="shared" si="11"/>
        <v>100</v>
      </c>
      <c r="V44" s="692" t="s">
        <v>14</v>
      </c>
      <c r="W44" s="693">
        <f t="shared" si="12"/>
        <v>100</v>
      </c>
      <c r="X44" s="1341"/>
      <c r="Y44" s="3712"/>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2"/>
      <c r="Q45" s="1338">
        <f t="shared" si="14"/>
        <v>111</v>
      </c>
      <c r="R45" s="695" t="s">
        <v>14</v>
      </c>
      <c r="S45" s="696">
        <f t="shared" si="10"/>
        <v>100</v>
      </c>
      <c r="T45" s="695" t="s">
        <v>14</v>
      </c>
      <c r="U45" s="696">
        <f t="shared" si="11"/>
        <v>100</v>
      </c>
      <c r="V45" s="695" t="s">
        <v>14</v>
      </c>
      <c r="W45" s="696">
        <f t="shared" si="12"/>
        <v>100</v>
      </c>
      <c r="X45" s="697"/>
      <c r="Y45" s="3712"/>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08" t="str">
        <f>A46</f>
        <v>成交单价</v>
      </c>
      <c r="Q46" s="3708"/>
      <c r="R46" s="3713">
        <f>E46</f>
        <v>653</v>
      </c>
      <c r="S46" s="3713"/>
      <c r="T46" s="3713">
        <f>G46</f>
        <v>487</v>
      </c>
      <c r="U46" s="3713"/>
      <c r="V46" s="3713">
        <f>I46</f>
        <v>488</v>
      </c>
      <c r="W46" s="3713"/>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08" t="str">
        <f>A47</f>
        <v>比较价值（元/平方米）</v>
      </c>
      <c r="Q47" s="3708"/>
      <c r="R47" s="3701">
        <f>ROUND(PRODUCT(R46,AA7:AA45),0)</f>
        <v>719</v>
      </c>
      <c r="S47" s="3701"/>
      <c r="T47" s="3701">
        <f>ROUND(PRODUCT(T46,AB7:AB45),0)</f>
        <v>543</v>
      </c>
      <c r="U47" s="3701"/>
      <c r="V47" s="3701">
        <f>ROUND(PRODUCT(V46,AC7:AC45),0)</f>
        <v>545</v>
      </c>
      <c r="W47" s="3701"/>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02" t="str">
        <f>A48</f>
        <v>估价对象XX用房的比较价值（楼面单价，元/平方米）</v>
      </c>
      <c r="Q48" s="3703"/>
      <c r="R48" s="3704">
        <f>ROUND(IF(D47="简单平均",AVERAGE(R47:W47),R47*F47+T47*H47+V47*J47),0)</f>
        <v>602</v>
      </c>
      <c r="S48" s="3704"/>
      <c r="T48" s="3704"/>
      <c r="U48" s="3704"/>
      <c r="V48" s="3704"/>
      <c r="W48" s="3704"/>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5" t="s">
        <v>1887</v>
      </c>
      <c r="H55" s="3706"/>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134315.84000000003</v>
      </c>
      <c r="F56" s="873">
        <f t="shared" ref="F56:F64" si="15">ROUND(B56*E56/10000,0)</f>
        <v>8086</v>
      </c>
      <c r="G56" s="3707"/>
      <c r="H56" s="370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134315.84000000003</v>
      </c>
      <c r="F65" s="635">
        <f>IF(B46="楼面地价",SUM(F56:F64),ROUND(C48*E65/10000,0))</f>
        <v>8086</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F16"/>
  <sheetViews>
    <sheetView topLeftCell="AV1" workbookViewId="0">
      <selection activeCell="BF6" sqref="BF6"/>
    </sheetView>
  </sheetViews>
  <sheetFormatPr defaultColWidth="9"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I57"/>
  <sheetViews>
    <sheetView view="pageBreakPreview" topLeftCell="A22" zoomScaleNormal="70" zoomScaleSheetLayoutView="100"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134346</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9424</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8806</v>
      </c>
      <c r="D5" s="201" t="s">
        <v>1469</v>
      </c>
      <c r="E5" s="202" t="s">
        <v>1470</v>
      </c>
      <c r="F5" s="202" t="s">
        <v>1471</v>
      </c>
      <c r="G5" s="203"/>
    </row>
    <row r="6" spans="1:9" s="204" customFormat="1" ht="13.5" customHeight="1">
      <c r="A6" s="765" t="s">
        <v>1472</v>
      </c>
      <c r="B6" s="205" t="s">
        <v>1473</v>
      </c>
      <c r="C6" s="206">
        <f>'土地比较法-住宅、综合'!F56</f>
        <v>8086</v>
      </c>
      <c r="D6" s="207"/>
      <c r="E6" s="208"/>
      <c r="F6" s="208"/>
      <c r="G6" s="209"/>
    </row>
    <row r="7" spans="1:9" s="204" customFormat="1" ht="13.5" customHeight="1">
      <c r="A7" s="765" t="s">
        <v>1474</v>
      </c>
      <c r="B7" s="205" t="s">
        <v>1475</v>
      </c>
      <c r="C7" s="210">
        <f>ROUND(C6*F7,0)</f>
        <v>247</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220</v>
      </c>
      <c r="D20" s="222"/>
      <c r="E20" s="222"/>
      <c r="F20" s="223">
        <f>'数据-取费表'!B37</f>
        <v>2.5000000000000001E-2</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91">
        <f ca="1">ROUND(SUM(C23:C25),0)</f>
        <v>954</v>
      </c>
      <c r="D22" s="225">
        <f ca="1">C26</f>
        <v>1.2999999999999999E-3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943</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11</v>
      </c>
      <c r="D25" s="228"/>
      <c r="E25" s="231"/>
      <c r="F25" s="229"/>
      <c r="G25" s="232" t="s">
        <v>1510</v>
      </c>
    </row>
    <row r="26" spans="1:7" s="204" customFormat="1">
      <c r="A26" s="767" t="s">
        <v>350</v>
      </c>
      <c r="B26" s="205" t="s">
        <v>1511</v>
      </c>
      <c r="C26" s="228">
        <f ca="1">ROUND(IF('数据-取费表'!B22&lt;=1,F21*F22*'数据-取费表'!B23/2,F21*(POWER((1+F22),'数据-取费表'!B23/2)-1)),4)</f>
        <v>1.2999999999999999E-3</v>
      </c>
      <c r="D26" s="228"/>
      <c r="E26" s="231"/>
      <c r="F26" s="229"/>
      <c r="G26" s="233"/>
    </row>
    <row r="27" spans="1:7" s="204" customFormat="1" ht="24.75">
      <c r="A27" s="245" t="s">
        <v>1512</v>
      </c>
      <c r="B27" s="234" t="s">
        <v>1513</v>
      </c>
      <c r="C27" s="235">
        <f ca="1">C28</f>
        <v>1805</v>
      </c>
      <c r="D27" s="225">
        <f ca="1">C29</f>
        <v>5.0000000000000001E-3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1805</v>
      </c>
      <c r="D28" s="225"/>
      <c r="E28" s="226"/>
      <c r="F28" s="236"/>
      <c r="G28" s="237"/>
    </row>
    <row r="29" spans="1:7" s="204" customFormat="1" ht="13.5" customHeight="1">
      <c r="A29" s="767"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12862</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115637</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105902</v>
      </c>
      <c r="D34" s="207"/>
      <c r="E34" s="210"/>
      <c r="F34" s="247">
        <f ca="1">IF('数据-取费表'!B24=0,1,IF(B1="",'数据-取费表'!N16,INDIRECT("'数据-取费表'!n"&amp;$G$1)))</f>
        <v>1</v>
      </c>
      <c r="G34" s="209" t="s">
        <v>1526</v>
      </c>
    </row>
    <row r="35" spans="1:7" ht="13.5" customHeight="1">
      <c r="A35" s="767" t="s">
        <v>351</v>
      </c>
      <c r="B35" s="205" t="s">
        <v>1527</v>
      </c>
      <c r="C35" s="210">
        <f ca="1">ROUND(C34*F35,0)</f>
        <v>5295</v>
      </c>
      <c r="D35" s="210"/>
      <c r="E35" s="210"/>
      <c r="F35" s="249">
        <f>'数据-取费表'!B33</f>
        <v>0.05</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1589</v>
      </c>
      <c r="D38" s="210"/>
      <c r="E38" s="210"/>
      <c r="F38" s="249">
        <f>'数据-取费表'!B36</f>
        <v>1.4999999999999999E-2</v>
      </c>
      <c r="G38" s="209" t="s">
        <v>1528</v>
      </c>
    </row>
    <row r="39" spans="1:7" s="204" customFormat="1" ht="13.5" customHeight="1">
      <c r="A39" s="245" t="s">
        <v>1534</v>
      </c>
      <c r="B39" s="200" t="s">
        <v>1535</v>
      </c>
      <c r="C39" s="222">
        <f ca="1">ROUND(C33*F20,0)</f>
        <v>2891</v>
      </c>
      <c r="D39" s="222"/>
      <c r="E39" s="222"/>
      <c r="F39" s="223">
        <f>F20</f>
        <v>2.5000000000000001E-2</v>
      </c>
      <c r="G39" s="224" t="s">
        <v>1536</v>
      </c>
    </row>
    <row r="40" spans="1:7" s="204" customFormat="1" ht="13.5" customHeight="1">
      <c r="A40" s="245" t="s">
        <v>1537</v>
      </c>
      <c r="B40" s="200" t="s">
        <v>1538</v>
      </c>
      <c r="C40" s="1313">
        <f>F21</f>
        <v>2.5000000000000001E-2</v>
      </c>
      <c r="D40" s="226" t="s">
        <v>1539</v>
      </c>
      <c r="E40" s="222"/>
      <c r="F40" s="223">
        <f>F21</f>
        <v>2.5000000000000001E-2</v>
      </c>
      <c r="G40" s="224" t="s">
        <v>1540</v>
      </c>
    </row>
    <row r="41" spans="1:7" s="204" customFormat="1" ht="13.5" customHeight="1">
      <c r="A41" s="245" t="s">
        <v>1541</v>
      </c>
      <c r="B41" s="200" t="s">
        <v>1542</v>
      </c>
      <c r="C41" s="222">
        <f ca="1">ROUND(SUM(C42:C43),0)</f>
        <v>6187</v>
      </c>
      <c r="D41" s="225">
        <f ca="1">C44</f>
        <v>1.2999999999999999E-3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6036</v>
      </c>
      <c r="D42" s="228"/>
      <c r="E42" s="228"/>
      <c r="F42" s="229"/>
      <c r="G42" s="3743" t="s">
        <v>1544</v>
      </c>
    </row>
    <row r="43" spans="1:7" ht="13.5" customHeight="1">
      <c r="A43" s="767" t="s">
        <v>347</v>
      </c>
      <c r="B43" s="205" t="s">
        <v>1545</v>
      </c>
      <c r="C43" s="228">
        <f ca="1">ROUND(IF('数据-取费表'!B22&lt;=1,C39*F22*'数据-取费表'!B21/2,C39*(POWER((1+F22),'数据-取费表'!B21/2)-1)),0)</f>
        <v>151</v>
      </c>
      <c r="D43" s="228"/>
      <c r="E43" s="228"/>
      <c r="F43" s="229"/>
      <c r="G43" s="3744"/>
    </row>
    <row r="44" spans="1:7" ht="13.5" customHeight="1">
      <c r="A44" s="767" t="s">
        <v>348</v>
      </c>
      <c r="B44" s="205" t="s">
        <v>1546</v>
      </c>
      <c r="C44" s="228">
        <f ca="1">ROUND(IF('数据-取费表'!B22&lt;=1,C40*F22*'数据-取费表'!B21/2,C40*(POWER((1+F22),'数据-取费表'!B21/2)-1)),4)</f>
        <v>1.2999999999999999E-3</v>
      </c>
      <c r="D44" s="228"/>
      <c r="E44" s="228"/>
      <c r="F44" s="229"/>
      <c r="G44" s="3745"/>
    </row>
    <row r="45" spans="1:7" s="204" customFormat="1" ht="13.5" customHeight="1">
      <c r="A45" s="245" t="s">
        <v>1547</v>
      </c>
      <c r="B45" s="234" t="s">
        <v>1513</v>
      </c>
      <c r="C45" s="235">
        <f ca="1">C46</f>
        <v>23706</v>
      </c>
      <c r="D45" s="225">
        <f ca="1">C47</f>
        <v>5.0000000000000001E-3</v>
      </c>
      <c r="E45" s="226" t="s">
        <v>1539</v>
      </c>
      <c r="F45" s="236">
        <f ca="1">F27</f>
        <v>0.2</v>
      </c>
      <c r="G45" s="237" t="s">
        <v>1548</v>
      </c>
    </row>
    <row r="46" spans="1:7" s="204" customFormat="1" ht="13.5" customHeight="1">
      <c r="A46" s="767" t="s">
        <v>346</v>
      </c>
      <c r="B46" s="238" t="s">
        <v>1549</v>
      </c>
      <c r="C46" s="239">
        <f ca="1">ROUND((C33+C39)*F27,0)</f>
        <v>23706</v>
      </c>
      <c r="D46" s="253"/>
      <c r="E46" s="226"/>
      <c r="F46" s="236"/>
      <c r="G46" s="237"/>
    </row>
    <row r="47" spans="1:7" s="204" customFormat="1" ht="13.5" customHeight="1">
      <c r="A47" s="767" t="s">
        <v>347</v>
      </c>
      <c r="B47" s="238" t="s">
        <v>1550</v>
      </c>
      <c r="C47" s="228">
        <f ca="1">ROUND(C40*F27,4)</f>
        <v>5.0000000000000001E-3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161979</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121484</v>
      </c>
      <c r="D51" s="222"/>
      <c r="E51" s="222"/>
      <c r="F51" s="254"/>
      <c r="G51" s="224" t="s">
        <v>1560</v>
      </c>
    </row>
    <row r="52" spans="1:7" s="198" customFormat="1" ht="16.5" thickBot="1">
      <c r="A52" s="255" t="s">
        <v>1561</v>
      </c>
      <c r="B52" s="256"/>
      <c r="C52" s="257">
        <f ca="1">C31+C51</f>
        <v>134346</v>
      </c>
      <c r="D52" s="256"/>
      <c r="E52" s="256"/>
      <c r="F52" s="256"/>
      <c r="G52" s="258"/>
    </row>
    <row r="55" spans="1:7" ht="15">
      <c r="B55" s="260" t="s">
        <v>1562</v>
      </c>
      <c r="C55" s="261"/>
    </row>
    <row r="56" spans="1:7">
      <c r="B56" s="263" t="s">
        <v>802</v>
      </c>
      <c r="C56" s="265">
        <f ca="1">1-C57</f>
        <v>9.5999999999999974E-2</v>
      </c>
    </row>
    <row r="57" spans="1:7">
      <c r="B57" s="263" t="s">
        <v>803</v>
      </c>
      <c r="C57" s="264">
        <f ca="1">ROUND(C51/C52,3)</f>
        <v>0.90400000000000003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126339.0546</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8863</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831083</v>
      </c>
      <c r="D20" s="222"/>
      <c r="E20" s="222"/>
      <c r="F20" s="223">
        <f>'数据-取费表'!B37</f>
        <v>2.5000000000000001E-2</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1114">
        <f ca="1">ROUND(SUM(C23:C25),0)</f>
        <v>3604129</v>
      </c>
      <c r="D22" s="225">
        <f ca="1">C26</f>
        <v>1.2999999999999999E-3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43377</v>
      </c>
      <c r="D25" s="228"/>
      <c r="E25" s="231"/>
      <c r="F25" s="229"/>
      <c r="G25" s="232" t="s">
        <v>1588</v>
      </c>
    </row>
    <row r="26" spans="1:7" s="204" customFormat="1">
      <c r="A26" s="767" t="s">
        <v>350</v>
      </c>
      <c r="B26" s="205" t="s">
        <v>1511</v>
      </c>
      <c r="C26" s="228">
        <f ca="1">ROUND(IF('数据-取费表'!B22&lt;=1,F21*F22*'数据-取费表'!B22/2,F21*(POWER((1+F22),'数据-取费表'!B22/2)-1)),4)</f>
        <v>1.2999999999999999E-3</v>
      </c>
      <c r="D26" s="228"/>
      <c r="E26" s="231"/>
      <c r="F26" s="229"/>
      <c r="G26" s="233"/>
    </row>
    <row r="27" spans="1:7" s="204" customFormat="1" ht="24.75">
      <c r="A27" s="245" t="s">
        <v>1512</v>
      </c>
      <c r="B27" s="234" t="s">
        <v>1513</v>
      </c>
      <c r="C27" s="235">
        <f ca="1">C28</f>
        <v>6814879</v>
      </c>
      <c r="D27" s="225">
        <f ca="1">C29</f>
        <v>5.0000000000000001E-3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6814879</v>
      </c>
      <c r="D28" s="225"/>
      <c r="E28" s="226"/>
      <c r="F28" s="236"/>
      <c r="G28" s="237"/>
    </row>
    <row r="29" spans="1:7" s="204" customFormat="1" ht="13.5" customHeight="1">
      <c r="A29" s="767"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48557682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1156371920</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1059024751</v>
      </c>
      <c r="D34" s="207"/>
      <c r="E34" s="210"/>
      <c r="F34" s="247"/>
      <c r="G34" s="209"/>
    </row>
    <row r="35" spans="1:7" ht="13.5" customHeight="1">
      <c r="A35" s="767" t="s">
        <v>351</v>
      </c>
      <c r="B35" s="205" t="s">
        <v>1527</v>
      </c>
      <c r="C35" s="210">
        <f ca="1">ROUND(C34*F35,0)</f>
        <v>52951238</v>
      </c>
      <c r="D35" s="210"/>
      <c r="E35" s="210"/>
      <c r="F35" s="249">
        <f>'数据-取费表'!B33</f>
        <v>0.05</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15885371</v>
      </c>
      <c r="D38" s="210"/>
      <c r="E38" s="210"/>
      <c r="F38" s="249">
        <f>'数据-取费表'!B36</f>
        <v>1.4999999999999999E-2</v>
      </c>
      <c r="G38" s="209" t="s">
        <v>1528</v>
      </c>
    </row>
    <row r="39" spans="1:7" s="204" customFormat="1" ht="13.5" customHeight="1">
      <c r="A39" s="245" t="s">
        <v>1534</v>
      </c>
      <c r="B39" s="200" t="s">
        <v>1535</v>
      </c>
      <c r="C39" s="222">
        <f ca="1">ROUND(C33*F20,0)</f>
        <v>28909298</v>
      </c>
      <c r="D39" s="222"/>
      <c r="E39" s="222"/>
      <c r="F39" s="223">
        <f>F20</f>
        <v>2.5000000000000001E-2</v>
      </c>
      <c r="G39" s="224" t="s">
        <v>1536</v>
      </c>
    </row>
    <row r="40" spans="1:7" s="204" customFormat="1" ht="13.5" customHeight="1">
      <c r="A40" s="245" t="s">
        <v>1537</v>
      </c>
      <c r="B40" s="200" t="s">
        <v>1538</v>
      </c>
      <c r="C40" s="1313">
        <f>F21</f>
        <v>2.5000000000000001E-2</v>
      </c>
      <c r="D40" s="226" t="s">
        <v>1539</v>
      </c>
      <c r="E40" s="222"/>
      <c r="F40" s="223">
        <f>F21</f>
        <v>2.5000000000000001E-2</v>
      </c>
      <c r="G40" s="224" t="s">
        <v>1540</v>
      </c>
    </row>
    <row r="41" spans="1:7" s="204" customFormat="1" ht="13.5" customHeight="1">
      <c r="A41" s="245" t="s">
        <v>1541</v>
      </c>
      <c r="B41" s="200" t="s">
        <v>1542</v>
      </c>
      <c r="C41" s="222">
        <f ca="1">ROUND(SUM(C42:C43),0)</f>
        <v>61864342</v>
      </c>
      <c r="D41" s="225">
        <f ca="1">C44</f>
        <v>1.2999999999999999E-3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60355456</v>
      </c>
      <c r="D42" s="228"/>
      <c r="E42" s="228"/>
      <c r="F42" s="229"/>
      <c r="G42" s="3743" t="s">
        <v>1591</v>
      </c>
    </row>
    <row r="43" spans="1:7" ht="13.5" customHeight="1">
      <c r="A43" s="767" t="s">
        <v>347</v>
      </c>
      <c r="B43" s="205" t="s">
        <v>1545</v>
      </c>
      <c r="C43" s="228">
        <f ca="1">ROUND(IF('数据-取费表'!B22&lt;=1,C39*F22*'数据-取费表'!B20/2,C39*(POWER((1+F22),'数据-取费表'!B20/2)-1)),0)</f>
        <v>1508886</v>
      </c>
      <c r="D43" s="228"/>
      <c r="E43" s="228"/>
      <c r="F43" s="229"/>
      <c r="G43" s="3744"/>
    </row>
    <row r="44" spans="1:7" ht="13.5" customHeight="1">
      <c r="A44" s="767" t="s">
        <v>348</v>
      </c>
      <c r="B44" s="205" t="s">
        <v>1546</v>
      </c>
      <c r="C44" s="228">
        <f ca="1">ROUND(IF('数据-取费表'!B22&lt;=1,C40*F22*'数据-取费表'!B20/2,C40*(POWER((1+F22),'数据-取费表'!B20/2)-1)),4)</f>
        <v>1.2999999999999999E-3</v>
      </c>
      <c r="D44" s="228"/>
      <c r="E44" s="228"/>
      <c r="F44" s="229"/>
      <c r="G44" s="3745"/>
    </row>
    <row r="45" spans="1:7" s="204" customFormat="1" ht="13.5" customHeight="1">
      <c r="A45" s="245" t="s">
        <v>1547</v>
      </c>
      <c r="B45" s="234" t="s">
        <v>1513</v>
      </c>
      <c r="C45" s="235">
        <f ca="1">C46</f>
        <v>237056244</v>
      </c>
      <c r="D45" s="225">
        <f ca="1">C47</f>
        <v>5.0000000000000001E-3</v>
      </c>
      <c r="E45" s="226" t="s">
        <v>1539</v>
      </c>
      <c r="F45" s="236">
        <f ca="1">F27</f>
        <v>0.2</v>
      </c>
      <c r="G45" s="237" t="s">
        <v>1548</v>
      </c>
    </row>
    <row r="46" spans="1:7" s="204" customFormat="1" ht="13.5" customHeight="1">
      <c r="A46" s="767" t="s">
        <v>346</v>
      </c>
      <c r="B46" s="238" t="s">
        <v>1549</v>
      </c>
      <c r="C46" s="239">
        <f ca="1">ROUND((C33+C39)*F27,0)</f>
        <v>237056244</v>
      </c>
      <c r="D46" s="253"/>
      <c r="E46" s="226"/>
      <c r="F46" s="236"/>
      <c r="G46" s="237"/>
    </row>
    <row r="47" spans="1:7" s="204" customFormat="1" ht="13.5" customHeight="1">
      <c r="A47" s="767"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1619777152</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1214832864</v>
      </c>
      <c r="D51" s="222"/>
      <c r="E51" s="222"/>
      <c r="F51" s="254"/>
      <c r="G51" s="224" t="s">
        <v>1560</v>
      </c>
    </row>
    <row r="52" spans="1:7" s="198" customFormat="1" ht="16.5" thickBot="1">
      <c r="A52" s="255" t="s">
        <v>1561</v>
      </c>
      <c r="B52" s="256"/>
      <c r="C52" s="257">
        <f ca="1">C31+C51</f>
        <v>1263390546</v>
      </c>
      <c r="D52" s="256"/>
      <c r="E52" s="256"/>
      <c r="F52" s="256"/>
      <c r="G52" s="258"/>
    </row>
    <row r="55" spans="1:7" ht="15">
      <c r="B55" s="260" t="s">
        <v>1562</v>
      </c>
      <c r="C55" s="261"/>
    </row>
    <row r="56" spans="1:7">
      <c r="B56" s="263" t="s">
        <v>802</v>
      </c>
      <c r="C56" s="265">
        <f ca="1">1-C57</f>
        <v>3.8000000000000034E-2</v>
      </c>
    </row>
    <row r="57" spans="1:7">
      <c r="B57" s="263" t="s">
        <v>803</v>
      </c>
      <c r="C57" s="26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0.05</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2.5000000000000001E-2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2.5000000000000001E-2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2.5000000000000001E-2</v>
      </c>
      <c r="G20" s="1382"/>
      <c r="H20" s="969" t="s">
        <v>680</v>
      </c>
      <c r="I20" s="145" t="s">
        <v>730</v>
      </c>
      <c r="J20" s="22">
        <f ca="1">ROUND(M20*M21,0)</f>
        <v>0</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2.5000000000000001E-2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1.2999999999999999E-3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3</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B2" sqref="B2"/>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80107</v>
      </c>
      <c r="C2" s="2824" t="s">
        <v>2316</v>
      </c>
      <c r="D2" s="3417" t="s">
        <v>3352</v>
      </c>
      <c r="E2" s="3418">
        <f ca="1">收益法!L46</f>
        <v>46523</v>
      </c>
      <c r="F2" s="2826"/>
      <c r="G2" s="2827"/>
      <c r="H2" s="2828"/>
      <c r="I2" s="2829"/>
      <c r="J2" s="3757" t="s">
        <v>2317</v>
      </c>
      <c r="K2" s="3758"/>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5619</v>
      </c>
      <c r="C3" s="2824" t="s">
        <v>2326</v>
      </c>
      <c r="D3" s="2824"/>
      <c r="E3" s="2825"/>
      <c r="F3" s="2826"/>
      <c r="G3" s="2827"/>
      <c r="H3" s="2828"/>
      <c r="I3" s="2829"/>
      <c r="J3" s="3759" t="s">
        <v>2327</v>
      </c>
      <c r="K3" s="3760"/>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9" t="s">
        <v>2329</v>
      </c>
      <c r="K4" s="3760"/>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15" customHeight="1" thickBot="1">
      <c r="A6" s="3765" t="s">
        <v>2333</v>
      </c>
      <c r="B6" s="3766"/>
      <c r="C6" s="3767"/>
      <c r="D6" s="2850">
        <f>R5</f>
        <v>14814</v>
      </c>
      <c r="E6" s="2851"/>
      <c r="F6" s="2852"/>
      <c r="G6" s="2853"/>
      <c r="H6" s="2828"/>
      <c r="I6" s="2829"/>
      <c r="J6" s="3751">
        <v>1</v>
      </c>
      <c r="K6" s="3752"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9303</v>
      </c>
      <c r="E7" s="2860">
        <f ca="1">E9+E10+E11+E17</f>
        <v>0.62796813824760356</v>
      </c>
      <c r="F7" s="2861"/>
      <c r="G7" s="2862"/>
      <c r="H7" s="2828"/>
      <c r="I7" s="2829"/>
      <c r="J7" s="3751"/>
      <c r="K7" s="3753"/>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8" t="s">
        <v>2346</v>
      </c>
      <c r="C8" s="3769"/>
      <c r="D8" s="2869" t="s">
        <v>2347</v>
      </c>
      <c r="E8" s="2870" t="s">
        <v>2348</v>
      </c>
      <c r="F8" s="2871" t="s">
        <v>2349</v>
      </c>
      <c r="G8" s="2872"/>
      <c r="H8" s="2828"/>
      <c r="I8" s="2829"/>
      <c r="J8" s="3751"/>
      <c r="K8" s="3753"/>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8" t="s">
        <v>2351</v>
      </c>
      <c r="C9" s="3769"/>
      <c r="D9" s="2869">
        <f>ROUND(D6*E9,0)</f>
        <v>3704</v>
      </c>
      <c r="E9" s="3495">
        <v>0.25</v>
      </c>
      <c r="F9" s="2873" t="s">
        <v>2352</v>
      </c>
      <c r="G9" s="2853"/>
      <c r="H9" s="2828"/>
      <c r="I9" s="2829"/>
      <c r="J9" s="3751"/>
      <c r="K9" s="3753"/>
      <c r="L9" s="3492" t="s">
        <v>3654</v>
      </c>
      <c r="M9" s="3487">
        <v>8</v>
      </c>
      <c r="N9" s="3488">
        <f>N12</f>
        <v>1880</v>
      </c>
      <c r="O9" s="3493">
        <v>0.65</v>
      </c>
      <c r="P9" s="3493">
        <v>0.4</v>
      </c>
      <c r="Q9" s="3490">
        <v>365</v>
      </c>
      <c r="R9" s="3491">
        <f t="shared" si="0"/>
        <v>143</v>
      </c>
      <c r="S9" s="2821"/>
      <c r="T9" s="2821"/>
      <c r="U9" s="2821"/>
      <c r="V9" s="2829"/>
    </row>
    <row r="10" spans="1:22" s="2833" customFormat="1" ht="13.15" customHeight="1">
      <c r="A10" s="2868">
        <v>2</v>
      </c>
      <c r="B10" s="3768" t="s">
        <v>2353</v>
      </c>
      <c r="C10" s="3769"/>
      <c r="D10" s="2869">
        <f>ROUND(D6*E10,0)</f>
        <v>1926</v>
      </c>
      <c r="E10" s="3495">
        <v>0.13</v>
      </c>
      <c r="F10" s="2873" t="s">
        <v>2354</v>
      </c>
      <c r="G10" s="2853"/>
      <c r="H10" s="2828"/>
      <c r="I10" s="2829"/>
      <c r="J10" s="3751"/>
      <c r="K10" s="3753"/>
      <c r="L10" s="3486" t="s">
        <v>3655</v>
      </c>
      <c r="M10" s="3487">
        <v>1284</v>
      </c>
      <c r="N10" s="3488">
        <v>760</v>
      </c>
      <c r="O10" s="3493">
        <f>O9</f>
        <v>0.65</v>
      </c>
      <c r="P10" s="3493">
        <f>P9</f>
        <v>0.4</v>
      </c>
      <c r="Q10" s="3490">
        <v>365</v>
      </c>
      <c r="R10" s="3491">
        <f t="shared" si="0"/>
        <v>9261</v>
      </c>
      <c r="S10" s="2821"/>
      <c r="T10" s="2821"/>
      <c r="U10" s="2821"/>
      <c r="V10" s="2829"/>
    </row>
    <row r="11" spans="1:22" s="2833" customFormat="1" ht="13.15" customHeight="1">
      <c r="A11" s="2868">
        <v>3</v>
      </c>
      <c r="B11" s="3768" t="s">
        <v>2355</v>
      </c>
      <c r="C11" s="3769"/>
      <c r="D11" s="2869">
        <f ca="1">D12+D14+D15+D16</f>
        <v>2192</v>
      </c>
      <c r="E11" s="2874">
        <f ca="1">D11/D6</f>
        <v>0.14796813824760363</v>
      </c>
      <c r="F11" s="2871"/>
      <c r="G11" s="2872"/>
      <c r="H11" s="2828"/>
      <c r="I11" s="2829"/>
      <c r="J11" s="3751"/>
      <c r="K11" s="3753"/>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15" customHeight="1">
      <c r="A12" s="2875" t="s">
        <v>2356</v>
      </c>
      <c r="B12" s="3761" t="s">
        <v>2357</v>
      </c>
      <c r="C12" s="3762"/>
      <c r="D12" s="2876">
        <f ca="1">ROUND(D13*1.2%*(1-30%),0)</f>
        <v>1361</v>
      </c>
      <c r="E12" s="2877">
        <v>1.2E-2</v>
      </c>
      <c r="F12" s="2871" t="s">
        <v>2358</v>
      </c>
      <c r="G12" s="2872"/>
      <c r="H12" s="2828"/>
      <c r="I12" s="2829"/>
      <c r="J12" s="3751"/>
      <c r="K12" s="3753"/>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15" customHeight="1">
      <c r="A13" s="2875"/>
      <c r="B13" s="2878"/>
      <c r="C13" s="2879" t="s">
        <v>2359</v>
      </c>
      <c r="D13" s="2880">
        <f ca="1">成本法!C49</f>
        <v>161979</v>
      </c>
      <c r="E13" s="2881"/>
      <c r="F13" s="2871"/>
      <c r="G13" s="2872"/>
      <c r="H13" s="2828"/>
      <c r="I13" s="2829"/>
      <c r="J13" s="3751"/>
      <c r="K13" s="3753"/>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15" customHeight="1">
      <c r="A14" s="2875" t="s">
        <v>2360</v>
      </c>
      <c r="B14" s="3761" t="s">
        <v>2361</v>
      </c>
      <c r="C14" s="3762"/>
      <c r="D14" s="2876">
        <f>ROUND(E14*B5/10000,0)</f>
        <v>16</v>
      </c>
      <c r="E14" s="3500">
        <f>'数据-取费表'!B55</f>
        <v>3</v>
      </c>
      <c r="F14" s="2871" t="s">
        <v>2362</v>
      </c>
      <c r="G14" s="2872"/>
      <c r="H14" s="2828"/>
      <c r="I14" s="2829"/>
      <c r="J14" s="3751"/>
      <c r="K14" s="3754"/>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15" customHeight="1">
      <c r="A15" s="2875" t="s">
        <v>2364</v>
      </c>
      <c r="B15" s="3761" t="s">
        <v>2365</v>
      </c>
      <c r="C15" s="3762"/>
      <c r="D15" s="2876">
        <f>ROUND(D6*E15,0)</f>
        <v>815</v>
      </c>
      <c r="E15" s="2877">
        <v>5.5E-2</v>
      </c>
      <c r="F15" s="2871" t="s">
        <v>2366</v>
      </c>
      <c r="G15" s="2853"/>
      <c r="H15" s="2828"/>
      <c r="I15" s="2829"/>
      <c r="J15" s="3751">
        <v>2</v>
      </c>
      <c r="K15" s="3752"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1" t="s">
        <v>2374</v>
      </c>
      <c r="C16" s="3762"/>
      <c r="D16" s="2887">
        <f>D6*E16</f>
        <v>0</v>
      </c>
      <c r="E16" s="2888"/>
      <c r="F16" s="2873" t="s">
        <v>2375</v>
      </c>
      <c r="G16" s="2853"/>
      <c r="H16" s="2828"/>
      <c r="I16" s="2829"/>
      <c r="J16" s="3751"/>
      <c r="K16" s="3753"/>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3" t="s">
        <v>2377</v>
      </c>
      <c r="C17" s="3764"/>
      <c r="D17" s="2890">
        <f>ROUND(D6*E17,0)</f>
        <v>1481</v>
      </c>
      <c r="E17" s="3498">
        <v>0.1</v>
      </c>
      <c r="F17" s="2891" t="s">
        <v>2378</v>
      </c>
      <c r="G17" s="2853"/>
      <c r="H17" s="2828"/>
      <c r="I17" s="2829"/>
      <c r="J17" s="3751"/>
      <c r="K17" s="3753"/>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741</v>
      </c>
      <c r="E18" s="3499">
        <v>0.05</v>
      </c>
      <c r="F18" s="2893" t="s">
        <v>2381</v>
      </c>
      <c r="G18" s="2853"/>
      <c r="H18" s="2828"/>
      <c r="I18" s="2829"/>
      <c r="J18" s="3751"/>
      <c r="K18" s="3753"/>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1"/>
      <c r="K19" s="3754"/>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15" customHeight="1">
      <c r="A20" s="2856"/>
      <c r="B20" s="2857"/>
      <c r="C20" s="2857"/>
      <c r="D20" s="2857"/>
      <c r="E20" s="2857"/>
      <c r="F20" s="2897"/>
      <c r="G20" s="2872"/>
      <c r="H20" s="2828"/>
      <c r="I20" s="2829"/>
      <c r="J20" s="3751">
        <v>3</v>
      </c>
      <c r="K20" s="3752"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1"/>
      <c r="K21" s="3753"/>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1"/>
      <c r="K22" s="3753"/>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14814</v>
      </c>
      <c r="D23" s="2911">
        <f>C23*(1+D24)</f>
        <v>14814</v>
      </c>
      <c r="E23" s="2912">
        <f>D23*(1+E24)</f>
        <v>14814</v>
      </c>
      <c r="F23" s="2913"/>
      <c r="G23" s="2914"/>
      <c r="H23" s="2828"/>
      <c r="I23" s="2829"/>
      <c r="J23" s="3751"/>
      <c r="K23" s="3753"/>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1"/>
      <c r="K24" s="3754"/>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c r="R25" s="2896">
        <f>ROUND(R14*Q25,0)</f>
        <v>0</v>
      </c>
      <c r="S25" s="2821"/>
      <c r="T25" s="2821"/>
      <c r="U25" s="2821"/>
      <c r="V25" s="2926"/>
    </row>
    <row r="26" spans="1:22" s="2927" customFormat="1" ht="13.15" customHeight="1">
      <c r="A26" s="2908">
        <v>2</v>
      </c>
      <c r="B26" s="2909" t="s">
        <v>2403</v>
      </c>
      <c r="C26" s="2910">
        <f ca="1">D7</f>
        <v>9303</v>
      </c>
      <c r="D26" s="2911">
        <f>D23*D27</f>
        <v>0</v>
      </c>
      <c r="E26" s="2912">
        <f>E23*E27</f>
        <v>0</v>
      </c>
      <c r="F26" s="2913"/>
      <c r="G26" s="2914"/>
      <c r="H26" s="2828"/>
      <c r="I26" s="2829"/>
      <c r="J26" s="3755">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0.62796813824760356</v>
      </c>
      <c r="D27" s="2918"/>
      <c r="E27" s="2919"/>
      <c r="F27" s="2920"/>
      <c r="G27" s="2914"/>
      <c r="H27" s="2935"/>
      <c r="I27" s="2926"/>
      <c r="J27" s="3756"/>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4770.3</v>
      </c>
      <c r="D32" s="2911">
        <f>D23-D26-D29</f>
        <v>14073.3</v>
      </c>
      <c r="E32" s="2912">
        <f>E23-E26-E29</f>
        <v>14073.3</v>
      </c>
      <c r="F32" s="2913"/>
      <c r="G32" s="2907"/>
      <c r="H32" s="2828"/>
      <c r="I32" s="2829"/>
      <c r="J32" s="3757" t="s">
        <v>2317</v>
      </c>
      <c r="K32" s="3758"/>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9" t="s">
        <v>2327</v>
      </c>
      <c r="K33" s="3760"/>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9" t="s">
        <v>2329</v>
      </c>
      <c r="K34" s="3760"/>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506">
        <f>'数据-取费表'!F6</f>
        <v>9.42</v>
      </c>
      <c r="D36" s="2962">
        <v>0</v>
      </c>
      <c r="E36" s="2963">
        <v>0</v>
      </c>
      <c r="F36" s="2964">
        <f>C36+D36+E36</f>
        <v>9.42</v>
      </c>
      <c r="G36" s="2907"/>
      <c r="H36" s="2828"/>
      <c r="I36" s="2829"/>
      <c r="J36" s="3751">
        <v>1</v>
      </c>
      <c r="K36" s="3752"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1"/>
      <c r="K37" s="3753"/>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33584</v>
      </c>
      <c r="D38" s="2869"/>
      <c r="E38" s="2869"/>
      <c r="F38" s="2913"/>
      <c r="G38" s="2907"/>
      <c r="H38" s="2828"/>
      <c r="I38" s="2829"/>
      <c r="J38" s="3751"/>
      <c r="K38" s="3753"/>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33584</v>
      </c>
      <c r="D39" s="2909"/>
      <c r="E39" s="2909"/>
      <c r="F39" s="2913"/>
      <c r="G39" s="2965"/>
      <c r="H39" s="2828"/>
      <c r="I39" s="2829"/>
      <c r="J39" s="3751"/>
      <c r="K39" s="3753"/>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33584</v>
      </c>
      <c r="D40" s="2968"/>
      <c r="E40" s="2968"/>
      <c r="F40" s="2969"/>
      <c r="G40" s="2907"/>
      <c r="H40" s="2828"/>
      <c r="I40" s="2829"/>
      <c r="J40" s="3751"/>
      <c r="K40" s="3754"/>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2356</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55">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56"/>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05" t="s">
        <v>1667</v>
      </c>
      <c r="D4" s="3717"/>
      <c r="E4" s="3718" t="s">
        <v>1668</v>
      </c>
      <c r="F4" s="3719"/>
      <c r="G4" s="3705" t="s">
        <v>1669</v>
      </c>
      <c r="H4" s="3717"/>
      <c r="I4" s="3705" t="s">
        <v>1670</v>
      </c>
      <c r="J4" s="3717"/>
      <c r="K4" s="1875" t="s">
        <v>1671</v>
      </c>
      <c r="L4" s="2695"/>
      <c r="M4" s="2696"/>
      <c r="N4" s="2696"/>
      <c r="O4" s="2696"/>
      <c r="P4" s="3720" t="s">
        <v>1672</v>
      </c>
      <c r="Q4" s="3721"/>
      <c r="R4" s="3726" t="s">
        <v>1668</v>
      </c>
      <c r="S4" s="3727"/>
      <c r="T4" s="3726" t="s">
        <v>1669</v>
      </c>
      <c r="U4" s="3727"/>
      <c r="V4" s="3713" t="s">
        <v>1670</v>
      </c>
      <c r="W4" s="3713"/>
      <c r="X4" s="1341"/>
      <c r="Y4" s="3726" t="s">
        <v>1672</v>
      </c>
      <c r="Z4" s="3727"/>
      <c r="AA4" s="3714" t="s">
        <v>1668</v>
      </c>
      <c r="AB4" s="3714" t="s">
        <v>1669</v>
      </c>
      <c r="AC4" s="3714" t="s">
        <v>1670</v>
      </c>
    </row>
    <row r="5" spans="1:29" ht="15">
      <c r="A5" s="348"/>
      <c r="B5" s="349"/>
      <c r="C5" s="3734" t="s">
        <v>1673</v>
      </c>
      <c r="D5" s="3735"/>
      <c r="E5" s="3741" t="s">
        <v>1674</v>
      </c>
      <c r="F5" s="3742"/>
      <c r="G5" s="3734" t="s">
        <v>1675</v>
      </c>
      <c r="H5" s="3735"/>
      <c r="I5" s="3734" t="s">
        <v>1676</v>
      </c>
      <c r="J5" s="3735"/>
      <c r="K5" s="1876"/>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1876"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6" t="s">
        <v>1680</v>
      </c>
      <c r="Q7" s="3738"/>
      <c r="R7" s="688" t="s">
        <v>20</v>
      </c>
      <c r="S7" s="689">
        <f t="shared" ref="S7:S15" si="0">F7</f>
        <v>0</v>
      </c>
      <c r="T7" s="688" t="s">
        <v>20</v>
      </c>
      <c r="U7" s="689">
        <f t="shared" ref="U7:U15" si="1">H7</f>
        <v>0</v>
      </c>
      <c r="V7" s="688" t="s">
        <v>20</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6" t="s">
        <v>1683</v>
      </c>
      <c r="Q8" s="3737"/>
      <c r="R8" s="688" t="s">
        <v>20</v>
      </c>
      <c r="S8" s="689">
        <f t="shared" si="0"/>
        <v>100</v>
      </c>
      <c r="T8" s="688" t="s">
        <v>20</v>
      </c>
      <c r="U8" s="689">
        <f t="shared" si="1"/>
        <v>100</v>
      </c>
      <c r="V8" s="688" t="s">
        <v>20</v>
      </c>
      <c r="W8" s="689">
        <f t="shared" si="2"/>
        <v>100</v>
      </c>
      <c r="X8" s="690"/>
      <c r="Y8" s="3736" t="s">
        <v>1683</v>
      </c>
      <c r="Z8" s="3737"/>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7"/>
      <c r="Q11" s="1329" t="str">
        <f t="shared" si="6"/>
        <v>容积率</v>
      </c>
      <c r="R11" s="688" t="s">
        <v>18</v>
      </c>
      <c r="S11" s="689" t="e">
        <f t="shared" si="0"/>
        <v>#N/A</v>
      </c>
      <c r="T11" s="688" t="s">
        <v>18</v>
      </c>
      <c r="U11" s="689" t="e">
        <f t="shared" si="1"/>
        <v>#N/A</v>
      </c>
      <c r="V11" s="688" t="s">
        <v>18</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7"/>
      <c r="Q12" s="1329">
        <f t="shared" si="6"/>
        <v>111</v>
      </c>
      <c r="R12" s="688" t="s">
        <v>18</v>
      </c>
      <c r="S12" s="689">
        <f t="shared" si="0"/>
        <v>100</v>
      </c>
      <c r="T12" s="688" t="s">
        <v>18</v>
      </c>
      <c r="U12" s="689">
        <f t="shared" si="1"/>
        <v>100</v>
      </c>
      <c r="V12" s="688" t="s">
        <v>18</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7"/>
      <c r="Q13" s="1329">
        <f t="shared" si="6"/>
        <v>111</v>
      </c>
      <c r="R13" s="688" t="s">
        <v>18</v>
      </c>
      <c r="S13" s="689">
        <f t="shared" si="0"/>
        <v>100</v>
      </c>
      <c r="T13" s="688" t="s">
        <v>18</v>
      </c>
      <c r="U13" s="689">
        <f t="shared" si="1"/>
        <v>100</v>
      </c>
      <c r="V13" s="688" t="s">
        <v>18</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7"/>
      <c r="Q14" s="1329">
        <f t="shared" si="6"/>
        <v>111</v>
      </c>
      <c r="R14" s="688" t="s">
        <v>18</v>
      </c>
      <c r="S14" s="689">
        <f t="shared" si="0"/>
        <v>100</v>
      </c>
      <c r="T14" s="688" t="s">
        <v>18</v>
      </c>
      <c r="U14" s="689">
        <f t="shared" si="1"/>
        <v>100</v>
      </c>
      <c r="V14" s="688" t="s">
        <v>18</v>
      </c>
      <c r="W14" s="689">
        <f t="shared" si="2"/>
        <v>100</v>
      </c>
      <c r="X14" s="690"/>
      <c r="Y14" s="3608"/>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09"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10"/>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10"/>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10"/>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10"/>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10"/>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10"/>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10"/>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10"/>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10"/>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10"/>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10"/>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12"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12"/>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12"/>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12"/>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12"/>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12"/>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12"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12"/>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12"/>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12"/>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12"/>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12"/>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12"/>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12"/>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08" t="str">
        <f>A47</f>
        <v>成交单价（元/平方米）</v>
      </c>
      <c r="Q47" s="370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3"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3"/>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3"/>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7"/>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09"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10"/>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10"/>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10"/>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10"/>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10"/>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10"/>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10"/>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12"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12"/>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12"/>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12"/>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12"/>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12"/>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12"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12"/>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12"/>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12"/>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12"/>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12"/>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12"/>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12"/>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08" t="str">
        <f>A47</f>
        <v>成交单价（元/平方米）</v>
      </c>
      <c r="Q47" s="3708"/>
      <c r="R47" s="3713">
        <f>E47</f>
        <v>0</v>
      </c>
      <c r="S47" s="3713"/>
      <c r="T47" s="3713">
        <f>G47</f>
        <v>0</v>
      </c>
      <c r="U47" s="3713"/>
      <c r="V47" s="3713">
        <f>I47</f>
        <v>0</v>
      </c>
      <c r="W47" s="3713"/>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86" t="s">
        <v>1775</v>
      </c>
      <c r="Q4" s="3787"/>
      <c r="R4" s="3790" t="s">
        <v>1771</v>
      </c>
      <c r="S4" s="3791"/>
      <c r="T4" s="3790" t="s">
        <v>1772</v>
      </c>
      <c r="U4" s="3791"/>
      <c r="V4" s="3792" t="s">
        <v>1773</v>
      </c>
      <c r="W4" s="3792"/>
      <c r="X4" s="1944"/>
      <c r="Y4" s="3790" t="s">
        <v>1775</v>
      </c>
      <c r="Z4" s="3791"/>
      <c r="AA4" s="3794" t="s">
        <v>1771</v>
      </c>
      <c r="AB4" s="3794" t="s">
        <v>1772</v>
      </c>
      <c r="AC4" s="3783" t="s">
        <v>1773</v>
      </c>
    </row>
    <row r="5" spans="1:29" ht="15">
      <c r="A5" s="348"/>
      <c r="B5" s="349"/>
      <c r="C5" s="3734" t="s">
        <v>1673</v>
      </c>
      <c r="D5" s="3735"/>
      <c r="E5" s="3741" t="s">
        <v>1674</v>
      </c>
      <c r="F5" s="3742"/>
      <c r="G5" s="3734" t="s">
        <v>1675</v>
      </c>
      <c r="H5" s="3735"/>
      <c r="I5" s="3734" t="s">
        <v>1676</v>
      </c>
      <c r="J5" s="3735"/>
      <c r="K5" s="549"/>
      <c r="L5" s="2695"/>
      <c r="M5" s="2696"/>
      <c r="N5" s="2696"/>
      <c r="O5" s="2696"/>
      <c r="P5" s="3788"/>
      <c r="Q5" s="3723"/>
      <c r="R5" s="3728"/>
      <c r="S5" s="3729"/>
      <c r="T5" s="3728"/>
      <c r="U5" s="3729"/>
      <c r="V5" s="3713"/>
      <c r="W5" s="3713"/>
      <c r="X5" s="1341"/>
      <c r="Y5" s="3728"/>
      <c r="Z5" s="3729"/>
      <c r="AA5" s="3715"/>
      <c r="AB5" s="3715"/>
      <c r="AC5" s="3784"/>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89"/>
      <c r="Q6" s="3725"/>
      <c r="R6" s="3728"/>
      <c r="S6" s="3729"/>
      <c r="T6" s="3730"/>
      <c r="U6" s="3731"/>
      <c r="V6" s="3713"/>
      <c r="W6" s="3713"/>
      <c r="X6" s="1341"/>
      <c r="Y6" s="3730"/>
      <c r="Z6" s="3731"/>
      <c r="AA6" s="3716"/>
      <c r="AB6" s="3716"/>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3"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3" t="s">
        <v>1683</v>
      </c>
      <c r="Q8" s="3737"/>
      <c r="R8" s="688" t="s">
        <v>14</v>
      </c>
      <c r="S8" s="689">
        <f t="shared" si="0"/>
        <v>100</v>
      </c>
      <c r="T8" s="688" t="s">
        <v>14</v>
      </c>
      <c r="U8" s="689">
        <f t="shared" si="1"/>
        <v>100</v>
      </c>
      <c r="V8" s="688" t="s">
        <v>14</v>
      </c>
      <c r="W8" s="689">
        <f t="shared" si="2"/>
        <v>100</v>
      </c>
      <c r="X8" s="690"/>
      <c r="Y8" s="3736" t="s">
        <v>1683</v>
      </c>
      <c r="Z8" s="3737"/>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7"/>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09"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10"/>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10"/>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10"/>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10"/>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10"/>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10"/>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10"/>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12"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12"/>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12"/>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12"/>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12"/>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12"/>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12"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12"/>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12"/>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12"/>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12"/>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12"/>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12"/>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12"/>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07" t="str">
        <f>A48</f>
        <v>成交单价（元/平方米）</v>
      </c>
      <c r="Q48" s="370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7" t="str">
        <f>A49</f>
        <v>比较价值（元/平方米）</v>
      </c>
      <c r="Q49" s="370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900"/>
      <c r="M4" s="901"/>
      <c r="N4" s="901"/>
      <c r="O4" s="901"/>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900"/>
      <c r="M5" s="901"/>
      <c r="N5" s="901"/>
      <c r="O5" s="901"/>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900"/>
      <c r="M6" s="901"/>
      <c r="N6" s="901"/>
      <c r="O6" s="901"/>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6" t="s">
        <v>1683</v>
      </c>
      <c r="Q8" s="3737"/>
      <c r="R8" s="688" t="s">
        <v>14</v>
      </c>
      <c r="S8" s="689">
        <f t="shared" si="0"/>
        <v>100</v>
      </c>
      <c r="T8" s="688" t="s">
        <v>14</v>
      </c>
      <c r="U8" s="689">
        <f t="shared" si="1"/>
        <v>100</v>
      </c>
      <c r="V8" s="688" t="s">
        <v>14</v>
      </c>
      <c r="W8" s="689">
        <f t="shared" si="2"/>
        <v>100</v>
      </c>
      <c r="X8" s="690"/>
      <c r="Y8" s="3736" t="s">
        <v>1683</v>
      </c>
      <c r="Z8" s="3737"/>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08"/>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10"/>
      <c r="Q16" s="1338"/>
      <c r="R16" s="692"/>
      <c r="S16" s="693"/>
      <c r="T16" s="692"/>
      <c r="U16" s="693"/>
      <c r="V16" s="692"/>
      <c r="W16" s="693"/>
      <c r="X16" s="1341"/>
      <c r="Y16" s="3710"/>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10"/>
      <c r="Q18" s="1338"/>
      <c r="R18" s="692"/>
      <c r="S18" s="693"/>
      <c r="T18" s="692"/>
      <c r="U18" s="693"/>
      <c r="V18" s="692"/>
      <c r="W18" s="693"/>
      <c r="X18" s="1341"/>
      <c r="Y18" s="3710"/>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10"/>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10"/>
      <c r="Q20" s="1338"/>
      <c r="R20" s="692"/>
      <c r="S20" s="693"/>
      <c r="T20" s="692"/>
      <c r="U20" s="693"/>
      <c r="V20" s="692"/>
      <c r="W20" s="693"/>
      <c r="X20" s="1341"/>
      <c r="Y20" s="3710"/>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10"/>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10"/>
      <c r="Q22" s="1338"/>
      <c r="R22" s="692"/>
      <c r="S22" s="693"/>
      <c r="T22" s="692"/>
      <c r="U22" s="693"/>
      <c r="V22" s="692"/>
      <c r="W22" s="693"/>
      <c r="X22" s="1341"/>
      <c r="Y22" s="3710"/>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10"/>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10"/>
      <c r="Q24" s="1338"/>
      <c r="R24" s="692"/>
      <c r="S24" s="693"/>
      <c r="T24" s="692"/>
      <c r="U24" s="693"/>
      <c r="V24" s="692"/>
      <c r="W24" s="693"/>
      <c r="X24" s="1341"/>
      <c r="Y24" s="3710"/>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10"/>
      <c r="Q25" s="1338">
        <f>B25</f>
        <v>111</v>
      </c>
      <c r="R25" s="692" t="s">
        <v>14</v>
      </c>
      <c r="S25" s="693">
        <f>F25</f>
        <v>100</v>
      </c>
      <c r="T25" s="692" t="s">
        <v>14</v>
      </c>
      <c r="U25" s="693">
        <f>H25</f>
        <v>100</v>
      </c>
      <c r="V25" s="692" t="s">
        <v>14</v>
      </c>
      <c r="W25" s="693">
        <f>J25</f>
        <v>100</v>
      </c>
      <c r="X25" s="1341"/>
      <c r="Y25" s="3710"/>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10"/>
      <c r="Q26" s="1338">
        <f t="shared" ref="Q26:Q40" si="11">B26</f>
        <v>111</v>
      </c>
      <c r="R26" s="692" t="s">
        <v>14</v>
      </c>
      <c r="S26" s="693">
        <f>F26</f>
        <v>100</v>
      </c>
      <c r="T26" s="692" t="s">
        <v>14</v>
      </c>
      <c r="U26" s="693">
        <f>H26</f>
        <v>100</v>
      </c>
      <c r="V26" s="692" t="s">
        <v>14</v>
      </c>
      <c r="W26" s="693">
        <f>J26</f>
        <v>100</v>
      </c>
      <c r="X26" s="1341"/>
      <c r="Y26" s="3710"/>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10"/>
      <c r="Q27" s="1329">
        <f t="shared" si="11"/>
        <v>111</v>
      </c>
      <c r="R27" s="688" t="s">
        <v>14</v>
      </c>
      <c r="S27" s="689">
        <f>F27</f>
        <v>100</v>
      </c>
      <c r="T27" s="688" t="s">
        <v>14</v>
      </c>
      <c r="U27" s="689">
        <f>H27</f>
        <v>100</v>
      </c>
      <c r="V27" s="688" t="s">
        <v>14</v>
      </c>
      <c r="W27" s="689">
        <f>J27</f>
        <v>100</v>
      </c>
      <c r="X27" s="690"/>
      <c r="Y27" s="3710"/>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10"/>
      <c r="Q28" s="1338">
        <f t="shared" si="11"/>
        <v>111</v>
      </c>
      <c r="R28" s="692" t="s">
        <v>14</v>
      </c>
      <c r="S28" s="693">
        <f t="shared" ref="S28:S40" si="12">F28</f>
        <v>100</v>
      </c>
      <c r="T28" s="692" t="s">
        <v>14</v>
      </c>
      <c r="U28" s="693">
        <f t="shared" ref="U28:U40" si="13">H28</f>
        <v>100</v>
      </c>
      <c r="V28" s="692" t="s">
        <v>14</v>
      </c>
      <c r="W28" s="693">
        <f t="shared" ref="W28:W40" si="14">J28</f>
        <v>100</v>
      </c>
      <c r="X28" s="1341"/>
      <c r="Y28" s="3710"/>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1" t="s">
        <v>1696</v>
      </c>
      <c r="Q29" s="1338" t="str">
        <f t="shared" si="11"/>
        <v>建筑类型</v>
      </c>
      <c r="R29" s="692" t="s">
        <v>14</v>
      </c>
      <c r="S29" s="693">
        <f t="shared" si="12"/>
        <v>100</v>
      </c>
      <c r="T29" s="692" t="s">
        <v>14</v>
      </c>
      <c r="U29" s="693">
        <f t="shared" si="13"/>
        <v>100</v>
      </c>
      <c r="V29" s="692" t="s">
        <v>14</v>
      </c>
      <c r="W29" s="693">
        <f t="shared" si="14"/>
        <v>100</v>
      </c>
      <c r="X29" s="1341"/>
      <c r="Y29" s="3712"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2"/>
      <c r="Q30" s="694" t="str">
        <f t="shared" si="11"/>
        <v>项目建筑规模</v>
      </c>
      <c r="R30" s="695" t="s">
        <v>14</v>
      </c>
      <c r="S30" s="696" t="e">
        <f t="shared" si="12"/>
        <v>#N/A</v>
      </c>
      <c r="T30" s="695" t="s">
        <v>14</v>
      </c>
      <c r="U30" s="696" t="e">
        <f t="shared" si="13"/>
        <v>#N/A</v>
      </c>
      <c r="V30" s="695" t="s">
        <v>14</v>
      </c>
      <c r="W30" s="696" t="e">
        <f t="shared" si="14"/>
        <v>#N/A</v>
      </c>
      <c r="X30" s="697"/>
      <c r="Y30" s="3712"/>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2"/>
      <c r="Q31" s="1338" t="str">
        <f t="shared" si="11"/>
        <v>建筑结构</v>
      </c>
      <c r="R31" s="692" t="s">
        <v>14</v>
      </c>
      <c r="S31" s="693">
        <f t="shared" si="12"/>
        <v>100</v>
      </c>
      <c r="T31" s="692" t="s">
        <v>14</v>
      </c>
      <c r="U31" s="693">
        <f t="shared" si="13"/>
        <v>100</v>
      </c>
      <c r="V31" s="692" t="s">
        <v>14</v>
      </c>
      <c r="W31" s="693">
        <f t="shared" si="14"/>
        <v>100</v>
      </c>
      <c r="X31" s="1341"/>
      <c r="Y31" s="3712"/>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2"/>
      <c r="Q32" s="1338" t="str">
        <f t="shared" si="11"/>
        <v>公共部分装修</v>
      </c>
      <c r="R32" s="692" t="s">
        <v>14</v>
      </c>
      <c r="S32" s="693">
        <f t="shared" si="12"/>
        <v>100</v>
      </c>
      <c r="T32" s="692" t="s">
        <v>14</v>
      </c>
      <c r="U32" s="693">
        <f t="shared" si="13"/>
        <v>100</v>
      </c>
      <c r="V32" s="692" t="s">
        <v>14</v>
      </c>
      <c r="W32" s="693">
        <f t="shared" si="14"/>
        <v>100</v>
      </c>
      <c r="X32" s="1341"/>
      <c r="Y32" s="3712"/>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2"/>
      <c r="Q33" s="1338" t="str">
        <f t="shared" si="11"/>
        <v>成新度</v>
      </c>
      <c r="R33" s="692" t="s">
        <v>14</v>
      </c>
      <c r="S33" s="693" t="e">
        <f t="shared" si="12"/>
        <v>#N/A</v>
      </c>
      <c r="T33" s="692" t="s">
        <v>14</v>
      </c>
      <c r="U33" s="693" t="e">
        <f t="shared" si="13"/>
        <v>#N/A</v>
      </c>
      <c r="V33" s="692" t="s">
        <v>14</v>
      </c>
      <c r="W33" s="693" t="e">
        <f t="shared" si="14"/>
        <v>#N/A</v>
      </c>
      <c r="X33" s="1341"/>
      <c r="Y33" s="3712"/>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2"/>
      <c r="Q34" s="1329" t="str">
        <f t="shared" si="11"/>
        <v>物业管理</v>
      </c>
      <c r="R34" s="688" t="s">
        <v>14</v>
      </c>
      <c r="S34" s="689">
        <f t="shared" si="12"/>
        <v>100</v>
      </c>
      <c r="T34" s="688" t="s">
        <v>14</v>
      </c>
      <c r="U34" s="689">
        <f t="shared" si="13"/>
        <v>100</v>
      </c>
      <c r="V34" s="688" t="s">
        <v>14</v>
      </c>
      <c r="W34" s="689">
        <f t="shared" si="14"/>
        <v>100</v>
      </c>
      <c r="X34" s="690"/>
      <c r="Y34" s="3712"/>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2" t="s">
        <v>1696</v>
      </c>
      <c r="Q35" s="1338" t="str">
        <f t="shared" si="11"/>
        <v>市政基础设施</v>
      </c>
      <c r="R35" s="692" t="s">
        <v>14</v>
      </c>
      <c r="S35" s="693">
        <f t="shared" si="12"/>
        <v>100</v>
      </c>
      <c r="T35" s="692" t="s">
        <v>14</v>
      </c>
      <c r="U35" s="693">
        <f t="shared" si="13"/>
        <v>100</v>
      </c>
      <c r="V35" s="692" t="s">
        <v>14</v>
      </c>
      <c r="W35" s="693">
        <f t="shared" si="14"/>
        <v>100</v>
      </c>
      <c r="X35" s="1341"/>
      <c r="Y35" s="3712"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2"/>
      <c r="Q36" s="1338" t="str">
        <f t="shared" si="11"/>
        <v>内部装修</v>
      </c>
      <c r="R36" s="692" t="s">
        <v>14</v>
      </c>
      <c r="S36" s="693">
        <f t="shared" si="12"/>
        <v>100</v>
      </c>
      <c r="T36" s="692" t="s">
        <v>14</v>
      </c>
      <c r="U36" s="693">
        <f t="shared" si="13"/>
        <v>100</v>
      </c>
      <c r="V36" s="692" t="s">
        <v>14</v>
      </c>
      <c r="W36" s="693">
        <f t="shared" si="14"/>
        <v>100</v>
      </c>
      <c r="X36" s="1341"/>
      <c r="Y36" s="3712"/>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2"/>
      <c r="Q37" s="1338" t="str">
        <f t="shared" si="11"/>
        <v>内部装修状况</v>
      </c>
      <c r="R37" s="692" t="s">
        <v>14</v>
      </c>
      <c r="S37" s="693">
        <f t="shared" si="12"/>
        <v>100</v>
      </c>
      <c r="T37" s="692" t="s">
        <v>14</v>
      </c>
      <c r="U37" s="693">
        <f t="shared" si="13"/>
        <v>100</v>
      </c>
      <c r="V37" s="692" t="s">
        <v>14</v>
      </c>
      <c r="W37" s="693">
        <f t="shared" si="14"/>
        <v>100</v>
      </c>
      <c r="X37" s="1341"/>
      <c r="Y37" s="3712"/>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2"/>
      <c r="Q38" s="694">
        <f t="shared" si="11"/>
        <v>111</v>
      </c>
      <c r="R38" s="695" t="s">
        <v>14</v>
      </c>
      <c r="S38" s="696">
        <f t="shared" si="12"/>
        <v>100</v>
      </c>
      <c r="T38" s="695" t="s">
        <v>14</v>
      </c>
      <c r="U38" s="696">
        <f t="shared" si="13"/>
        <v>100</v>
      </c>
      <c r="V38" s="695" t="s">
        <v>14</v>
      </c>
      <c r="W38" s="696">
        <f t="shared" si="14"/>
        <v>100</v>
      </c>
      <c r="X38" s="697"/>
      <c r="Y38" s="3712"/>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2"/>
      <c r="Q39" s="1338">
        <f t="shared" si="11"/>
        <v>111</v>
      </c>
      <c r="R39" s="692" t="s">
        <v>14</v>
      </c>
      <c r="S39" s="693">
        <f t="shared" si="12"/>
        <v>100</v>
      </c>
      <c r="T39" s="692" t="s">
        <v>14</v>
      </c>
      <c r="U39" s="693">
        <f t="shared" si="13"/>
        <v>100</v>
      </c>
      <c r="V39" s="692" t="s">
        <v>14</v>
      </c>
      <c r="W39" s="693">
        <f t="shared" si="14"/>
        <v>100</v>
      </c>
      <c r="X39" s="1341"/>
      <c r="Y39" s="3712"/>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08" t="str">
        <f>A41</f>
        <v>成交单价（元/平方米）</v>
      </c>
      <c r="Q41" s="370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08" t="str">
        <f>A42</f>
        <v>比较价值（元/平方米）</v>
      </c>
      <c r="Q42" s="370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02" t="str">
        <f>A43</f>
        <v>估价对象XX用房的比较价值（楼面单价，元/平方米）</v>
      </c>
      <c r="Q43" s="3703"/>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10"/>
      <c r="Q15" s="1338"/>
      <c r="R15" s="692"/>
      <c r="S15" s="693"/>
      <c r="T15" s="692"/>
      <c r="U15" s="693"/>
      <c r="V15" s="692"/>
      <c r="W15" s="693"/>
      <c r="X15" s="1341"/>
      <c r="Y15" s="3710"/>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10"/>
      <c r="Q17" s="1338"/>
      <c r="R17" s="692"/>
      <c r="S17" s="693"/>
      <c r="T17" s="692"/>
      <c r="U17" s="693"/>
      <c r="V17" s="692"/>
      <c r="W17" s="693"/>
      <c r="X17" s="1341"/>
      <c r="Y17" s="3710"/>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10"/>
      <c r="Q19" s="1338"/>
      <c r="R19" s="692"/>
      <c r="S19" s="693"/>
      <c r="T19" s="692"/>
      <c r="U19" s="693"/>
      <c r="V19" s="692"/>
      <c r="W19" s="693"/>
      <c r="X19" s="1341"/>
      <c r="Y19" s="3710"/>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10"/>
      <c r="Q21" s="1338"/>
      <c r="R21" s="692"/>
      <c r="S21" s="693"/>
      <c r="T21" s="692"/>
      <c r="U21" s="693"/>
      <c r="V21" s="692"/>
      <c r="W21" s="693"/>
      <c r="X21" s="1341"/>
      <c r="Y21" s="3710"/>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10"/>
      <c r="Q24" s="1338">
        <f t="shared" ref="Q24:Q36"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1"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2"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2"/>
      <c r="Q27" s="694" t="str">
        <f t="shared" si="11"/>
        <v>项目停车位配比</v>
      </c>
      <c r="R27" s="695" t="s">
        <v>14</v>
      </c>
      <c r="S27" s="696">
        <f t="shared" si="12"/>
        <v>100</v>
      </c>
      <c r="T27" s="695" t="s">
        <v>14</v>
      </c>
      <c r="U27" s="696">
        <f t="shared" si="13"/>
        <v>100</v>
      </c>
      <c r="V27" s="695" t="s">
        <v>14</v>
      </c>
      <c r="W27" s="696">
        <f t="shared" si="14"/>
        <v>100</v>
      </c>
      <c r="X27" s="697"/>
      <c r="Y27" s="3712"/>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2"/>
      <c r="Q28" s="1338" t="str">
        <f t="shared" si="11"/>
        <v>公共部分装修</v>
      </c>
      <c r="R28" s="692" t="s">
        <v>14</v>
      </c>
      <c r="S28" s="693">
        <f t="shared" si="12"/>
        <v>100</v>
      </c>
      <c r="T28" s="692" t="s">
        <v>14</v>
      </c>
      <c r="U28" s="693">
        <f t="shared" si="13"/>
        <v>100</v>
      </c>
      <c r="V28" s="692" t="s">
        <v>14</v>
      </c>
      <c r="W28" s="693">
        <f t="shared" si="14"/>
        <v>100</v>
      </c>
      <c r="X28" s="1341"/>
      <c r="Y28" s="3712"/>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2"/>
      <c r="Q29" s="1338" t="str">
        <f t="shared" si="11"/>
        <v>成新率</v>
      </c>
      <c r="R29" s="692" t="s">
        <v>14</v>
      </c>
      <c r="S29" s="693" t="e">
        <f t="shared" si="12"/>
        <v>#N/A</v>
      </c>
      <c r="T29" s="692" t="s">
        <v>14</v>
      </c>
      <c r="U29" s="693" t="e">
        <f t="shared" si="13"/>
        <v>#N/A</v>
      </c>
      <c r="V29" s="692" t="s">
        <v>14</v>
      </c>
      <c r="W29" s="693" t="e">
        <f t="shared" si="14"/>
        <v>#N/A</v>
      </c>
      <c r="X29" s="1341"/>
      <c r="Y29" s="3712"/>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2"/>
      <c r="Q30" s="1338" t="str">
        <f t="shared" si="11"/>
        <v>物业等级</v>
      </c>
      <c r="R30" s="692" t="s">
        <v>14</v>
      </c>
      <c r="S30" s="693">
        <f t="shared" si="12"/>
        <v>100</v>
      </c>
      <c r="T30" s="692" t="s">
        <v>14</v>
      </c>
      <c r="U30" s="693">
        <f t="shared" si="13"/>
        <v>100</v>
      </c>
      <c r="V30" s="692" t="s">
        <v>14</v>
      </c>
      <c r="W30" s="693">
        <f t="shared" si="14"/>
        <v>100</v>
      </c>
      <c r="X30" s="1341"/>
      <c r="Y30" s="3712"/>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2"/>
      <c r="Q31" s="1329" t="str">
        <f t="shared" si="11"/>
        <v>停车位面积</v>
      </c>
      <c r="R31" s="688" t="s">
        <v>14</v>
      </c>
      <c r="S31" s="689" t="e">
        <f t="shared" si="12"/>
        <v>#N/A</v>
      </c>
      <c r="T31" s="688" t="s">
        <v>14</v>
      </c>
      <c r="U31" s="689" t="e">
        <f t="shared" si="13"/>
        <v>#N/A</v>
      </c>
      <c r="V31" s="688" t="s">
        <v>14</v>
      </c>
      <c r="W31" s="689" t="e">
        <f t="shared" si="14"/>
        <v>#N/A</v>
      </c>
      <c r="X31" s="690"/>
      <c r="Y31" s="3712"/>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2" t="s">
        <v>1696</v>
      </c>
      <c r="Q32" s="1338" t="str">
        <f t="shared" si="11"/>
        <v>车位类型</v>
      </c>
      <c r="R32" s="692" t="s">
        <v>14</v>
      </c>
      <c r="S32" s="693">
        <f t="shared" si="12"/>
        <v>100</v>
      </c>
      <c r="T32" s="692" t="s">
        <v>14</v>
      </c>
      <c r="U32" s="693">
        <f t="shared" si="13"/>
        <v>100</v>
      </c>
      <c r="V32" s="692" t="s">
        <v>14</v>
      </c>
      <c r="W32" s="693">
        <f t="shared" si="14"/>
        <v>100</v>
      </c>
      <c r="X32" s="1341"/>
      <c r="Y32" s="3712"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2"/>
      <c r="Q33" s="1338" t="str">
        <f t="shared" si="11"/>
        <v>是否直接入户</v>
      </c>
      <c r="R33" s="692" t="s">
        <v>14</v>
      </c>
      <c r="S33" s="693">
        <f t="shared" si="12"/>
        <v>100</v>
      </c>
      <c r="T33" s="692" t="s">
        <v>14</v>
      </c>
      <c r="U33" s="693">
        <f t="shared" si="13"/>
        <v>100</v>
      </c>
      <c r="V33" s="692" t="s">
        <v>14</v>
      </c>
      <c r="W33" s="693">
        <f t="shared" si="14"/>
        <v>100</v>
      </c>
      <c r="X33" s="1341"/>
      <c r="Y33" s="3712"/>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2"/>
      <c r="Q35" s="694">
        <f t="shared" si="11"/>
        <v>111</v>
      </c>
      <c r="R35" s="695" t="s">
        <v>14</v>
      </c>
      <c r="S35" s="696">
        <f t="shared" si="12"/>
        <v>100</v>
      </c>
      <c r="T35" s="695" t="s">
        <v>14</v>
      </c>
      <c r="U35" s="696">
        <f t="shared" si="13"/>
        <v>100</v>
      </c>
      <c r="V35" s="695" t="s">
        <v>14</v>
      </c>
      <c r="W35" s="696">
        <f t="shared" si="14"/>
        <v>100</v>
      </c>
      <c r="X35" s="697"/>
      <c r="Y35" s="3712"/>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2"/>
      <c r="Q36" s="1338">
        <f t="shared" si="11"/>
        <v>111</v>
      </c>
      <c r="R36" s="692" t="s">
        <v>14</v>
      </c>
      <c r="S36" s="693">
        <f t="shared" si="12"/>
        <v>100</v>
      </c>
      <c r="T36" s="692" t="s">
        <v>14</v>
      </c>
      <c r="U36" s="693">
        <f t="shared" si="13"/>
        <v>100</v>
      </c>
      <c r="V36" s="692" t="s">
        <v>14</v>
      </c>
      <c r="W36" s="693">
        <f t="shared" si="14"/>
        <v>100</v>
      </c>
      <c r="X36" s="1341"/>
      <c r="Y36" s="3712"/>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08" t="str">
        <f>A37</f>
        <v>成交单价</v>
      </c>
      <c r="Q37" s="370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08" t="str">
        <f>A38</f>
        <v>比较价值（元/平方米）</v>
      </c>
      <c r="Q38" s="370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02" t="str">
        <f>A39</f>
        <v>估价对象XX用房的比较价值（楼面单价，元/平方米）</v>
      </c>
      <c r="Q39" s="3703"/>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10"/>
      <c r="Q15" s="1338"/>
      <c r="R15" s="692"/>
      <c r="S15" s="693"/>
      <c r="T15" s="692"/>
      <c r="U15" s="693"/>
      <c r="V15" s="692"/>
      <c r="W15" s="693"/>
      <c r="X15" s="1341"/>
      <c r="Y15" s="3710"/>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10"/>
      <c r="Q17" s="1338"/>
      <c r="R17" s="692"/>
      <c r="S17" s="693"/>
      <c r="T17" s="692"/>
      <c r="U17" s="693"/>
      <c r="V17" s="692"/>
      <c r="W17" s="693"/>
      <c r="X17" s="1341"/>
      <c r="Y17" s="3710"/>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10"/>
      <c r="Q19" s="1338"/>
      <c r="R19" s="692"/>
      <c r="S19" s="693"/>
      <c r="T19" s="692"/>
      <c r="U19" s="693"/>
      <c r="V19" s="692"/>
      <c r="W19" s="693"/>
      <c r="X19" s="1341"/>
      <c r="Y19" s="3710"/>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10"/>
      <c r="Q21" s="1338"/>
      <c r="R21" s="692"/>
      <c r="S21" s="693"/>
      <c r="T21" s="692"/>
      <c r="U21" s="693"/>
      <c r="V21" s="692"/>
      <c r="W21" s="693"/>
      <c r="X21" s="1341"/>
      <c r="Y21" s="3710"/>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10"/>
      <c r="Q24" s="1338">
        <f t="shared" ref="Q24:Q34"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1"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2"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2"/>
      <c r="Q27" s="694" t="str">
        <f t="shared" si="11"/>
        <v>成新率</v>
      </c>
      <c r="R27" s="695" t="s">
        <v>14</v>
      </c>
      <c r="S27" s="696" t="e">
        <f t="shared" si="12"/>
        <v>#N/A</v>
      </c>
      <c r="T27" s="695" t="s">
        <v>14</v>
      </c>
      <c r="U27" s="696" t="e">
        <f t="shared" si="13"/>
        <v>#N/A</v>
      </c>
      <c r="V27" s="695" t="s">
        <v>14</v>
      </c>
      <c r="W27" s="696" t="e">
        <f t="shared" si="14"/>
        <v>#N/A</v>
      </c>
      <c r="X27" s="697"/>
      <c r="Y27" s="3712"/>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2"/>
      <c r="Q28" s="1338" t="str">
        <f t="shared" si="11"/>
        <v>物业等级</v>
      </c>
      <c r="R28" s="692" t="s">
        <v>14</v>
      </c>
      <c r="S28" s="693">
        <f t="shared" si="12"/>
        <v>100</v>
      </c>
      <c r="T28" s="692" t="s">
        <v>14</v>
      </c>
      <c r="U28" s="693">
        <f t="shared" si="13"/>
        <v>100</v>
      </c>
      <c r="V28" s="692" t="s">
        <v>14</v>
      </c>
      <c r="W28" s="693">
        <f t="shared" si="14"/>
        <v>100</v>
      </c>
      <c r="X28" s="1341"/>
      <c r="Y28" s="3712"/>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2"/>
      <c r="Q29" s="1338" t="str">
        <f t="shared" si="11"/>
        <v>有无电梯</v>
      </c>
      <c r="R29" s="692" t="s">
        <v>14</v>
      </c>
      <c r="S29" s="693">
        <f t="shared" si="12"/>
        <v>100</v>
      </c>
      <c r="T29" s="692" t="s">
        <v>14</v>
      </c>
      <c r="U29" s="693">
        <f t="shared" si="13"/>
        <v>100</v>
      </c>
      <c r="V29" s="692" t="s">
        <v>14</v>
      </c>
      <c r="W29" s="693">
        <f t="shared" si="14"/>
        <v>100</v>
      </c>
      <c r="X29" s="1341"/>
      <c r="Y29" s="3712"/>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2"/>
      <c r="Q30" s="1338" t="str">
        <f t="shared" si="11"/>
        <v>建筑面积</v>
      </c>
      <c r="R30" s="692" t="s">
        <v>14</v>
      </c>
      <c r="S30" s="693" t="e">
        <f t="shared" si="12"/>
        <v>#N/A</v>
      </c>
      <c r="T30" s="692" t="s">
        <v>14</v>
      </c>
      <c r="U30" s="693" t="e">
        <f t="shared" si="13"/>
        <v>#N/A</v>
      </c>
      <c r="V30" s="692" t="s">
        <v>14</v>
      </c>
      <c r="W30" s="693" t="e">
        <f t="shared" si="14"/>
        <v>#N/A</v>
      </c>
      <c r="X30" s="1341"/>
      <c r="Y30" s="3712"/>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2"/>
      <c r="Q31" s="1329" t="str">
        <f t="shared" si="11"/>
        <v>是否封闭</v>
      </c>
      <c r="R31" s="688" t="s">
        <v>14</v>
      </c>
      <c r="S31" s="689">
        <f t="shared" si="12"/>
        <v>100</v>
      </c>
      <c r="T31" s="688" t="s">
        <v>14</v>
      </c>
      <c r="U31" s="689">
        <f t="shared" si="13"/>
        <v>100</v>
      </c>
      <c r="V31" s="688" t="s">
        <v>14</v>
      </c>
      <c r="W31" s="689">
        <f t="shared" si="14"/>
        <v>100</v>
      </c>
      <c r="X31" s="690"/>
      <c r="Y31" s="3712"/>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2" t="s">
        <v>1696</v>
      </c>
      <c r="Q32" s="1338">
        <f t="shared" si="11"/>
        <v>111</v>
      </c>
      <c r="R32" s="692" t="s">
        <v>14</v>
      </c>
      <c r="S32" s="693">
        <f t="shared" si="12"/>
        <v>100</v>
      </c>
      <c r="T32" s="692" t="s">
        <v>14</v>
      </c>
      <c r="U32" s="693">
        <f t="shared" si="13"/>
        <v>100</v>
      </c>
      <c r="V32" s="692" t="s">
        <v>14</v>
      </c>
      <c r="W32" s="693">
        <f t="shared" si="14"/>
        <v>100</v>
      </c>
      <c r="X32" s="1341"/>
      <c r="Y32" s="3712"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2"/>
      <c r="Q33" s="1338">
        <f t="shared" si="11"/>
        <v>111</v>
      </c>
      <c r="R33" s="692" t="s">
        <v>14</v>
      </c>
      <c r="S33" s="693">
        <f t="shared" si="12"/>
        <v>100</v>
      </c>
      <c r="T33" s="692" t="s">
        <v>14</v>
      </c>
      <c r="U33" s="693">
        <f t="shared" si="13"/>
        <v>100</v>
      </c>
      <c r="V33" s="692" t="s">
        <v>14</v>
      </c>
      <c r="W33" s="693">
        <f t="shared" si="14"/>
        <v>100</v>
      </c>
      <c r="X33" s="1341"/>
      <c r="Y33" s="3712"/>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08" t="str">
        <f>A35</f>
        <v>成交单价（元/平方米）</v>
      </c>
      <c r="Q35" s="370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08" t="str">
        <f>A36</f>
        <v>比较价值（元/平方米）</v>
      </c>
      <c r="Q36" s="370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02" t="str">
        <f>A37</f>
        <v>估价对象XX用房的比较价值（楼面单价，元/平方米）</v>
      </c>
      <c r="Q37" s="3703"/>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G34" zoomScale="85" zoomScaleNormal="70" zoomScaleSheetLayoutView="85" workbookViewId="0">
      <selection activeCell="K35" sqref="K35"/>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46523</v>
      </c>
      <c r="C2" s="1373" t="s">
        <v>805</v>
      </c>
      <c r="D2" s="1373"/>
      <c r="E2" s="1374"/>
      <c r="F2" s="1375"/>
      <c r="G2" s="2686"/>
      <c r="H2" s="2675"/>
      <c r="I2" s="2675"/>
      <c r="J2" s="2675"/>
      <c r="K2" s="2676"/>
      <c r="L2" s="2675"/>
      <c r="M2" s="2675"/>
    </row>
    <row r="3" spans="1:37" ht="18" customHeight="1" thickBot="1">
      <c r="A3" s="1376" t="s">
        <v>806</v>
      </c>
      <c r="B3" s="1377">
        <f ca="1">IF(ISERROR(B2*10000/F43),0,ROUND(B2*10000/F43,0))</f>
        <v>3264</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105902</v>
      </c>
      <c r="D14" s="1331" t="s">
        <v>708</v>
      </c>
      <c r="E14" s="1328"/>
      <c r="F14" s="309"/>
      <c r="G14" s="1370"/>
      <c r="H14" s="969" t="s">
        <v>398</v>
      </c>
      <c r="I14" s="292" t="s">
        <v>709</v>
      </c>
      <c r="J14" s="21">
        <f ca="1">C29</f>
        <v>161979</v>
      </c>
      <c r="K14" s="12"/>
      <c r="L14" s="794"/>
      <c r="M14" s="795"/>
    </row>
    <row r="15" spans="1:37" s="1383" customFormat="1" ht="18" customHeight="1" thickBot="1">
      <c r="A15" s="969" t="s">
        <v>399</v>
      </c>
      <c r="B15" s="292" t="s">
        <v>710</v>
      </c>
      <c r="C15" s="21">
        <f ca="1">ROUND(C14*F15,0)</f>
        <v>5295</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16</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15.57</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1589</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115637</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2891</v>
      </c>
      <c r="D20" s="313" t="s">
        <v>729</v>
      </c>
      <c r="E20" s="292" t="s">
        <v>712</v>
      </c>
      <c r="F20" s="312">
        <f>'数据-取费表'!B37</f>
        <v>2.5000000000000001E-2</v>
      </c>
      <c r="G20" s="1382"/>
      <c r="H20" s="969" t="s">
        <v>680</v>
      </c>
      <c r="I20" s="145" t="s">
        <v>730</v>
      </c>
      <c r="J20" s="22">
        <f ca="1">ROUND(M20*M21/10000,2)</f>
        <v>15.57</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2.5000000000000001E-2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6187</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1.2999999999999999E-3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-16</v>
      </c>
      <c r="K25" s="1082" t="s">
        <v>753</v>
      </c>
      <c r="L25" s="1083"/>
      <c r="M25" s="1084"/>
    </row>
    <row r="26" spans="1:37">
      <c r="A26" s="969" t="s">
        <v>397</v>
      </c>
      <c r="B26" s="292" t="s">
        <v>754</v>
      </c>
      <c r="C26" s="21">
        <f ca="1">ROUND((C19+C20)*F26,0)</f>
        <v>23706</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5.0000000000000001E-3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161979</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16</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15.57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15.57</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-16</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46523</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46523</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161979</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-284</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46523</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161979</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16</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16</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96054</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46523</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15.57</v>
      </c>
      <c r="D62" s="952" t="s">
        <v>786</v>
      </c>
      <c r="E62" s="937" t="s">
        <v>787</v>
      </c>
      <c r="F62" s="315">
        <f t="shared" si="0"/>
        <v>3</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-16</v>
      </c>
      <c r="D67" s="950" t="s">
        <v>753</v>
      </c>
      <c r="E67" s="955"/>
      <c r="F67" s="956"/>
      <c r="O67" s="1414" t="s">
        <v>405</v>
      </c>
      <c r="P67" s="1405" t="s">
        <v>850</v>
      </c>
      <c r="Q67" s="1452">
        <f ca="1">L51</f>
        <v>-284</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-16</v>
      </c>
      <c r="R68" s="1406" t="s">
        <v>414</v>
      </c>
    </row>
    <row r="69" spans="1:18" s="1370" customFormat="1" ht="13.5" thickBot="1">
      <c r="A69" s="938"/>
      <c r="B69" s="939"/>
      <c r="C69" s="296"/>
      <c r="D69" s="957" t="s">
        <v>762</v>
      </c>
      <c r="E69" s="937" t="s">
        <v>763</v>
      </c>
      <c r="F69" s="323">
        <f ca="1">F41</f>
        <v>0</v>
      </c>
      <c r="O69" s="1414" t="s">
        <v>411</v>
      </c>
      <c r="P69" s="1453" t="s">
        <v>872</v>
      </c>
      <c r="Q69" s="1406">
        <f ca="1">C39</f>
        <v>-16</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6" t="s">
        <v>1683</v>
      </c>
      <c r="Q8" s="3737"/>
      <c r="R8" s="688" t="s">
        <v>14</v>
      </c>
      <c r="S8" s="689">
        <f t="shared" si="0"/>
        <v>0</v>
      </c>
      <c r="T8" s="688" t="s">
        <v>14</v>
      </c>
      <c r="U8" s="689">
        <f t="shared" si="1"/>
        <v>0</v>
      </c>
      <c r="V8" s="688" t="s">
        <v>14</v>
      </c>
      <c r="W8" s="689">
        <f t="shared" si="2"/>
        <v>0</v>
      </c>
      <c r="X8" s="690"/>
      <c r="Y8" s="3736" t="s">
        <v>1683</v>
      </c>
      <c r="Z8" s="3737"/>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08"/>
      <c r="Q10" s="1329" t="str">
        <f t="shared" si="6"/>
        <v>土地使用年限（年）</v>
      </c>
      <c r="R10" s="688" t="s">
        <v>14</v>
      </c>
      <c r="S10" s="689">
        <f t="shared" si="0"/>
        <v>233</v>
      </c>
      <c r="T10" s="688" t="s">
        <v>14</v>
      </c>
      <c r="U10" s="689">
        <f t="shared" si="1"/>
        <v>233</v>
      </c>
      <c r="V10" s="688" t="s">
        <v>14</v>
      </c>
      <c r="W10" s="689">
        <f t="shared" si="2"/>
        <v>233</v>
      </c>
      <c r="X10" s="690"/>
      <c r="Y10" s="3608"/>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08"/>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10"/>
      <c r="Q19" s="1338" t="str">
        <f t="shared" ref="Q19:Q33" si="8">B19</f>
        <v>区域土地利用方向</v>
      </c>
      <c r="R19" s="692" t="s">
        <v>14</v>
      </c>
      <c r="S19" s="693">
        <f>F19</f>
        <v>100</v>
      </c>
      <c r="T19" s="692" t="s">
        <v>14</v>
      </c>
      <c r="U19" s="693">
        <f>H19</f>
        <v>100</v>
      </c>
      <c r="V19" s="692" t="s">
        <v>14</v>
      </c>
      <c r="W19" s="693">
        <f>J19</f>
        <v>100</v>
      </c>
      <c r="X19" s="1341"/>
      <c r="Y19" s="3710"/>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10"/>
      <c r="Q20" s="1338"/>
      <c r="R20" s="692"/>
      <c r="S20" s="693"/>
      <c r="T20" s="692"/>
      <c r="U20" s="693"/>
      <c r="V20" s="692"/>
      <c r="W20" s="693"/>
      <c r="X20" s="1341"/>
      <c r="Y20" s="3710"/>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10"/>
      <c r="Q21" s="1338" t="str">
        <f t="shared" si="8"/>
        <v>环境状况</v>
      </c>
      <c r="R21" s="692" t="s">
        <v>14</v>
      </c>
      <c r="S21" s="693">
        <f>F21</f>
        <v>100</v>
      </c>
      <c r="T21" s="692" t="s">
        <v>14</v>
      </c>
      <c r="U21" s="693">
        <f>H21</f>
        <v>100</v>
      </c>
      <c r="V21" s="692" t="s">
        <v>14</v>
      </c>
      <c r="W21" s="693">
        <f>J21</f>
        <v>100</v>
      </c>
      <c r="X21" s="1341"/>
      <c r="Y21" s="3710"/>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10"/>
      <c r="Q23" s="1329" t="str">
        <f t="shared" si="8"/>
        <v>公共配套设施</v>
      </c>
      <c r="R23" s="688" t="s">
        <v>14</v>
      </c>
      <c r="S23" s="689">
        <f>F23</f>
        <v>100</v>
      </c>
      <c r="T23" s="688" t="s">
        <v>14</v>
      </c>
      <c r="U23" s="689">
        <f>H23</f>
        <v>100</v>
      </c>
      <c r="V23" s="688" t="s">
        <v>14</v>
      </c>
      <c r="W23" s="689">
        <f>J23</f>
        <v>100</v>
      </c>
      <c r="X23" s="690"/>
      <c r="Y23" s="3710"/>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10"/>
      <c r="Q24" s="1329"/>
      <c r="R24" s="688"/>
      <c r="S24" s="689"/>
      <c r="T24" s="688"/>
      <c r="U24" s="689"/>
      <c r="V24" s="688"/>
      <c r="W24" s="689"/>
      <c r="X24" s="690"/>
      <c r="Y24" s="3710"/>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10"/>
      <c r="Q25" s="1329" t="str">
        <f t="shared" ref="Q25" si="9">B25</f>
        <v>基础设施水平</v>
      </c>
      <c r="R25" s="688" t="s">
        <v>14</v>
      </c>
      <c r="S25" s="689">
        <f>F25</f>
        <v>100</v>
      </c>
      <c r="T25" s="688" t="s">
        <v>14</v>
      </c>
      <c r="U25" s="689">
        <f>H25</f>
        <v>100</v>
      </c>
      <c r="V25" s="688" t="s">
        <v>14</v>
      </c>
      <c r="W25" s="689">
        <f>J25</f>
        <v>100</v>
      </c>
      <c r="X25" s="690"/>
      <c r="Y25" s="3710"/>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10"/>
      <c r="Q26" s="1329"/>
      <c r="R26" s="688"/>
      <c r="S26" s="689"/>
      <c r="T26" s="688"/>
      <c r="U26" s="689"/>
      <c r="V26" s="688"/>
      <c r="W26" s="689"/>
      <c r="X26" s="690"/>
      <c r="Y26" s="3710"/>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10"/>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10"/>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10"/>
      <c r="Q28" s="1338" t="str">
        <f t="shared" si="8"/>
        <v>毗邻道路的类型与等级</v>
      </c>
      <c r="R28" s="692" t="s">
        <v>14</v>
      </c>
      <c r="S28" s="693">
        <f t="shared" si="10"/>
        <v>100</v>
      </c>
      <c r="T28" s="692" t="s">
        <v>14</v>
      </c>
      <c r="U28" s="693">
        <f t="shared" si="11"/>
        <v>100</v>
      </c>
      <c r="V28" s="692" t="s">
        <v>14</v>
      </c>
      <c r="W28" s="693">
        <f t="shared" si="12"/>
        <v>100</v>
      </c>
      <c r="X28" s="1341"/>
      <c r="Y28" s="3710"/>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10"/>
      <c r="Q29" s="1338"/>
      <c r="R29" s="692"/>
      <c r="S29" s="693"/>
      <c r="T29" s="692"/>
      <c r="U29" s="693"/>
      <c r="V29" s="692"/>
      <c r="W29" s="693"/>
      <c r="X29" s="1341"/>
      <c r="Y29" s="3710"/>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10"/>
      <c r="Q30" s="1338" t="str">
        <f t="shared" si="8"/>
        <v>土地级别</v>
      </c>
      <c r="R30" s="692" t="s">
        <v>14</v>
      </c>
      <c r="S30" s="693">
        <f t="shared" si="10"/>
        <v>100</v>
      </c>
      <c r="T30" s="692" t="s">
        <v>14</v>
      </c>
      <c r="U30" s="693">
        <f t="shared" si="11"/>
        <v>100</v>
      </c>
      <c r="V30" s="692" t="s">
        <v>14</v>
      </c>
      <c r="W30" s="693">
        <f t="shared" si="12"/>
        <v>100</v>
      </c>
      <c r="X30" s="1341"/>
      <c r="Y30" s="3710"/>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10"/>
      <c r="Q31" s="1338">
        <f t="shared" si="8"/>
        <v>111</v>
      </c>
      <c r="R31" s="692" t="s">
        <v>14</v>
      </c>
      <c r="S31" s="693">
        <f t="shared" si="10"/>
        <v>100</v>
      </c>
      <c r="T31" s="692" t="s">
        <v>14</v>
      </c>
      <c r="U31" s="693">
        <f t="shared" si="11"/>
        <v>100</v>
      </c>
      <c r="V31" s="692" t="s">
        <v>14</v>
      </c>
      <c r="W31" s="693">
        <f t="shared" si="12"/>
        <v>100</v>
      </c>
      <c r="X31" s="1341"/>
      <c r="Y31" s="3710"/>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1" t="s">
        <v>1696</v>
      </c>
      <c r="Q32" s="1338">
        <f t="shared" si="8"/>
        <v>111</v>
      </c>
      <c r="R32" s="692" t="s">
        <v>14</v>
      </c>
      <c r="S32" s="693">
        <f t="shared" si="10"/>
        <v>100</v>
      </c>
      <c r="T32" s="692" t="s">
        <v>14</v>
      </c>
      <c r="U32" s="693">
        <f t="shared" si="11"/>
        <v>100</v>
      </c>
      <c r="V32" s="692" t="s">
        <v>14</v>
      </c>
      <c r="W32" s="693">
        <f t="shared" si="12"/>
        <v>100</v>
      </c>
      <c r="X32" s="1341"/>
      <c r="Y32" s="3712"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2"/>
      <c r="Q33" s="1338">
        <f t="shared" si="8"/>
        <v>111</v>
      </c>
      <c r="R33" s="695" t="s">
        <v>14</v>
      </c>
      <c r="S33" s="696">
        <f t="shared" si="10"/>
        <v>100</v>
      </c>
      <c r="T33" s="695" t="s">
        <v>14</v>
      </c>
      <c r="U33" s="696">
        <f t="shared" si="11"/>
        <v>100</v>
      </c>
      <c r="V33" s="695" t="s">
        <v>14</v>
      </c>
      <c r="W33" s="696">
        <f t="shared" si="12"/>
        <v>100</v>
      </c>
      <c r="X33" s="697"/>
      <c r="Y33" s="3712"/>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2"/>
      <c r="Q34" s="1338" t="str">
        <f>B34</f>
        <v>宗地面积</v>
      </c>
      <c r="R34" s="692" t="s">
        <v>14</v>
      </c>
      <c r="S34" s="693" t="e">
        <f t="shared" si="10"/>
        <v>#N/A</v>
      </c>
      <c r="T34" s="692" t="s">
        <v>14</v>
      </c>
      <c r="U34" s="693" t="e">
        <f t="shared" si="11"/>
        <v>#N/A</v>
      </c>
      <c r="V34" s="692" t="s">
        <v>14</v>
      </c>
      <c r="W34" s="693" t="e">
        <f t="shared" si="12"/>
        <v>#N/A</v>
      </c>
      <c r="X34" s="1341"/>
      <c r="Y34" s="3712"/>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2"/>
      <c r="Q35" s="1338" t="str">
        <f t="shared" ref="Q35:Q40" si="14">B35</f>
        <v>宗地形状</v>
      </c>
      <c r="R35" s="692" t="s">
        <v>14</v>
      </c>
      <c r="S35" s="693">
        <f t="shared" si="10"/>
        <v>100</v>
      </c>
      <c r="T35" s="692" t="s">
        <v>14</v>
      </c>
      <c r="U35" s="693">
        <f t="shared" si="11"/>
        <v>100</v>
      </c>
      <c r="V35" s="692" t="s">
        <v>14</v>
      </c>
      <c r="W35" s="693">
        <f t="shared" si="12"/>
        <v>100</v>
      </c>
      <c r="X35" s="1341"/>
      <c r="Y35" s="3712"/>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2"/>
      <c r="Q36" s="1338" t="str">
        <f t="shared" si="14"/>
        <v>宗地开发程度</v>
      </c>
      <c r="R36" s="688" t="s">
        <v>14</v>
      </c>
      <c r="S36" s="689">
        <f t="shared" si="10"/>
        <v>100</v>
      </c>
      <c r="T36" s="688" t="s">
        <v>14</v>
      </c>
      <c r="U36" s="689">
        <f t="shared" si="11"/>
        <v>100</v>
      </c>
      <c r="V36" s="688" t="s">
        <v>14</v>
      </c>
      <c r="W36" s="689">
        <f t="shared" si="12"/>
        <v>100</v>
      </c>
      <c r="X36" s="690"/>
      <c r="Y36" s="3712"/>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2" t="s">
        <v>1696</v>
      </c>
      <c r="Q37" s="1338" t="str">
        <f t="shared" si="14"/>
        <v>工程地质条件</v>
      </c>
      <c r="R37" s="692" t="s">
        <v>14</v>
      </c>
      <c r="S37" s="693">
        <f t="shared" si="10"/>
        <v>100</v>
      </c>
      <c r="T37" s="692" t="s">
        <v>14</v>
      </c>
      <c r="U37" s="693">
        <f t="shared" si="11"/>
        <v>100</v>
      </c>
      <c r="V37" s="692" t="s">
        <v>14</v>
      </c>
      <c r="W37" s="693">
        <f t="shared" si="12"/>
        <v>100</v>
      </c>
      <c r="X37" s="1341"/>
      <c r="Y37" s="3712"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2"/>
      <c r="Q38" s="1338">
        <f t="shared" si="14"/>
        <v>111</v>
      </c>
      <c r="R38" s="692" t="s">
        <v>14</v>
      </c>
      <c r="S38" s="693">
        <f t="shared" si="10"/>
        <v>100</v>
      </c>
      <c r="T38" s="692" t="s">
        <v>14</v>
      </c>
      <c r="U38" s="693">
        <f t="shared" si="11"/>
        <v>100</v>
      </c>
      <c r="V38" s="692" t="s">
        <v>14</v>
      </c>
      <c r="W38" s="693">
        <f t="shared" si="12"/>
        <v>100</v>
      </c>
      <c r="X38" s="1341"/>
      <c r="Y38" s="3712"/>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2"/>
      <c r="Q39" s="1338">
        <f t="shared" si="14"/>
        <v>111</v>
      </c>
      <c r="R39" s="692" t="s">
        <v>14</v>
      </c>
      <c r="S39" s="693">
        <f t="shared" si="10"/>
        <v>100</v>
      </c>
      <c r="T39" s="692" t="s">
        <v>14</v>
      </c>
      <c r="U39" s="693">
        <f t="shared" si="11"/>
        <v>100</v>
      </c>
      <c r="V39" s="692" t="s">
        <v>14</v>
      </c>
      <c r="W39" s="693">
        <f t="shared" si="12"/>
        <v>100</v>
      </c>
      <c r="X39" s="1341"/>
      <c r="Y39" s="3712"/>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2"/>
      <c r="Q40" s="1338">
        <f t="shared" si="14"/>
        <v>111</v>
      </c>
      <c r="R40" s="695" t="s">
        <v>14</v>
      </c>
      <c r="S40" s="696">
        <f t="shared" si="10"/>
        <v>100</v>
      </c>
      <c r="T40" s="695" t="s">
        <v>14</v>
      </c>
      <c r="U40" s="696">
        <f t="shared" si="11"/>
        <v>100</v>
      </c>
      <c r="V40" s="695" t="s">
        <v>14</v>
      </c>
      <c r="W40" s="696">
        <f t="shared" si="12"/>
        <v>100</v>
      </c>
      <c r="X40" s="697"/>
      <c r="Y40" s="3712"/>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08" t="str">
        <f>A41</f>
        <v>成交单价</v>
      </c>
      <c r="Q41" s="3708"/>
      <c r="R41" s="3713">
        <f>E41</f>
        <v>0</v>
      </c>
      <c r="S41" s="3713"/>
      <c r="T41" s="3713">
        <f>G41</f>
        <v>0</v>
      </c>
      <c r="U41" s="3713"/>
      <c r="V41" s="3713">
        <f>I41</f>
        <v>0</v>
      </c>
      <c r="W41" s="3713"/>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08" t="str">
        <f>A42</f>
        <v>比较价值（元/平方米）</v>
      </c>
      <c r="Q42" s="3708"/>
      <c r="R42" s="3701" t="e">
        <f>ROUND(PRODUCT(R41,AA7:AA40),0)</f>
        <v>#DIV/0!</v>
      </c>
      <c r="S42" s="3701"/>
      <c r="T42" s="3701" t="e">
        <f>ROUND(PRODUCT(T41,AB7:AB40),0)</f>
        <v>#DIV/0!</v>
      </c>
      <c r="U42" s="3701"/>
      <c r="V42" s="3701" t="e">
        <f>ROUND(PRODUCT(V41,AC7:AC40),0)</f>
        <v>#DIV/0!</v>
      </c>
      <c r="W42" s="3701"/>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02" t="str">
        <f>A43</f>
        <v>估价对象XX用房的比较价值（楼面单价，元/平方米）</v>
      </c>
      <c r="Q43" s="3703"/>
      <c r="R43" s="3704" t="e">
        <f>ROUND(IF(D42="简单平均",AVERAGE(R42:W42),R42*F42+T42*H42+V42*J42),0)</f>
        <v>#DIV/0!</v>
      </c>
      <c r="S43" s="3704"/>
      <c r="T43" s="3704"/>
      <c r="U43" s="3704"/>
      <c r="V43" s="3704"/>
      <c r="W43" s="3704"/>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05" t="s">
        <v>1887</v>
      </c>
      <c r="H50" s="3706"/>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134315.84000000003</v>
      </c>
      <c r="F51" s="629" t="e">
        <f t="shared" ref="F51:F60" si="15">ROUND(B51*E51/10000,0)</f>
        <v>#DIV/0!</v>
      </c>
      <c r="G51" s="3707"/>
      <c r="H51" s="370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4" t="s">
        <v>2598</v>
      </c>
      <c r="B20" s="3829" t="s">
        <v>2619</v>
      </c>
      <c r="C20" s="3077" t="s">
        <v>2430</v>
      </c>
      <c r="D20" s="3078"/>
      <c r="E20" s="3079">
        <v>1</v>
      </c>
      <c r="F20" s="3080" t="s">
        <v>2431</v>
      </c>
      <c r="G20" s="3080"/>
    </row>
    <row r="21" spans="1:13" ht="19.5" customHeight="1">
      <c r="A21" s="3835"/>
      <c r="B21" s="3828"/>
      <c r="C21" s="3081" t="s">
        <v>2432</v>
      </c>
      <c r="D21" s="3082"/>
      <c r="E21" s="3083">
        <v>1</v>
      </c>
      <c r="F21" s="3080" t="s">
        <v>2433</v>
      </c>
      <c r="G21" s="3080"/>
    </row>
    <row r="22" spans="1:13" ht="19.5" customHeight="1">
      <c r="A22" s="3835"/>
      <c r="B22" s="3828"/>
      <c r="C22" s="3081" t="s">
        <v>2434</v>
      </c>
      <c r="D22" s="3082"/>
      <c r="E22" s="3083">
        <v>0.9</v>
      </c>
      <c r="F22" s="3080" t="s">
        <v>2435</v>
      </c>
      <c r="G22" s="3080"/>
    </row>
    <row r="23" spans="1:13" ht="19.5" customHeight="1">
      <c r="A23" s="3835"/>
      <c r="B23" s="3828"/>
      <c r="C23" s="3081" t="s">
        <v>2436</v>
      </c>
      <c r="D23" s="3082"/>
      <c r="E23" s="3083">
        <v>0.9</v>
      </c>
      <c r="F23" s="3080" t="s">
        <v>2437</v>
      </c>
      <c r="G23" s="3080"/>
    </row>
    <row r="24" spans="1:13" ht="19.5" customHeight="1">
      <c r="A24" s="3835"/>
      <c r="B24" s="3828"/>
      <c r="C24" s="3081" t="s">
        <v>2438</v>
      </c>
      <c r="D24" s="3082"/>
      <c r="E24" s="3083">
        <v>0.8</v>
      </c>
      <c r="F24" s="3080" t="s">
        <v>2439</v>
      </c>
      <c r="G24" s="3080"/>
    </row>
    <row r="25" spans="1:13" ht="19.5" customHeight="1" thickBot="1">
      <c r="A25" s="3836"/>
      <c r="B25" s="3830"/>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1" t="s">
        <v>2622</v>
      </c>
      <c r="B27" s="3829" t="s">
        <v>2603</v>
      </c>
      <c r="C27" s="3077" t="s">
        <v>2443</v>
      </c>
      <c r="D27" s="3078"/>
      <c r="E27" s="3079">
        <v>1</v>
      </c>
      <c r="F27" s="3080" t="s">
        <v>2444</v>
      </c>
      <c r="G27" s="3080"/>
    </row>
    <row r="28" spans="1:13" ht="19.5" customHeight="1">
      <c r="A28" s="3832"/>
      <c r="B28" s="3828"/>
      <c r="C28" s="3081" t="s">
        <v>2445</v>
      </c>
      <c r="D28" s="3082"/>
      <c r="E28" s="3083">
        <v>1</v>
      </c>
      <c r="F28" s="3080" t="s">
        <v>2446</v>
      </c>
      <c r="G28" s="3080"/>
    </row>
    <row r="29" spans="1:13" ht="19.5" customHeight="1">
      <c r="A29" s="3832"/>
      <c r="B29" s="3828"/>
      <c r="C29" s="3081" t="s">
        <v>2447</v>
      </c>
      <c r="D29" s="3082"/>
      <c r="E29" s="3083">
        <v>0.8</v>
      </c>
      <c r="F29" s="3080" t="s">
        <v>2448</v>
      </c>
      <c r="G29" s="3080"/>
    </row>
    <row r="30" spans="1:13" ht="19.5" customHeight="1">
      <c r="A30" s="3832"/>
      <c r="B30" s="3828"/>
      <c r="C30" s="3081" t="s">
        <v>2449</v>
      </c>
      <c r="D30" s="3082"/>
      <c r="E30" s="3083">
        <v>0.8</v>
      </c>
      <c r="F30" s="3080" t="s">
        <v>2450</v>
      </c>
      <c r="G30" s="3080"/>
    </row>
    <row r="31" spans="1:13" ht="19.5" customHeight="1">
      <c r="A31" s="3832"/>
      <c r="B31" s="3828"/>
      <c r="C31" s="3081" t="s">
        <v>2451</v>
      </c>
      <c r="D31" s="3082"/>
      <c r="E31" s="3083">
        <v>0.8</v>
      </c>
      <c r="F31" s="3080" t="s">
        <v>2452</v>
      </c>
      <c r="G31" s="3080"/>
    </row>
    <row r="32" spans="1:13" ht="19.5" customHeight="1">
      <c r="A32" s="3832"/>
      <c r="B32" s="3828"/>
      <c r="C32" s="3081" t="s">
        <v>2453</v>
      </c>
      <c r="D32" s="3082"/>
      <c r="E32" s="3083">
        <v>0.7</v>
      </c>
      <c r="F32" s="3080" t="s">
        <v>2454</v>
      </c>
      <c r="G32" s="3080"/>
    </row>
    <row r="33" spans="1:7" ht="19.5" customHeight="1">
      <c r="A33" s="3832"/>
      <c r="B33" s="3828"/>
      <c r="C33" s="3081" t="s">
        <v>2455</v>
      </c>
      <c r="D33" s="3082"/>
      <c r="E33" s="3083">
        <v>0.8</v>
      </c>
      <c r="F33" s="3080" t="s">
        <v>2456</v>
      </c>
      <c r="G33" s="3080"/>
    </row>
    <row r="34" spans="1:7" ht="19.5" customHeight="1">
      <c r="A34" s="3832"/>
      <c r="B34" s="3828"/>
      <c r="C34" s="3081" t="s">
        <v>2457</v>
      </c>
      <c r="D34" s="3082"/>
      <c r="E34" s="3083">
        <v>0.6</v>
      </c>
      <c r="F34" s="3080" t="s">
        <v>2458</v>
      </c>
      <c r="G34" s="3080"/>
    </row>
    <row r="35" spans="1:7" ht="19.5" customHeight="1">
      <c r="A35" s="3832"/>
      <c r="B35" s="3828"/>
      <c r="C35" s="3081" t="s">
        <v>2459</v>
      </c>
      <c r="D35" s="3082"/>
      <c r="E35" s="3083">
        <v>0.2</v>
      </c>
      <c r="F35" s="3080" t="s">
        <v>2460</v>
      </c>
      <c r="G35" s="3080"/>
    </row>
    <row r="36" spans="1:7" ht="19.5" customHeight="1">
      <c r="A36" s="3832"/>
      <c r="B36" s="3828"/>
      <c r="C36" s="3081" t="s">
        <v>2461</v>
      </c>
      <c r="D36" s="3082"/>
      <c r="E36" s="3083">
        <v>0.2</v>
      </c>
      <c r="F36" s="3080" t="s">
        <v>2462</v>
      </c>
      <c r="G36" s="3080"/>
    </row>
    <row r="37" spans="1:7" ht="19.5" customHeight="1">
      <c r="A37" s="3832"/>
      <c r="B37" s="3826" t="s">
        <v>2623</v>
      </c>
      <c r="C37" s="3081" t="s">
        <v>2463</v>
      </c>
      <c r="D37" s="3082"/>
      <c r="E37" s="3083">
        <v>0.6</v>
      </c>
      <c r="F37" s="3080" t="s">
        <v>2464</v>
      </c>
      <c r="G37" s="3080"/>
    </row>
    <row r="38" spans="1:7" ht="19.5" customHeight="1">
      <c r="A38" s="3832"/>
      <c r="B38" s="3828"/>
      <c r="C38" s="3081" t="s">
        <v>2465</v>
      </c>
      <c r="D38" s="3082"/>
      <c r="E38" s="3083">
        <v>0.6</v>
      </c>
      <c r="F38" s="3080" t="s">
        <v>2466</v>
      </c>
      <c r="G38" s="3080"/>
    </row>
    <row r="39" spans="1:7" ht="19.5" customHeight="1" thickBot="1">
      <c r="A39" s="3833"/>
      <c r="B39" s="3830"/>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4" t="s">
        <v>2601</v>
      </c>
      <c r="B41" s="3829" t="s">
        <v>2625</v>
      </c>
      <c r="C41" s="3077" t="s">
        <v>2470</v>
      </c>
      <c r="D41" s="3078"/>
      <c r="E41" s="3079">
        <v>1</v>
      </c>
      <c r="F41" s="3080" t="s">
        <v>2471</v>
      </c>
      <c r="G41" s="3080"/>
    </row>
    <row r="42" spans="1:7" ht="19.5" customHeight="1">
      <c r="A42" s="3835"/>
      <c r="B42" s="3828"/>
      <c r="C42" s="3081" t="s">
        <v>2472</v>
      </c>
      <c r="D42" s="3082"/>
      <c r="E42" s="3083">
        <v>1</v>
      </c>
      <c r="F42" s="3080" t="s">
        <v>2473</v>
      </c>
      <c r="G42" s="3080"/>
    </row>
    <row r="43" spans="1:7" ht="19.5" customHeight="1">
      <c r="A43" s="3835"/>
      <c r="B43" s="3827"/>
      <c r="C43" s="3081" t="s">
        <v>2474</v>
      </c>
      <c r="D43" s="3082"/>
      <c r="E43" s="3083">
        <v>1.5</v>
      </c>
      <c r="F43" s="3080" t="s">
        <v>2475</v>
      </c>
      <c r="G43" s="3080"/>
    </row>
    <row r="44" spans="1:7" ht="19.5" customHeight="1">
      <c r="A44" s="3835"/>
      <c r="B44" s="3092" t="s">
        <v>2626</v>
      </c>
      <c r="C44" s="3081" t="s">
        <v>2627</v>
      </c>
      <c r="D44" s="3082"/>
      <c r="E44" s="3083">
        <v>2</v>
      </c>
      <c r="F44" s="3080" t="s">
        <v>2476</v>
      </c>
      <c r="G44" s="3080"/>
    </row>
    <row r="45" spans="1:7" ht="19.5" customHeight="1">
      <c r="A45" s="3835"/>
      <c r="B45" s="3826" t="s">
        <v>2628</v>
      </c>
      <c r="C45" s="3081" t="s">
        <v>2477</v>
      </c>
      <c r="D45" s="3082"/>
      <c r="E45" s="3083">
        <v>1</v>
      </c>
      <c r="F45" s="3080" t="s">
        <v>2478</v>
      </c>
      <c r="G45" s="3080"/>
    </row>
    <row r="46" spans="1:7" ht="19.5" customHeight="1">
      <c r="A46" s="3835"/>
      <c r="B46" s="3828"/>
      <c r="C46" s="3081" t="s">
        <v>2479</v>
      </c>
      <c r="D46" s="3082"/>
      <c r="E46" s="3083">
        <v>1</v>
      </c>
      <c r="F46" s="3080" t="s">
        <v>2480</v>
      </c>
      <c r="G46" s="3080"/>
    </row>
    <row r="47" spans="1:7" ht="19.5" customHeight="1">
      <c r="A47" s="3835"/>
      <c r="B47" s="3828"/>
      <c r="C47" s="3081" t="s">
        <v>2481</v>
      </c>
      <c r="D47" s="3082"/>
      <c r="E47" s="3083">
        <v>1</v>
      </c>
      <c r="F47" s="3080" t="s">
        <v>2482</v>
      </c>
      <c r="G47" s="3080"/>
    </row>
    <row r="48" spans="1:7" ht="19.5" customHeight="1">
      <c r="A48" s="3835"/>
      <c r="B48" s="3828"/>
      <c r="C48" s="3081" t="s">
        <v>2483</v>
      </c>
      <c r="D48" s="3082"/>
      <c r="E48" s="3083">
        <v>1</v>
      </c>
      <c r="F48" s="3080" t="s">
        <v>2484</v>
      </c>
      <c r="G48" s="3080"/>
    </row>
    <row r="49" spans="1:7" ht="19.5" customHeight="1">
      <c r="A49" s="3835"/>
      <c r="B49" s="3828"/>
      <c r="C49" s="3081" t="s">
        <v>2485</v>
      </c>
      <c r="D49" s="3082"/>
      <c r="E49" s="3083">
        <v>1</v>
      </c>
      <c r="F49" s="3080" t="s">
        <v>2486</v>
      </c>
      <c r="G49" s="3080"/>
    </row>
    <row r="50" spans="1:7" ht="19.5" customHeight="1">
      <c r="A50" s="3835"/>
      <c r="B50" s="3828"/>
      <c r="C50" s="3081" t="s">
        <v>2487</v>
      </c>
      <c r="D50" s="3082"/>
      <c r="E50" s="3083">
        <v>1</v>
      </c>
      <c r="F50" s="3080" t="s">
        <v>2488</v>
      </c>
      <c r="G50" s="3080"/>
    </row>
    <row r="51" spans="1:7" ht="19.5" customHeight="1" thickBot="1">
      <c r="A51" s="3836"/>
      <c r="B51" s="3830"/>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26" t="s">
        <v>2642</v>
      </c>
      <c r="C73" s="3066" t="s">
        <v>2643</v>
      </c>
      <c r="D73" s="3066" t="s">
        <v>2644</v>
      </c>
      <c r="E73" s="3092">
        <v>0.2</v>
      </c>
      <c r="F73" s="3092">
        <v>25</v>
      </c>
    </row>
    <row r="74" spans="1:7" ht="24">
      <c r="A74" s="3092">
        <v>2</v>
      </c>
      <c r="B74" s="3828"/>
      <c r="C74" s="3066" t="s">
        <v>2645</v>
      </c>
      <c r="D74" s="3066" t="s">
        <v>2646</v>
      </c>
      <c r="E74" s="3092">
        <v>0.2</v>
      </c>
      <c r="F74" s="3092">
        <v>25</v>
      </c>
    </row>
    <row r="75" spans="1:7" ht="24">
      <c r="A75" s="3092">
        <v>3</v>
      </c>
      <c r="B75" s="3828"/>
      <c r="C75" s="3066" t="s">
        <v>2647</v>
      </c>
      <c r="D75" s="3066" t="s">
        <v>2648</v>
      </c>
      <c r="E75" s="3092">
        <v>0.2</v>
      </c>
      <c r="F75" s="3092">
        <v>25</v>
      </c>
    </row>
    <row r="76" spans="1:7" ht="13.5">
      <c r="A76" s="3092">
        <v>4</v>
      </c>
      <c r="B76" s="3828"/>
      <c r="C76" s="3066" t="s">
        <v>2649</v>
      </c>
      <c r="D76" s="3066" t="s">
        <v>2650</v>
      </c>
      <c r="E76" s="3092">
        <v>0.15</v>
      </c>
      <c r="F76" s="3092">
        <v>20</v>
      </c>
    </row>
    <row r="77" spans="1:7" ht="24">
      <c r="A77" s="3092">
        <v>5</v>
      </c>
      <c r="B77" s="3828"/>
      <c r="C77" s="3066" t="s">
        <v>2651</v>
      </c>
      <c r="D77" s="3066" t="s">
        <v>2652</v>
      </c>
      <c r="E77" s="3092">
        <v>0.15</v>
      </c>
      <c r="F77" s="3092">
        <v>20</v>
      </c>
    </row>
    <row r="78" spans="1:7" ht="24">
      <c r="A78" s="3092">
        <v>6</v>
      </c>
      <c r="B78" s="3828"/>
      <c r="C78" s="3066" t="s">
        <v>2653</v>
      </c>
      <c r="D78" s="3066" t="s">
        <v>2654</v>
      </c>
      <c r="E78" s="3092">
        <v>0.15</v>
      </c>
      <c r="F78" s="3092">
        <v>20</v>
      </c>
    </row>
    <row r="79" spans="1:7" ht="24">
      <c r="A79" s="3092">
        <v>7</v>
      </c>
      <c r="B79" s="3828"/>
      <c r="C79" s="3066" t="s">
        <v>2655</v>
      </c>
      <c r="D79" s="3066" t="s">
        <v>2656</v>
      </c>
      <c r="E79" s="3092">
        <v>0.15</v>
      </c>
      <c r="F79" s="3092">
        <v>20</v>
      </c>
    </row>
    <row r="80" spans="1:7" ht="24">
      <c r="A80" s="3092">
        <v>8</v>
      </c>
      <c r="B80" s="3828"/>
      <c r="C80" s="3066" t="s">
        <v>2657</v>
      </c>
      <c r="D80" s="3066" t="s">
        <v>2658</v>
      </c>
      <c r="E80" s="3092">
        <v>0.1</v>
      </c>
      <c r="F80" s="3092">
        <v>15</v>
      </c>
    </row>
    <row r="81" spans="1:6" ht="24">
      <c r="A81" s="3092">
        <v>9</v>
      </c>
      <c r="B81" s="3828"/>
      <c r="C81" s="3066" t="s">
        <v>2659</v>
      </c>
      <c r="D81" s="3066" t="s">
        <v>2660</v>
      </c>
      <c r="E81" s="3092">
        <v>0.1</v>
      </c>
      <c r="F81" s="3092">
        <v>15</v>
      </c>
    </row>
    <row r="82" spans="1:6" ht="24">
      <c r="A82" s="3092">
        <v>10</v>
      </c>
      <c r="B82" s="3828"/>
      <c r="C82" s="3066" t="s">
        <v>2661</v>
      </c>
      <c r="D82" s="3066" t="s">
        <v>2662</v>
      </c>
      <c r="E82" s="3092">
        <v>0.1</v>
      </c>
      <c r="F82" s="3092">
        <v>15</v>
      </c>
    </row>
    <row r="83" spans="1:6" ht="24">
      <c r="A83" s="3092">
        <v>11</v>
      </c>
      <c r="B83" s="3828"/>
      <c r="C83" s="3066" t="s">
        <v>2663</v>
      </c>
      <c r="D83" s="3066" t="s">
        <v>2664</v>
      </c>
      <c r="E83" s="3092">
        <v>0.1</v>
      </c>
      <c r="F83" s="3092">
        <v>15</v>
      </c>
    </row>
    <row r="84" spans="1:6" ht="24">
      <c r="A84" s="3092">
        <v>12</v>
      </c>
      <c r="B84" s="3828"/>
      <c r="C84" s="3066" t="s">
        <v>2665</v>
      </c>
      <c r="D84" s="3066" t="s">
        <v>2666</v>
      </c>
      <c r="E84" s="3092">
        <v>0.1</v>
      </c>
      <c r="F84" s="3092">
        <v>15</v>
      </c>
    </row>
    <row r="85" spans="1:6" ht="13.5">
      <c r="A85" s="3092">
        <v>13</v>
      </c>
      <c r="B85" s="3828"/>
      <c r="C85" s="3066" t="s">
        <v>2667</v>
      </c>
      <c r="D85" s="3066" t="s">
        <v>2668</v>
      </c>
      <c r="E85" s="3092">
        <v>0.1</v>
      </c>
      <c r="F85" s="3092">
        <v>15</v>
      </c>
    </row>
    <row r="86" spans="1:6" ht="13.5">
      <c r="A86" s="3092">
        <v>14</v>
      </c>
      <c r="B86" s="3828"/>
      <c r="C86" s="3066" t="s">
        <v>2669</v>
      </c>
      <c r="D86" s="3066" t="s">
        <v>2670</v>
      </c>
      <c r="E86" s="3092">
        <v>0.1</v>
      </c>
      <c r="F86" s="3092">
        <v>15</v>
      </c>
    </row>
    <row r="87" spans="1:6" ht="13.5">
      <c r="A87" s="3092">
        <v>15</v>
      </c>
      <c r="B87" s="3828"/>
      <c r="C87" s="3066" t="s">
        <v>2671</v>
      </c>
      <c r="D87" s="3066" t="s">
        <v>2672</v>
      </c>
      <c r="E87" s="3092">
        <v>0.1</v>
      </c>
      <c r="F87" s="3092">
        <v>15</v>
      </c>
    </row>
    <row r="88" spans="1:6" ht="24">
      <c r="A88" s="3092">
        <v>16</v>
      </c>
      <c r="B88" s="3828"/>
      <c r="C88" s="3066" t="s">
        <v>2673</v>
      </c>
      <c r="D88" s="3066" t="s">
        <v>2674</v>
      </c>
      <c r="E88" s="3092">
        <v>0.1</v>
      </c>
      <c r="F88" s="3092">
        <v>15</v>
      </c>
    </row>
    <row r="89" spans="1:6" ht="24">
      <c r="A89" s="3092">
        <v>17</v>
      </c>
      <c r="B89" s="3827"/>
      <c r="C89" s="3066" t="s">
        <v>2675</v>
      </c>
      <c r="D89" s="3066" t="s">
        <v>2676</v>
      </c>
      <c r="E89" s="3092">
        <v>0.1</v>
      </c>
      <c r="F89" s="3092">
        <v>15</v>
      </c>
    </row>
    <row r="90" spans="1:6" ht="13.5">
      <c r="A90" s="3092">
        <v>18</v>
      </c>
      <c r="B90" s="3826" t="s">
        <v>2677</v>
      </c>
      <c r="C90" s="3066" t="s">
        <v>2678</v>
      </c>
      <c r="D90" s="3066" t="s">
        <v>2679</v>
      </c>
      <c r="E90" s="3092">
        <v>0.2</v>
      </c>
      <c r="F90" s="3092">
        <v>25</v>
      </c>
    </row>
    <row r="91" spans="1:6" ht="24">
      <c r="A91" s="3092">
        <v>19</v>
      </c>
      <c r="B91" s="3828"/>
      <c r="C91" s="3066" t="s">
        <v>2680</v>
      </c>
      <c r="D91" s="3066" t="s">
        <v>2681</v>
      </c>
      <c r="E91" s="3092">
        <v>0.2</v>
      </c>
      <c r="F91" s="3092">
        <v>25</v>
      </c>
    </row>
    <row r="92" spans="1:6" ht="13.5">
      <c r="A92" s="3092">
        <v>20</v>
      </c>
      <c r="B92" s="3828"/>
      <c r="C92" s="3066" t="s">
        <v>2682</v>
      </c>
      <c r="D92" s="3066" t="s">
        <v>2683</v>
      </c>
      <c r="E92" s="3092">
        <v>0.15</v>
      </c>
      <c r="F92" s="3092">
        <v>20</v>
      </c>
    </row>
    <row r="93" spans="1:6" ht="13.5">
      <c r="A93" s="3092">
        <v>21</v>
      </c>
      <c r="B93" s="3828"/>
      <c r="C93" s="3066" t="s">
        <v>2684</v>
      </c>
      <c r="D93" s="3066" t="s">
        <v>2685</v>
      </c>
      <c r="E93" s="3092">
        <v>0.15</v>
      </c>
      <c r="F93" s="3092">
        <v>20</v>
      </c>
    </row>
    <row r="94" spans="1:6" ht="13.5">
      <c r="A94" s="3092">
        <v>22</v>
      </c>
      <c r="B94" s="3828"/>
      <c r="C94" s="3066" t="s">
        <v>2686</v>
      </c>
      <c r="D94" s="3066" t="s">
        <v>2687</v>
      </c>
      <c r="E94" s="3092">
        <v>0.15</v>
      </c>
      <c r="F94" s="3092">
        <v>20</v>
      </c>
    </row>
    <row r="95" spans="1:6" ht="36">
      <c r="A95" s="3092">
        <v>23</v>
      </c>
      <c r="B95" s="3828"/>
      <c r="C95" s="3066" t="s">
        <v>2688</v>
      </c>
      <c r="D95" s="3066" t="s">
        <v>2689</v>
      </c>
      <c r="E95" s="3092">
        <v>0.15</v>
      </c>
      <c r="F95" s="3092">
        <v>20</v>
      </c>
    </row>
    <row r="96" spans="1:6" ht="13.5">
      <c r="A96" s="3092">
        <v>24</v>
      </c>
      <c r="B96" s="3828"/>
      <c r="C96" s="3066" t="s">
        <v>2690</v>
      </c>
      <c r="D96" s="3066" t="s">
        <v>2691</v>
      </c>
      <c r="E96" s="3092">
        <v>0.1</v>
      </c>
      <c r="F96" s="3092">
        <v>15</v>
      </c>
    </row>
    <row r="97" spans="1:6" ht="13.5">
      <c r="A97" s="3092">
        <v>25</v>
      </c>
      <c r="B97" s="3828"/>
      <c r="C97" s="3066" t="s">
        <v>2692</v>
      </c>
      <c r="D97" s="3066" t="s">
        <v>2693</v>
      </c>
      <c r="E97" s="3092">
        <v>0.1</v>
      </c>
      <c r="F97" s="3092">
        <v>15</v>
      </c>
    </row>
    <row r="98" spans="1:6" ht="24">
      <c r="A98" s="3092">
        <v>26</v>
      </c>
      <c r="B98" s="3828"/>
      <c r="C98" s="3066" t="s">
        <v>2694</v>
      </c>
      <c r="D98" s="3066" t="s">
        <v>2695</v>
      </c>
      <c r="E98" s="3092">
        <v>0.1</v>
      </c>
      <c r="F98" s="3092">
        <v>15</v>
      </c>
    </row>
    <row r="99" spans="1:6" ht="24">
      <c r="A99" s="3092">
        <v>27</v>
      </c>
      <c r="B99" s="3828"/>
      <c r="C99" s="3066" t="s">
        <v>2696</v>
      </c>
      <c r="D99" s="3066" t="s">
        <v>2697</v>
      </c>
      <c r="E99" s="3092">
        <v>0.1</v>
      </c>
      <c r="F99" s="3092">
        <v>15</v>
      </c>
    </row>
    <row r="100" spans="1:6" ht="13.5">
      <c r="A100" s="3092">
        <v>28</v>
      </c>
      <c r="B100" s="3828"/>
      <c r="C100" s="3066" t="s">
        <v>2698</v>
      </c>
      <c r="D100" s="3066" t="s">
        <v>2699</v>
      </c>
      <c r="E100" s="3092">
        <v>0.1</v>
      </c>
      <c r="F100" s="3092">
        <v>15</v>
      </c>
    </row>
    <row r="101" spans="1:6" ht="13.5">
      <c r="A101" s="3092">
        <v>29</v>
      </c>
      <c r="B101" s="3828"/>
      <c r="C101" s="3066" t="s">
        <v>2700</v>
      </c>
      <c r="D101" s="3066" t="s">
        <v>2701</v>
      </c>
      <c r="E101" s="3092">
        <v>0.1</v>
      </c>
      <c r="F101" s="3092">
        <v>15</v>
      </c>
    </row>
    <row r="102" spans="1:6" ht="13.5">
      <c r="A102" s="3092">
        <v>30</v>
      </c>
      <c r="B102" s="3828"/>
      <c r="C102" s="3066" t="s">
        <v>2702</v>
      </c>
      <c r="D102" s="3066" t="s">
        <v>2703</v>
      </c>
      <c r="E102" s="3092">
        <v>0.1</v>
      </c>
      <c r="F102" s="3092">
        <v>15</v>
      </c>
    </row>
    <row r="103" spans="1:6" ht="24">
      <c r="A103" s="3092">
        <v>31</v>
      </c>
      <c r="B103" s="3828"/>
      <c r="C103" s="3066" t="s">
        <v>2704</v>
      </c>
      <c r="D103" s="3066" t="s">
        <v>2705</v>
      </c>
      <c r="E103" s="3092">
        <v>0.1</v>
      </c>
      <c r="F103" s="3092">
        <v>15</v>
      </c>
    </row>
    <row r="104" spans="1:6" ht="24">
      <c r="A104" s="3092">
        <v>32</v>
      </c>
      <c r="B104" s="3828"/>
      <c r="C104" s="3066" t="s">
        <v>2706</v>
      </c>
      <c r="D104" s="3066" t="s">
        <v>2707</v>
      </c>
      <c r="E104" s="3092">
        <v>0.1</v>
      </c>
      <c r="F104" s="3092">
        <v>15</v>
      </c>
    </row>
    <row r="105" spans="1:6" ht="24">
      <c r="A105" s="3092">
        <v>33</v>
      </c>
      <c r="B105" s="3828"/>
      <c r="C105" s="3066" t="s">
        <v>2708</v>
      </c>
      <c r="D105" s="3066" t="s">
        <v>2709</v>
      </c>
      <c r="E105" s="3092">
        <v>0.1</v>
      </c>
      <c r="F105" s="3092">
        <v>15</v>
      </c>
    </row>
    <row r="106" spans="1:6" ht="24">
      <c r="A106" s="3092">
        <v>34</v>
      </c>
      <c r="B106" s="3827"/>
      <c r="C106" s="3066" t="s">
        <v>2710</v>
      </c>
      <c r="D106" s="3066" t="s">
        <v>2711</v>
      </c>
      <c r="E106" s="3092">
        <v>0.1</v>
      </c>
      <c r="F106" s="3092">
        <v>15</v>
      </c>
    </row>
    <row r="107" spans="1:6" ht="24">
      <c r="A107" s="3092">
        <v>35</v>
      </c>
      <c r="B107" s="3826" t="s">
        <v>2712</v>
      </c>
      <c r="C107" s="3092" t="s">
        <v>2713</v>
      </c>
      <c r="D107" s="3066" t="s">
        <v>2714</v>
      </c>
      <c r="E107" s="3092">
        <v>0.15</v>
      </c>
      <c r="F107" s="3092">
        <v>20</v>
      </c>
    </row>
    <row r="108" spans="1:6" ht="13.5">
      <c r="A108" s="3092">
        <v>36</v>
      </c>
      <c r="B108" s="3828"/>
      <c r="C108" s="3092" t="s">
        <v>2715</v>
      </c>
      <c r="D108" s="3066" t="s">
        <v>2716</v>
      </c>
      <c r="E108" s="3092">
        <v>0.15</v>
      </c>
      <c r="F108" s="3092">
        <v>20</v>
      </c>
    </row>
    <row r="109" spans="1:6" ht="13.5">
      <c r="A109" s="3092">
        <v>37</v>
      </c>
      <c r="B109" s="3828"/>
      <c r="C109" s="3092" t="s">
        <v>2717</v>
      </c>
      <c r="D109" s="3066" t="s">
        <v>2718</v>
      </c>
      <c r="E109" s="3092">
        <v>0.15</v>
      </c>
      <c r="F109" s="3092">
        <v>20</v>
      </c>
    </row>
    <row r="110" spans="1:6" ht="13.5">
      <c r="A110" s="3092">
        <v>38</v>
      </c>
      <c r="B110" s="3828"/>
      <c r="C110" s="3092" t="s">
        <v>2719</v>
      </c>
      <c r="D110" s="3066" t="s">
        <v>2720</v>
      </c>
      <c r="E110" s="3092">
        <v>0.1</v>
      </c>
      <c r="F110" s="3092">
        <v>15</v>
      </c>
    </row>
    <row r="111" spans="1:6" ht="24">
      <c r="A111" s="3092">
        <v>39</v>
      </c>
      <c r="B111" s="3828"/>
      <c r="C111" s="3092" t="s">
        <v>2721</v>
      </c>
      <c r="D111" s="3066" t="s">
        <v>2722</v>
      </c>
      <c r="E111" s="3092">
        <v>0.1</v>
      </c>
      <c r="F111" s="3092">
        <v>15</v>
      </c>
    </row>
    <row r="112" spans="1:6" ht="24">
      <c r="A112" s="3092">
        <v>40</v>
      </c>
      <c r="B112" s="3827"/>
      <c r="C112" s="3092" t="s">
        <v>2723</v>
      </c>
      <c r="D112" s="3066" t="s">
        <v>2724</v>
      </c>
      <c r="E112" s="3092">
        <v>0.1</v>
      </c>
      <c r="F112" s="3092">
        <v>15</v>
      </c>
    </row>
    <row r="113" spans="1:6" ht="13.5">
      <c r="A113" s="3092">
        <v>41</v>
      </c>
      <c r="B113" s="3825" t="s">
        <v>2725</v>
      </c>
      <c r="C113" s="3092" t="s">
        <v>2726</v>
      </c>
      <c r="D113" s="3066" t="s">
        <v>2727</v>
      </c>
      <c r="E113" s="3092">
        <v>0.1</v>
      </c>
      <c r="F113" s="3092">
        <v>15</v>
      </c>
    </row>
    <row r="114" spans="1:6" ht="13.5">
      <c r="A114" s="3092">
        <v>42</v>
      </c>
      <c r="B114" s="3825"/>
      <c r="C114" s="3092" t="s">
        <v>2728</v>
      </c>
      <c r="D114" s="3066" t="s">
        <v>2729</v>
      </c>
      <c r="E114" s="3092">
        <v>0.1</v>
      </c>
      <c r="F114" s="3092">
        <v>15</v>
      </c>
    </row>
    <row r="115" spans="1:6" ht="24">
      <c r="A115" s="3092">
        <v>43</v>
      </c>
      <c r="B115" s="3825"/>
      <c r="C115" s="3092" t="s">
        <v>2730</v>
      </c>
      <c r="D115" s="3066" t="s">
        <v>2731</v>
      </c>
      <c r="E115" s="3092">
        <v>0.1</v>
      </c>
      <c r="F115" s="3092">
        <v>15</v>
      </c>
    </row>
    <row r="116" spans="1:6" ht="13.5">
      <c r="A116" s="3092">
        <v>44</v>
      </c>
      <c r="B116" s="3826" t="s">
        <v>2732</v>
      </c>
      <c r="C116" s="3092" t="s">
        <v>2733</v>
      </c>
      <c r="D116" s="3066" t="s">
        <v>2734</v>
      </c>
      <c r="E116" s="3092">
        <v>0.1</v>
      </c>
      <c r="F116" s="3092">
        <v>15</v>
      </c>
    </row>
    <row r="117" spans="1:6" ht="24">
      <c r="A117" s="3092">
        <v>45</v>
      </c>
      <c r="B117" s="3827"/>
      <c r="C117" s="3066" t="s">
        <v>2735</v>
      </c>
      <c r="D117" s="3066" t="s">
        <v>2736</v>
      </c>
      <c r="E117" s="3092">
        <v>0.1</v>
      </c>
      <c r="F117" s="3092">
        <v>15</v>
      </c>
    </row>
    <row r="118" spans="1:6" ht="24">
      <c r="A118" s="3092">
        <v>46</v>
      </c>
      <c r="B118" s="3826" t="s">
        <v>2737</v>
      </c>
      <c r="C118" s="3092" t="s">
        <v>2738</v>
      </c>
      <c r="D118" s="3066" t="s">
        <v>2739</v>
      </c>
      <c r="E118" s="3092">
        <v>0.1</v>
      </c>
      <c r="F118" s="3092">
        <v>15</v>
      </c>
    </row>
    <row r="119" spans="1:6" ht="24">
      <c r="A119" s="3092">
        <v>47</v>
      </c>
      <c r="B119" s="3827"/>
      <c r="C119" s="3092" t="s">
        <v>2740</v>
      </c>
      <c r="D119" s="3066" t="s">
        <v>2741</v>
      </c>
      <c r="E119" s="3092">
        <v>0.1</v>
      </c>
      <c r="F119" s="3092">
        <v>15</v>
      </c>
    </row>
    <row r="120" spans="1:6" ht="13.5">
      <c r="A120" s="3092">
        <v>48</v>
      </c>
      <c r="B120" s="3826" t="s">
        <v>2742</v>
      </c>
      <c r="C120" s="3092" t="s">
        <v>2743</v>
      </c>
      <c r="D120" s="3066" t="s">
        <v>2744</v>
      </c>
      <c r="E120" s="3092">
        <v>0.1</v>
      </c>
      <c r="F120" s="3092">
        <v>15</v>
      </c>
    </row>
    <row r="121" spans="1:6" ht="13.5">
      <c r="A121" s="3092">
        <v>49</v>
      </c>
      <c r="B121" s="3827"/>
      <c r="C121" s="3092" t="s">
        <v>2745</v>
      </c>
      <c r="D121" s="3066" t="s">
        <v>2746</v>
      </c>
      <c r="E121" s="3092">
        <v>0.1</v>
      </c>
      <c r="F121" s="3092">
        <v>15</v>
      </c>
    </row>
    <row r="122" spans="1:6" ht="24">
      <c r="A122" s="3092">
        <v>50</v>
      </c>
      <c r="B122" s="3825" t="s">
        <v>2747</v>
      </c>
      <c r="C122" s="3092" t="s">
        <v>2748</v>
      </c>
      <c r="D122" s="3066" t="s">
        <v>2749</v>
      </c>
      <c r="E122" s="3092">
        <v>0.1</v>
      </c>
      <c r="F122" s="3092">
        <v>15</v>
      </c>
    </row>
    <row r="123" spans="1:6" ht="24">
      <c r="A123" s="3092">
        <v>51</v>
      </c>
      <c r="B123" s="3825"/>
      <c r="C123" s="3092" t="s">
        <v>2750</v>
      </c>
      <c r="D123" s="3066" t="s">
        <v>2751</v>
      </c>
      <c r="E123" s="3092">
        <v>0.1</v>
      </c>
      <c r="F123" s="3092">
        <v>15</v>
      </c>
    </row>
    <row r="124" spans="1:6" ht="24">
      <c r="A124" s="3092">
        <v>52</v>
      </c>
      <c r="B124" s="3825" t="s">
        <v>2752</v>
      </c>
      <c r="C124" s="3092" t="s">
        <v>2753</v>
      </c>
      <c r="D124" s="3066" t="s">
        <v>2754</v>
      </c>
      <c r="E124" s="3092">
        <v>0.1</v>
      </c>
      <c r="F124" s="3092">
        <v>15</v>
      </c>
    </row>
    <row r="125" spans="1:6" ht="24">
      <c r="A125" s="3092">
        <v>53</v>
      </c>
      <c r="B125" s="3825"/>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25" t="s">
        <v>2760</v>
      </c>
      <c r="C127" s="3092" t="s">
        <v>2761</v>
      </c>
      <c r="D127" s="3066" t="s">
        <v>2762</v>
      </c>
      <c r="E127" s="3092">
        <v>0.1</v>
      </c>
      <c r="F127" s="3092">
        <v>15</v>
      </c>
    </row>
    <row r="128" spans="1:6" ht="13.5">
      <c r="A128" s="3092">
        <v>56</v>
      </c>
      <c r="B128" s="3825"/>
      <c r="C128" s="3092" t="s">
        <v>2763</v>
      </c>
      <c r="D128" s="3066" t="s">
        <v>2764</v>
      </c>
      <c r="E128" s="3092">
        <v>0.1</v>
      </c>
      <c r="F128" s="3092">
        <v>15</v>
      </c>
    </row>
    <row r="129" spans="1:6" ht="24">
      <c r="A129" s="3092">
        <v>57</v>
      </c>
      <c r="B129" s="3825"/>
      <c r="C129" s="3092" t="s">
        <v>2765</v>
      </c>
      <c r="D129" s="3066" t="s">
        <v>2766</v>
      </c>
      <c r="E129" s="3092">
        <v>0.1</v>
      </c>
      <c r="F129" s="3092">
        <v>15</v>
      </c>
    </row>
    <row r="130" spans="1:6" ht="24">
      <c r="A130" s="3092">
        <v>58</v>
      </c>
      <c r="B130" s="3825" t="s">
        <v>2767</v>
      </c>
      <c r="C130" s="3092" t="s">
        <v>2768</v>
      </c>
      <c r="D130" s="3066" t="s">
        <v>2769</v>
      </c>
      <c r="E130" s="3092">
        <v>0.1</v>
      </c>
      <c r="F130" s="3092">
        <v>15</v>
      </c>
    </row>
    <row r="131" spans="1:6" ht="13.5">
      <c r="A131" s="3092">
        <v>59</v>
      </c>
      <c r="B131" s="3825"/>
      <c r="C131" s="3092" t="s">
        <v>2770</v>
      </c>
      <c r="D131" s="3066" t="s">
        <v>2771</v>
      </c>
      <c r="E131" s="3092">
        <v>0.1</v>
      </c>
      <c r="F131" s="3092">
        <v>15</v>
      </c>
    </row>
    <row r="132" spans="1:6" ht="13.5">
      <c r="A132" s="3092">
        <v>60</v>
      </c>
      <c r="B132" s="3826" t="s">
        <v>2772</v>
      </c>
      <c r="C132" s="3092" t="s">
        <v>2773</v>
      </c>
      <c r="D132" s="3066" t="s">
        <v>2774</v>
      </c>
      <c r="E132" s="3092">
        <v>0.1</v>
      </c>
      <c r="F132" s="3092">
        <v>15</v>
      </c>
    </row>
    <row r="133" spans="1:6" ht="13.5">
      <c r="A133" s="3092">
        <v>61</v>
      </c>
      <c r="B133" s="3827"/>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25" t="s">
        <v>2780</v>
      </c>
      <c r="C135" s="3092" t="s">
        <v>2781</v>
      </c>
      <c r="D135" s="3066" t="s">
        <v>2782</v>
      </c>
      <c r="E135" s="3092">
        <v>0.1</v>
      </c>
      <c r="F135" s="3092">
        <v>15</v>
      </c>
    </row>
    <row r="136" spans="1:6" ht="13.5">
      <c r="A136" s="3092">
        <v>64</v>
      </c>
      <c r="B136" s="3825"/>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107227</v>
      </c>
      <c r="E5" s="1477"/>
    </row>
    <row r="6" spans="1:5" ht="15.75">
      <c r="A6" s="1477"/>
      <c r="B6" s="3509"/>
      <c r="C6" s="1480" t="s">
        <v>911</v>
      </c>
      <c r="D6" s="837" t="str">
        <f ca="1">NUMBERSTRING(INT(D5*10000),2)&amp;"元整"</f>
        <v>壹拾亿柒仟贰佰贰拾柒万元整</v>
      </c>
      <c r="E6" s="1477"/>
    </row>
    <row r="7" spans="1:5" ht="15.75">
      <c r="A7" s="1477"/>
      <c r="B7" s="3514"/>
      <c r="C7" s="1481" t="s">
        <v>912</v>
      </c>
      <c r="D7" s="838">
        <f ca="1">结果表!H102</f>
        <v>7522</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107227</v>
      </c>
      <c r="E13" s="1477"/>
    </row>
    <row r="14" spans="1:5" ht="15.75">
      <c r="A14" s="1477"/>
      <c r="B14" s="3509"/>
      <c r="C14" s="1480" t="s">
        <v>911</v>
      </c>
      <c r="D14" s="837" t="str">
        <f ca="1">NUMBERSTRING(INT(D13*10000),2)&amp;"元整"</f>
        <v>壹拾亿柒仟贰佰贰拾柒万元整</v>
      </c>
      <c r="E14" s="1477"/>
    </row>
    <row r="15" spans="1:5" ht="15">
      <c r="A15" s="1477"/>
      <c r="B15" s="3514"/>
      <c r="C15" s="1481" t="s">
        <v>921</v>
      </c>
      <c r="D15" s="846">
        <f ca="1">结果表!H108</f>
        <v>7522</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155751</v>
      </c>
      <c r="C2" s="2" t="s">
        <v>106</v>
      </c>
      <c r="D2" s="189"/>
      <c r="E2" s="189"/>
      <c r="F2" s="189"/>
      <c r="G2" s="189"/>
    </row>
    <row r="3" spans="1:7" s="190" customFormat="1" ht="18" customHeight="1" thickBot="1">
      <c r="A3" s="193" t="s">
        <v>58</v>
      </c>
      <c r="B3" s="194">
        <f ca="1">ROUND(B2*10000/'数据-汇总表'!E3,0)</f>
        <v>10926</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587</v>
      </c>
      <c r="D20" s="222"/>
      <c r="E20" s="222"/>
      <c r="F20" s="223">
        <f>'数据-取费表'!B37</f>
        <v>2.5000000000000001E-2</v>
      </c>
      <c r="G20" s="1054" t="s">
        <v>430</v>
      </c>
    </row>
    <row r="21" spans="1:7" s="204" customFormat="1" ht="13.5" customHeight="1">
      <c r="A21" s="764" t="s">
        <v>421</v>
      </c>
      <c r="B21" s="200" t="s">
        <v>78</v>
      </c>
      <c r="C21" s="225">
        <f>F21</f>
        <v>2.5000000000000001E-2</v>
      </c>
      <c r="D21" s="226" t="s">
        <v>99</v>
      </c>
      <c r="E21" s="222"/>
      <c r="F21" s="223">
        <f>'数据-取费表'!B38</f>
        <v>2.5000000000000001E-2</v>
      </c>
      <c r="G21" s="224" t="s">
        <v>79</v>
      </c>
    </row>
    <row r="22" spans="1:7" s="204" customFormat="1" ht="13.5" customHeight="1">
      <c r="A22" s="764" t="s">
        <v>341</v>
      </c>
      <c r="B22" s="200" t="s">
        <v>80</v>
      </c>
      <c r="C22" s="1091">
        <f ca="1">ROUND(SUM(C23:C25),0)</f>
        <v>2544</v>
      </c>
      <c r="D22" s="225">
        <f ca="1">C26</f>
        <v>1.2999999999999999E-3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31</v>
      </c>
      <c r="D25" s="228"/>
      <c r="E25" s="231"/>
      <c r="F25" s="229"/>
      <c r="G25" s="232" t="s">
        <v>83</v>
      </c>
    </row>
    <row r="26" spans="1:7" s="204" customFormat="1">
      <c r="A26" s="767" t="s">
        <v>350</v>
      </c>
      <c r="B26" s="205" t="s">
        <v>422</v>
      </c>
      <c r="C26" s="228">
        <f ca="1">ROUND(IF('数据-取费表'!B22&lt;=1,F21*F22*'数据-取费表'!B23/2,F21*(POWER((1+F22),'数据-取费表'!B23/2)-1)),4)</f>
        <v>1.2999999999999999E-3</v>
      </c>
      <c r="D26" s="228"/>
      <c r="E26" s="231"/>
      <c r="F26" s="229"/>
      <c r="G26" s="233"/>
    </row>
    <row r="27" spans="1:7" s="204" customFormat="1" ht="24.75">
      <c r="A27" s="764" t="s">
        <v>342</v>
      </c>
      <c r="B27" s="234" t="s">
        <v>85</v>
      </c>
      <c r="C27" s="235">
        <f>C28</f>
        <v>4810</v>
      </c>
      <c r="D27" s="225">
        <f>C29</f>
        <v>5.0000000000000001E-3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4810</v>
      </c>
      <c r="D28" s="225"/>
      <c r="E28" s="226"/>
      <c r="F28" s="236"/>
      <c r="G28" s="237"/>
    </row>
    <row r="29" spans="1:7" s="204" customFormat="1" ht="13.5" customHeight="1">
      <c r="A29" s="767" t="s">
        <v>347</v>
      </c>
      <c r="B29" s="238" t="s">
        <v>425</v>
      </c>
      <c r="C29" s="228">
        <f>ROUND(C21*F27*'数据-取费表'!B21/'数据-取费表'!B20,4)</f>
        <v>5.0000000000000001E-3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34270</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115637</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105902</v>
      </c>
      <c r="D34" s="207"/>
      <c r="E34" s="210"/>
      <c r="F34" s="247">
        <f>IF('数据-取费表'!B24=0,1,'数据-取费表'!N16)</f>
        <v>1</v>
      </c>
      <c r="G34" s="209" t="s">
        <v>89</v>
      </c>
    </row>
    <row r="35" spans="1:7" ht="13.5" customHeight="1">
      <c r="A35" s="767" t="s">
        <v>351</v>
      </c>
      <c r="B35" s="205" t="s">
        <v>33</v>
      </c>
      <c r="C35" s="210">
        <f>ROUND(C34*F35,0)</f>
        <v>5295</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1589</v>
      </c>
      <c r="D38" s="210"/>
      <c r="E38" s="210"/>
      <c r="F38" s="249">
        <f>'数据-取费表'!B36</f>
        <v>1.4999999999999999E-2</v>
      </c>
      <c r="G38" s="209" t="s">
        <v>90</v>
      </c>
    </row>
    <row r="39" spans="1:7" s="204" customFormat="1" ht="13.5" customHeight="1">
      <c r="A39" s="764" t="s">
        <v>338</v>
      </c>
      <c r="B39" s="200" t="s">
        <v>77</v>
      </c>
      <c r="C39" s="222">
        <f>ROUND(C33*F20,0)</f>
        <v>2891</v>
      </c>
      <c r="D39" s="222"/>
      <c r="E39" s="222"/>
      <c r="F39" s="223"/>
      <c r="G39" s="1054" t="s">
        <v>433</v>
      </c>
    </row>
    <row r="40" spans="1:7" s="204" customFormat="1" ht="13.5" customHeight="1">
      <c r="A40" s="764" t="s">
        <v>339</v>
      </c>
      <c r="B40" s="200" t="s">
        <v>78</v>
      </c>
      <c r="C40" s="252">
        <f>F21</f>
        <v>2.5000000000000001E-2</v>
      </c>
      <c r="D40" s="226" t="s">
        <v>102</v>
      </c>
      <c r="E40" s="222"/>
      <c r="F40" s="223"/>
      <c r="G40" s="224" t="s">
        <v>93</v>
      </c>
    </row>
    <row r="41" spans="1:7" s="204" customFormat="1" ht="13.5" customHeight="1">
      <c r="A41" s="764" t="s">
        <v>340</v>
      </c>
      <c r="B41" s="200" t="s">
        <v>80</v>
      </c>
      <c r="C41" s="222">
        <f ca="1">ROUND(SUM(C42:C43),0)</f>
        <v>6187</v>
      </c>
      <c r="D41" s="225">
        <f ca="1">C44</f>
        <v>1.2999999999999999E-3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6036</v>
      </c>
      <c r="D42" s="228"/>
      <c r="E42" s="228"/>
      <c r="F42" s="229"/>
      <c r="G42" s="3743" t="s">
        <v>94</v>
      </c>
    </row>
    <row r="43" spans="1:7" ht="13.5" customHeight="1">
      <c r="A43" s="767" t="s">
        <v>347</v>
      </c>
      <c r="B43" s="205" t="s">
        <v>426</v>
      </c>
      <c r="C43" s="228">
        <f ca="1">ROUND(IF('数据-取费表'!B22&lt;=1,C39*F22*'数据-取费表'!B21/2,C39*(POWER((1+F22),'数据-取费表'!B21/2)-1)),0)</f>
        <v>151</v>
      </c>
      <c r="D43" s="228"/>
      <c r="E43" s="228"/>
      <c r="F43" s="229"/>
      <c r="G43" s="3744"/>
    </row>
    <row r="44" spans="1:7" ht="13.5" customHeight="1">
      <c r="A44" s="767" t="s">
        <v>348</v>
      </c>
      <c r="B44" s="205" t="s">
        <v>428</v>
      </c>
      <c r="C44" s="228">
        <f ca="1">ROUND(IF('数据-取费表'!B22&lt;=1,C40*F22*'数据-取费表'!B21/2,C40*(POWER((1+F22),'数据-取费表'!B21/2)-1)),4)</f>
        <v>1.2999999999999999E-3</v>
      </c>
      <c r="D44" s="228"/>
      <c r="E44" s="228"/>
      <c r="F44" s="229"/>
      <c r="G44" s="3745"/>
    </row>
    <row r="45" spans="1:7" s="204" customFormat="1" ht="13.5" customHeight="1">
      <c r="A45" s="764" t="s">
        <v>341</v>
      </c>
      <c r="B45" s="234" t="s">
        <v>85</v>
      </c>
      <c r="C45" s="235">
        <f>C46</f>
        <v>23706</v>
      </c>
      <c r="D45" s="225">
        <f>C47</f>
        <v>5.0000000000000001E-3</v>
      </c>
      <c r="E45" s="226" t="s">
        <v>102</v>
      </c>
      <c r="F45" s="236"/>
      <c r="G45" s="237" t="s">
        <v>434</v>
      </c>
    </row>
    <row r="46" spans="1:7" s="204" customFormat="1" ht="13.5" customHeight="1">
      <c r="A46" s="767" t="s">
        <v>349</v>
      </c>
      <c r="B46" s="238" t="s">
        <v>427</v>
      </c>
      <c r="C46" s="239">
        <f>ROUND((C33+C39)*F27,0)</f>
        <v>23706</v>
      </c>
      <c r="D46" s="253"/>
      <c r="E46" s="226"/>
      <c r="F46" s="236"/>
      <c r="G46" s="237"/>
    </row>
    <row r="47" spans="1:7" s="204" customFormat="1" ht="13.5" customHeight="1">
      <c r="A47" s="767" t="s">
        <v>347</v>
      </c>
      <c r="B47" s="238" t="s">
        <v>429</v>
      </c>
      <c r="C47" s="228">
        <f>ROUND(C40*F27,4)</f>
        <v>5.0000000000000001E-3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161975</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121481</v>
      </c>
      <c r="D51" s="222"/>
      <c r="E51" s="222"/>
      <c r="F51" s="254"/>
      <c r="G51" s="224" t="s">
        <v>37</v>
      </c>
    </row>
    <row r="52" spans="1:7" s="198" customFormat="1" ht="16.5" thickBot="1">
      <c r="A52" s="255" t="s">
        <v>38</v>
      </c>
      <c r="B52" s="256"/>
      <c r="C52" s="257">
        <f ca="1">C31+C51</f>
        <v>155751</v>
      </c>
      <c r="D52" s="256"/>
      <c r="E52" s="256"/>
      <c r="F52" s="256"/>
      <c r="G52" s="258"/>
    </row>
    <row r="55" spans="1:7" ht="15">
      <c r="B55" s="260" t="s">
        <v>39</v>
      </c>
      <c r="C55" s="261"/>
    </row>
    <row r="56" spans="1:7">
      <c r="B56" s="263" t="s">
        <v>40</v>
      </c>
      <c r="C56" s="264">
        <f ca="1">ROUND(C51/C52,3)</f>
        <v>0.78</v>
      </c>
    </row>
    <row r="57" spans="1:7">
      <c r="B57" s="263" t="s">
        <v>41</v>
      </c>
      <c r="C57" s="265">
        <f ca="1">1-C56</f>
        <v>0.21999999999999997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ROUND(IF([5]项目基本情况!B8="出让",SUMPRODUCT(PRODUCT(1+K9:K16)),SUMPRODUCT(PRODUCT(1+K9:K15))),4)</f>
        <v>1.0565</v>
      </c>
      <c r="S9" s="3157">
        <f>ROUND(IF([5]项目基本情况!B8="出让",SUMPRODUCT(PRODUCT(1+L9:L16)),SUMPRODUCT(PRODUCT(1+L9:L15))),4)</f>
        <v>1.0250999999999999</v>
      </c>
      <c r="T9" s="3157">
        <f>ROUND(IF([5]项目基本情况!B8="出让",SUMPRODUCT(PRODUCT(1+M9:M16)),SUMPRODUCT(PRODUCT(1+M9:M15))),4)</f>
        <v>1.0145</v>
      </c>
      <c r="U9" s="3157">
        <f>ROUND(IF([5]项目基本情况!B8="出让",SUMPRODUCT(PRODUCT(1+N9:N16)),SUMPRODUCT(PRODUCT(1+N9:N15))),4)</f>
        <v>1.0618000000000001</v>
      </c>
      <c r="V9" s="3157">
        <f>ROUND(IF([5]项目基本情况!B8="出让",SUMPRODUCT(PRODUCT(1+O9:O16)),SUMPRODUCT(PRODUCT(1+O9:O15))),4)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ROUND(IF([5]项目基本情况!B8="出让",SUMPRODUCT(PRODUCT(1+K10:K16)),SUMPRODUCT(PRODUCT(1+K10:K15))),4)</f>
        <v>1.05</v>
      </c>
      <c r="S10" s="3157">
        <f>ROUND(IF([5]项目基本情况!B8="出让",SUMPRODUCT(PRODUCT(1+L10:L16)),SUMPRODUCT(PRODUCT(1+L10:L15))),4)</f>
        <v>1.0229999999999999</v>
      </c>
      <c r="T10" s="3157">
        <f>ROUND(IF([5]项目基本情况!B8="出让",SUMPRODUCT(PRODUCT(1+M10:M16)),SUMPRODUCT(PRODUCT(1+M10:M15))),4)</f>
        <v>1.0134000000000001</v>
      </c>
      <c r="U10" s="3157">
        <f>ROUND(IF([5]项目基本情况!B8="出让",SUMPRODUCT(PRODUCT(1+N10:N16)),SUMPRODUCT(PRODUCT(1+N10:N15))),4)</f>
        <v>1.0545</v>
      </c>
      <c r="V10" s="3157">
        <f>ROUND(IF([5]项目基本情况!B8="出让",SUMPRODUCT(PRODUCT(1+O10:O16)),SUMPRODUCT(PRODUCT(1+O10:O15))),4)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ROUND(IF([5]项目基本情况!B8="出让",SUMPRODUCT(PRODUCT(1+K11:K16)),SUMPRODUCT(PRODUCT(1+K11:K15))),4)</f>
        <v>1.0430999999999999</v>
      </c>
      <c r="S11" s="3157">
        <f>ROUND(IF([5]项目基本情况!B8="出让",SUMPRODUCT(PRODUCT(1+L11:L16)),SUMPRODUCT(PRODUCT(1+L11:L15))),4)</f>
        <v>1.0197000000000001</v>
      </c>
      <c r="T11" s="3157">
        <f>ROUND(IF([5]项目基本情况!B8="出让",SUMPRODUCT(PRODUCT(1+M11:M16)),SUMPRODUCT(PRODUCT(1+M11:M15))),4)</f>
        <v>1.0109999999999999</v>
      </c>
      <c r="U11" s="3157">
        <f>ROUND(IF([5]项目基本情况!B8="出让",SUMPRODUCT(PRODUCT(1+N11:N16)),SUMPRODUCT(PRODUCT(1+N11:N15))),4)</f>
        <v>1.0468999999999999</v>
      </c>
      <c r="V11" s="3157">
        <f>ROUND(IF([5]项目基本情况!B8="出让",SUMPRODUCT(PRODUCT(1+O11:O16)),SUMPRODUCT(PRODUCT(1+O11:O15))),4)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ROUND(IF([5]项目基本情况!B8="出让",SUMPRODUCT(PRODUCT(1+K12:K16)),SUMPRODUCT(PRODUCT(1+K12:K15))),4)</f>
        <v>1.0335000000000001</v>
      </c>
      <c r="S12" s="3157">
        <f>ROUND(IF([5]项目基本情况!B8="出让",SUMPRODUCT(PRODUCT(1+L12:L16)),SUMPRODUCT(PRODUCT(1+L12:L15))),4)</f>
        <v>1.0182</v>
      </c>
      <c r="T12" s="3157">
        <f>ROUND(IF([5]项目基本情况!B8="出让",SUMPRODUCT(PRODUCT(1+M12:M16)),SUMPRODUCT(PRODUCT(1+M12:M15))),4)</f>
        <v>1.0108999999999999</v>
      </c>
      <c r="U12" s="3157">
        <f>ROUND(IF([5]项目基本情况!B8="出让",SUMPRODUCT(PRODUCT(1+N12:N16)),SUMPRODUCT(PRODUCT(1+N12:N15))),4)</f>
        <v>1.0361</v>
      </c>
      <c r="V12" s="3157">
        <f>ROUND(IF([5]项目基本情况!B8="出让",SUMPRODUCT(PRODUCT(1+O12:O16)),SUMPRODUCT(PRODUCT(1+O12:O15))),4)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ROUND(IF([5]项目基本情况!B8="出让",SUMPRODUCT(PRODUCT(1+K13:K16)),SUMPRODUCT(PRODUCT(1+K13:K15))),4)</f>
        <v>1.0244</v>
      </c>
      <c r="S13" s="3157">
        <f>ROUND(IF([5]项目基本情况!B8="出让",SUMPRODUCT(PRODUCT(1+L13:L16)),SUMPRODUCT(PRODUCT(1+L13:L15))),4)</f>
        <v>1.0138</v>
      </c>
      <c r="T13" s="3157">
        <f>ROUND(IF([5]项目基本情况!B8="出让",SUMPRODUCT(PRODUCT(1+M13:M16)),SUMPRODUCT(PRODUCT(1+M13:M15))),4)</f>
        <v>1.0072000000000001</v>
      </c>
      <c r="U13" s="3157">
        <f>ROUND(IF([5]项目基本情况!B8="出让",SUMPRODUCT(PRODUCT(1+N13:N16)),SUMPRODUCT(PRODUCT(1+N13:N15))),4)</f>
        <v>1.0262</v>
      </c>
      <c r="V13" s="3157">
        <f>ROUND(IF([5]项目基本情况!B8="出让",SUMPRODUCT(PRODUCT(1+O13:O16)),SUMPRODUCT(PRODUCT(1+O13:O15))),4)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ROUND(IF([5]项目基本情况!B8="出让",SUMPRODUCT(PRODUCT(1+K14:K16)),SUMPRODUCT(PRODUCT(1+K14:K15))),4)</f>
        <v>1.0139</v>
      </c>
      <c r="S14" s="3157">
        <f>ROUND(IF([5]项目基本情况!B8="出让",SUMPRODUCT(PRODUCT(1+L14:L16)),SUMPRODUCT(PRODUCT(1+L14:L15))),4)</f>
        <v>1.0113000000000001</v>
      </c>
      <c r="T14" s="3157">
        <f>ROUND(IF([5]项目基本情况!B8="出让",SUMPRODUCT(PRODUCT(1+M14:M16)),SUMPRODUCT(PRODUCT(1+M14:M15))),4)</f>
        <v>1.0065</v>
      </c>
      <c r="U14" s="3157">
        <f>ROUND(IF([5]项目基本情况!B8="出让",SUMPRODUCT(PRODUCT(1+N14:N16)),SUMPRODUCT(PRODUCT(1+N14:N15))),4)</f>
        <v>1.0143</v>
      </c>
      <c r="V14" s="3157">
        <f>ROUND(IF([5]项目基本情况!B8="出让",SUMPRODUCT(PRODUCT(1+O14:O16)),SUMPRODUCT(PRODUCT(1+O14:O15))),4)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ROUND(IF([5]项目基本情况!B8="出让",SUMPRODUCT(PRODUCT(1+K15:K16)),SUMPRODUCT(PRODUCT(1+K15:K15))),4)</f>
        <v>1.0092000000000001</v>
      </c>
      <c r="S15" s="3157">
        <f>ROUND(IF([5]项目基本情况!B8="出让",SUMPRODUCT(PRODUCT(1+L15:L16)),SUMPRODUCT(PRODUCT(1+L15:L15))),4)</f>
        <v>1.0072000000000001</v>
      </c>
      <c r="T15" s="3157">
        <f>ROUND(IF([5]项目基本情况!B8="出让",SUMPRODUCT(PRODUCT(1+M15:M16)),SUMPRODUCT(PRODUCT(1+M15:M15))),4)</f>
        <v>1.0041</v>
      </c>
      <c r="U15" s="3157">
        <f>ROUND(IF([5]项目基本情况!B8="出让",SUMPRODUCT(PRODUCT(1+N15:N16)),SUMPRODUCT(PRODUCT(1+N15:N15))),4)</f>
        <v>1.0095000000000001</v>
      </c>
      <c r="V15" s="3157">
        <f>ROUND(IF([5]项目基本情况!B8="出让",SUMPRODUCT(PRODUCT(1+O15:O16)),SUMPRODUCT(PRODUCT(1+O15:O15))),4)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ROUND(IF([5]项目基本情况!$B$8="出让",SUMPRODUCT(PRODUCT(1+L25:L$36)),SUMPRODUCT(PRODUCT(1+L25:L$35))),4)</f>
        <v>1.0396000000000001</v>
      </c>
      <c r="T25" s="3157">
        <f>ROUND(IF([5]项目基本情况!$B$8="出让",SUMPRODUCT(PRODUCT(1+M25:M$36)),SUMPRODUCT(PRODUCT(1+M25:M$35))),4)</f>
        <v>1.0269999999999999</v>
      </c>
      <c r="U25" s="3157">
        <f>ROUND(IF([5]项目基本情况!$B$8="出让",SUMPRODUCT(PRODUCT(1+N25:N$36)),SUMPRODUCT(PRODUCT(1+N25:N$35))),4)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ROUND(IF([5]项目基本情况!$B$8="出让",SUMPRODUCT(PRODUCT(1+L26:L$36)),SUMPRODUCT(PRODUCT(1+L26:L$35))),4)</f>
        <v>1.0396000000000001</v>
      </c>
      <c r="T26" s="3157">
        <f>ROUND(IF([5]项目基本情况!$B$8="出让",SUMPRODUCT(PRODUCT(1+M26:M$36)),SUMPRODUCT(PRODUCT(1+M26:M$35))),4)</f>
        <v>1.0269999999999999</v>
      </c>
      <c r="U26" s="3157">
        <f>ROUND(IF([5]项目基本情况!$B$8="出让",SUMPRODUCT(PRODUCT(1+N26:N$36)),SUMPRODUCT(PRODUCT(1+N26:N$35))),4)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ROUND(IF([5]项目基本情况!$B$8="出让",SUMPRODUCT(PRODUCT(1+L27:L$36)),SUMPRODUCT(PRODUCT(1+L27:L$35))),4)</f>
        <v>1.0396000000000001</v>
      </c>
      <c r="T27" s="3166">
        <f>ROUND(IF([5]项目基本情况!$B$8="出让",SUMPRODUCT(PRODUCT(1+M27:M$36)),SUMPRODUCT(PRODUCT(1+M27:M$35))),4)</f>
        <v>1.0269999999999999</v>
      </c>
      <c r="U27" s="3166">
        <f>ROUND(IF([5]项目基本情况!$B$8="出让",SUMPRODUCT(PRODUCT(1+N27:N$36)),SUMPRODUCT(PRODUCT(1+N27:N$35))),4)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ROUND(IF([5]项目基本情况!$B$8="出让",SUMPRODUCT(PRODUCT(1+L28:L$36)),SUMPRODUCT(PRODUCT(1+L28:L$35))),4)</f>
        <v>1.0344</v>
      </c>
      <c r="T28" s="3157">
        <f>ROUND(IF([5]项目基本情况!$B$8="出让",SUMPRODUCT(PRODUCT(1+M28:M$36)),SUMPRODUCT(PRODUCT(1+M28:M$35))),4)</f>
        <v>1.0224</v>
      </c>
      <c r="U28" s="3157">
        <f>ROUND(IF([5]项目基本情况!$B$8="出让",SUMPRODUCT(PRODUCT(1+N28:N$36)),SUMPRODUCT(PRODUCT(1+N28:N$35))),4)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ROUND(IF([5]项目基本情况!$B$8="出让",SUMPRODUCT(PRODUCT(1+L29:L$36)),SUMPRODUCT(PRODUCT(1+L29:L$35))),4)</f>
        <v>1.0286999999999999</v>
      </c>
      <c r="T29" s="3157">
        <f>ROUND(IF([5]项目基本情况!$B$8="出让",SUMPRODUCT(PRODUCT(1+M29:M$36)),SUMPRODUCT(PRODUCT(1+M29:M$35))),4)</f>
        <v>1.0164</v>
      </c>
      <c r="U29" s="3157">
        <f>ROUND(IF([5]项目基本情况!$B$8="出让",SUMPRODUCT(PRODUCT(1+N29:N$36)),SUMPRODUCT(PRODUCT(1+N29:N$35))),4)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ROUND(IF([5]项目基本情况!$B$8="出让",SUMPRODUCT(PRODUCT(1+L30:L$36)),SUMPRODUCT(PRODUCT(1+L30:L$35))),4)</f>
        <v>1.0241</v>
      </c>
      <c r="T30" s="3157">
        <f>ROUND(IF([5]项目基本情况!$B$8="出让",SUMPRODUCT(PRODUCT(1+M30:M$36)),SUMPRODUCT(PRODUCT(1+M30:M$35))),4)</f>
        <v>1.0144</v>
      </c>
      <c r="U30" s="3157">
        <f>ROUND(IF([5]项目基本情况!$B$8="出让",SUMPRODUCT(PRODUCT(1+N30:N$36)),SUMPRODUCT(PRODUCT(1+N30:N$35))),4)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ROUND(IF([5]项目基本情况!$B$8="出让",SUMPRODUCT(PRODUCT(1+L31:L$36)),SUMPRODUCT(PRODUCT(1+L31:L$35))),4)</f>
        <v>1.0210999999999999</v>
      </c>
      <c r="T31" s="3157">
        <f>ROUND(IF([5]项目基本情况!$B$8="出让",SUMPRODUCT(PRODUCT(1+M31:M$36)),SUMPRODUCT(PRODUCT(1+M31:M$35))),4)</f>
        <v>1.0114000000000001</v>
      </c>
      <c r="U31" s="3157">
        <f>ROUND(IF([5]项目基本情况!$B$8="出让",SUMPRODUCT(PRODUCT(1+N31:N$36)),SUMPRODUCT(PRODUCT(1+N31:N$35))),4)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ROUND(IF([5]项目基本情况!$B$8="出让",SUMPRODUCT(PRODUCT(1+L32:L$36)),SUMPRODUCT(PRODUCT(1+L32:L$35))),4)</f>
        <v>1.0222</v>
      </c>
      <c r="T32" s="3157">
        <f>ROUND(IF([5]项目基本情况!$B$8="出让",SUMPRODUCT(PRODUCT(1+M32:M$36)),SUMPRODUCT(PRODUCT(1+M32:M$35))),4)</f>
        <v>1.0127999999999999</v>
      </c>
      <c r="U32" s="3157">
        <f>ROUND(IF([5]项目基本情况!$B$8="出让",SUMPRODUCT(PRODUCT(1+N32:N$36)),SUMPRODUCT(PRODUCT(1+N32:N$35))),4)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ROUND(IF([5]项目基本情况!$B$8="出让",SUMPRODUCT(PRODUCT(1+L33:L$36)),SUMPRODUCT(PRODUCT(1+L33:L$35))),4)</f>
        <v>1.0161</v>
      </c>
      <c r="T33" s="3157">
        <f>ROUND(IF([5]项目基本情况!$B$8="出让",SUMPRODUCT(PRODUCT(1+M33:M$36)),SUMPRODUCT(PRODUCT(1+M33:M$35))),4)</f>
        <v>1.0082</v>
      </c>
      <c r="U33" s="3157">
        <f>ROUND(IF([5]项目基本情况!$B$8="出让",SUMPRODUCT(PRODUCT(1+N33:N$36)),SUMPRODUCT(PRODUCT(1+N33:N$35))),4)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ROUND(IF([5]项目基本情况!$B$8="出让",SUMPRODUCT(PRODUCT(1+L34:L$36)),SUMPRODUCT(PRODUCT(1+L34:L$35))),4)</f>
        <v>1.0102</v>
      </c>
      <c r="T34" s="3157">
        <f>ROUND(IF([5]项目基本情况!$B$8="出让",SUMPRODUCT(PRODUCT(1+M34:M$36)),SUMPRODUCT(PRODUCT(1+M34:M$35))),4)</f>
        <v>1.0074000000000001</v>
      </c>
      <c r="U34" s="3157">
        <f>ROUND(IF([5]项目基本情况!$B$8="出让",SUMPRODUCT(PRODUCT(1+N34:N$36)),SUMPRODUCT(PRODUCT(1+N34:N$35))),4)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ROUND(IF([5]项目基本情况!$B$8="出让",SUMPRODUCT(PRODUCT(1+L35:L$36)),SUMPRODUCT(PRODUCT(1+L35:L$35))),4)</f>
        <v>1.0055000000000001</v>
      </c>
      <c r="T35" s="3157">
        <f>ROUND(IF([5]项目基本情况!$B$8="出让",SUMPRODUCT(PRODUCT(1+M35:M$36)),SUMPRODUCT(PRODUCT(1+M35:M$35))),4)</f>
        <v>1.0045999999999999</v>
      </c>
      <c r="U35" s="3157">
        <f>ROUND(IF([5]项目基本情况!$B$8="出让",SUMPRODUCT(PRODUCT(1+N35:N$36)),SUMPRODUCT(PRODUCT(1+N35:N$35))),4)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7">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7"/>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7"/>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7"/>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7"/>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7"/>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7"/>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48"/>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6">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7"/>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7"/>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48"/>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6">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7"/>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7"/>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48"/>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6">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7"/>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7"/>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48"/>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6">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7">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7">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48">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6">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7">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7">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48">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6">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7">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7">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48">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6">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7">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7">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48">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6">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7">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7">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48">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6">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7">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7">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48">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6">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7">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7">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48">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6">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7">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7">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48">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6">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7">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7">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48">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6">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7">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7">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48">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25" t="str">
        <f>IF(项目基本情况!B9="房地产市场价值","估价结果一览表","结果表-2")</f>
        <v>估价结果一览表</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房地产市场价值</v>
      </c>
      <c r="I2" s="3526"/>
    </row>
    <row r="3" spans="1:9" ht="15">
      <c r="A3" s="3521"/>
      <c r="B3" s="3521"/>
      <c r="C3" s="3521"/>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10294</v>
      </c>
      <c r="E4" s="841">
        <f ca="1">结果表!E118</f>
        <v>722</v>
      </c>
      <c r="F4" s="841">
        <f ca="1">结果表!F118</f>
        <v>96933</v>
      </c>
      <c r="G4" s="841">
        <f ca="1">结果表!G118</f>
        <v>6800</v>
      </c>
      <c r="H4" s="841">
        <f ca="1">结果表!H118</f>
        <v>107227</v>
      </c>
      <c r="I4" s="841">
        <f ca="1">结果表!I118</f>
        <v>7522</v>
      </c>
    </row>
    <row r="5" spans="1:9" ht="30" customHeight="1">
      <c r="A5" s="3521" t="s">
        <v>927</v>
      </c>
      <c r="B5" s="3521"/>
      <c r="C5" s="3521"/>
      <c r="D5" s="3521" t="str">
        <f ca="1">结果表!D119</f>
        <v>壹亿零贰佰玖拾肆万元整</v>
      </c>
      <c r="E5" s="3521"/>
      <c r="F5" s="3521" t="str">
        <f ca="1">结果表!F119</f>
        <v>玖亿陆仟玖佰叁拾叁万元整</v>
      </c>
      <c r="G5" s="3521"/>
      <c r="H5" s="3521" t="str">
        <f ca="1">结果表!H119</f>
        <v>壹拾亿柒仟贰佰贰拾柒万元整</v>
      </c>
      <c r="I5" s="3521"/>
    </row>
    <row r="6" spans="1:9" ht="15.75">
      <c r="A6" s="3520" t="str">
        <f>结果表!A120</f>
        <v/>
      </c>
      <c r="B6" s="3520"/>
      <c r="C6" s="3520"/>
      <c r="D6" s="3520">
        <f>结果表!D120</f>
        <v>0</v>
      </c>
      <c r="E6" s="3520"/>
      <c r="F6" s="3520"/>
      <c r="G6" s="3520"/>
      <c r="H6" s="3520"/>
      <c r="I6" s="3520"/>
    </row>
    <row r="7" spans="1:9" ht="15">
      <c r="A7" s="3521" t="s">
        <v>927</v>
      </c>
      <c r="B7" s="3521"/>
      <c r="C7" s="3521"/>
      <c r="D7" s="3522" t="str">
        <f>结果表!D121</f>
        <v>零元整</v>
      </c>
      <c r="E7" s="3523"/>
      <c r="F7" s="3523"/>
      <c r="G7" s="3523"/>
      <c r="H7" s="3523"/>
      <c r="I7" s="3524"/>
    </row>
    <row r="8" spans="1:9" ht="15.75">
      <c r="A8" s="3520" t="str">
        <f>结果表!A122</f>
        <v/>
      </c>
      <c r="B8" s="3520"/>
      <c r="C8" s="3520"/>
      <c r="D8" s="3520">
        <f ca="1">结果表!D122</f>
        <v>107227</v>
      </c>
      <c r="E8" s="3520"/>
      <c r="F8" s="3520"/>
      <c r="G8" s="3520"/>
      <c r="H8" s="3520"/>
      <c r="I8" s="3520"/>
    </row>
    <row r="9" spans="1:9" ht="15">
      <c r="A9" s="3521" t="s">
        <v>927</v>
      </c>
      <c r="B9" s="3521"/>
      <c r="C9" s="3521"/>
      <c r="D9" s="3521" t="str">
        <f ca="1">结果表!D123</f>
        <v>壹拾亿柒仟贰佰贰拾柒万元整</v>
      </c>
      <c r="E9" s="3521"/>
      <c r="F9" s="3521"/>
      <c r="G9" s="3521"/>
      <c r="H9" s="3521"/>
      <c r="I9" s="3521"/>
    </row>
    <row r="10" spans="1:9" ht="15.75">
      <c r="A10" s="3520" t="str">
        <f>结果表!A124</f>
        <v/>
      </c>
      <c r="B10" s="3520"/>
      <c r="C10" s="3520"/>
      <c r="D10" s="3520" t="str">
        <f>结果表!D124</f>
        <v>——</v>
      </c>
      <c r="E10" s="3520"/>
      <c r="F10" s="3520"/>
      <c r="G10" s="3520"/>
      <c r="H10" s="3520"/>
      <c r="I10" s="3520"/>
    </row>
    <row r="11" spans="1:9" ht="15">
      <c r="A11" s="3521" t="s">
        <v>927</v>
      </c>
      <c r="B11" s="3521"/>
      <c r="C11" s="3521"/>
      <c r="D11" s="3521" t="e">
        <f>结果表!D125</f>
        <v>#VALUE!</v>
      </c>
      <c r="E11" s="3521"/>
      <c r="F11" s="3521"/>
      <c r="G11" s="3521"/>
      <c r="H11" s="3521"/>
      <c r="I11" s="3521"/>
    </row>
    <row r="12" spans="1:9" ht="15.75">
      <c r="A12" s="3520" t="str">
        <f>结果表!A126</f>
        <v/>
      </c>
      <c r="B12" s="3520"/>
      <c r="C12" s="3520"/>
      <c r="D12" s="3520" t="str">
        <f>结果表!D126</f>
        <v>——</v>
      </c>
      <c r="E12" s="3520"/>
      <c r="F12" s="3520"/>
      <c r="G12" s="3520"/>
      <c r="H12" s="3520"/>
      <c r="I12" s="3520"/>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33" t="s">
        <v>949</v>
      </c>
      <c r="B1" s="3533"/>
      <c r="C1" s="3533"/>
      <c r="D1" s="3533"/>
    </row>
    <row r="2" spans="1:4" ht="18">
      <c r="A2" s="3534" t="s">
        <v>933</v>
      </c>
      <c r="B2" s="3534"/>
      <c r="C2" s="3534"/>
      <c r="D2" s="3534"/>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34" t="s">
        <v>939</v>
      </c>
      <c r="B6" s="3534"/>
      <c r="C6" s="3534"/>
      <c r="D6" s="3534"/>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35" t="s">
        <v>942</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2"/>
      <c r="C12" s="3532"/>
      <c r="D12" s="3532"/>
    </row>
    <row r="13" spans="1:4" ht="30" customHeight="1">
      <c r="A13" s="3527" t="str">
        <f>IF(项目基本情况!B8="抵押","3.抵押双方在办理抵押登记手续时，应使用本公司出具的正式《房地产评估报告》，特提醒报告使用者注意。","——")</f>
        <v>——</v>
      </c>
      <c r="B13" s="3532"/>
      <c r="C13" s="3532"/>
      <c r="D13" s="3532"/>
    </row>
    <row r="14" spans="1:4" ht="15.75" customHeight="1">
      <c r="A14" s="3527" t="str">
        <f>IF(项目基本情况!B8="抵押","4.本次评估估价师所知悉的法定优先受偿款情况说明如下：","——")</f>
        <v>——</v>
      </c>
      <c r="B14" s="3532"/>
      <c r="C14" s="3532"/>
      <c r="D14" s="3532"/>
    </row>
    <row r="15" spans="1:4" ht="42" customHeight="1">
      <c r="A15" s="3527" t="str">
        <f>IF(项目基本情况!B8="抵押","（1）"&amp;CONCATENATE(项目基本情况!L20,项目基本情况!L21,项目基本情况!L22),"——")</f>
        <v>——</v>
      </c>
      <c r="B15" s="3527"/>
      <c r="C15" s="3527"/>
      <c r="D15" s="3527"/>
    </row>
    <row r="16" spans="1:4" ht="30" customHeight="1">
      <c r="A16" s="3529" t="s">
        <v>943</v>
      </c>
      <c r="B16" s="3529"/>
      <c r="C16" s="3529"/>
      <c r="D16" s="3529"/>
    </row>
    <row r="17" spans="1:4" ht="144" customHeight="1">
      <c r="A17" s="3529" t="s">
        <v>944</v>
      </c>
      <c r="B17" s="3529"/>
      <c r="C17" s="3529"/>
      <c r="D17" s="3529"/>
    </row>
    <row r="18" spans="1:4" ht="15.75" customHeight="1">
      <c r="A18" s="3527" t="str">
        <f>IF(项目基本情况!B8="抵押",结果表!K120,"——")</f>
        <v>——</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7"/>
      <c r="C20" s="3527"/>
      <c r="D20" s="3527"/>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45211</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2023-10-12T08:19:47Z</dcterms:modified>
</cp:coreProperties>
</file>