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834-马连洼租金\"/>
    </mc:Choice>
  </mc:AlternateContent>
  <xr:revisionPtr revIDLastSave="0" documentId="13_ncr:1_{401D83B3-E558-4888-BC5D-F26A6171F055}" xr6:coauthVersionLast="47" xr6:coauthVersionMax="47" xr10:uidLastSave="{00000000-0000-0000-0000-000000000000}"/>
  <bookViews>
    <workbookView minimized="1" xWindow="1520" yWindow="720" windowWidth="12850" windowHeight="13680" tabRatio="899" firstSheet="14"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办公租金案例"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52" i="34" l="1"/>
  <c r="D52" i="34"/>
  <c r="E37" i="34"/>
  <c r="G37" i="34"/>
  <c r="I5" i="34"/>
  <c r="I48" i="34"/>
  <c r="I34" i="34"/>
  <c r="G5" i="34"/>
  <c r="E105" i="34"/>
  <c r="F105" i="34" s="1"/>
  <c r="G105" i="34" s="1"/>
  <c r="H105" i="34" s="1"/>
  <c r="D105" i="34"/>
  <c r="G34" i="34"/>
  <c r="E34" i="34"/>
  <c r="G48" i="34"/>
  <c r="E48" i="34"/>
  <c r="I7" i="34" l="1"/>
  <c r="G7" i="34"/>
  <c r="E7" i="34"/>
  <c r="N19" i="1"/>
  <c r="N6" i="1" s="1"/>
  <c r="C37" i="34" s="1"/>
  <c r="B21" i="1"/>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6" i="79"/>
  <c r="AD34" i="79"/>
  <c r="AD37" i="79"/>
  <c r="AD35"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5" i="79"/>
  <c r="T34" i="79"/>
  <c r="T33"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45" i="79" l="1"/>
  <c r="AK45" i="79" s="1"/>
  <c r="AH45" i="79"/>
  <c r="W11" i="79"/>
  <c r="AK11" i="79" s="1"/>
  <c r="AH11" i="79"/>
  <c r="W10" i="79"/>
  <c r="AK10" i="79" s="1"/>
  <c r="AH10" i="79"/>
  <c r="W20" i="79"/>
  <c r="AK20" i="79" s="1"/>
  <c r="AH20" i="79"/>
  <c r="W23" i="79"/>
  <c r="AK23" i="79" s="1"/>
  <c r="AH23" i="79"/>
  <c r="W12" i="79"/>
  <c r="AK12" i="79" s="1"/>
  <c r="AH12" i="79"/>
  <c r="W21" i="79"/>
  <c r="AK21" i="79" s="1"/>
  <c r="AH21" i="79"/>
  <c r="W47" i="79"/>
  <c r="AK47" i="79" s="1"/>
  <c r="AH47" i="79"/>
  <c r="W39" i="79"/>
  <c r="AK39" i="79" s="1"/>
  <c r="W17" i="79"/>
  <c r="AK17" i="79" s="1"/>
  <c r="AH17" i="79"/>
  <c r="W18" i="79"/>
  <c r="AK18" i="79" s="1"/>
  <c r="AH18" i="79"/>
  <c r="W33" i="79"/>
  <c r="AK33" i="79" s="1"/>
  <c r="AH33"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AA3" i="71" s="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B60" i="72" s="1"/>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S80" i="71" s="1"/>
  <c r="Q79" i="71"/>
  <c r="P79" i="71"/>
  <c r="O79" i="71"/>
  <c r="N79"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AA38" i="71" s="1"/>
  <c r="O38" i="71"/>
  <c r="N38" i="71"/>
  <c r="Q37" i="71"/>
  <c r="AB37" i="71" s="1"/>
  <c r="P37" i="71"/>
  <c r="O37" i="71"/>
  <c r="N37" i="71"/>
  <c r="B38" i="71" s="1"/>
  <c r="B39" i="71" s="1"/>
  <c r="B40" i="71" s="1"/>
  <c r="S40" i="71" s="1"/>
  <c r="D37" i="71"/>
  <c r="Q36" i="71"/>
  <c r="P36" i="71"/>
  <c r="O36" i="71"/>
  <c r="N36" i="71"/>
  <c r="X36" i="71" s="1"/>
  <c r="Q35" i="71"/>
  <c r="P35" i="71"/>
  <c r="O35" i="71"/>
  <c r="Y35" i="71" s="1"/>
  <c r="Z35" i="71" s="1"/>
  <c r="N35" i="71"/>
  <c r="Q34" i="71"/>
  <c r="AB34" i="71" s="1"/>
  <c r="P34" i="71"/>
  <c r="O34" i="71"/>
  <c r="N34" i="71"/>
  <c r="X33" i="71" s="1"/>
  <c r="Q33" i="71"/>
  <c r="F34" i="71" s="1"/>
  <c r="P33" i="71"/>
  <c r="E34" i="71" s="1"/>
  <c r="E35" i="71" s="1"/>
  <c r="E36" i="71" s="1"/>
  <c r="U36" i="71" s="1"/>
  <c r="O33" i="71"/>
  <c r="Y30" i="71" s="1"/>
  <c r="Z30" i="71" s="1"/>
  <c r="N33" i="71"/>
  <c r="D33" i="71"/>
  <c r="Q32" i="71"/>
  <c r="AB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B35" i="71" s="1"/>
  <c r="B36" i="71" s="1"/>
  <c r="S36" i="71" s="1"/>
  <c r="E38" i="71"/>
  <c r="E39" i="71" s="1"/>
  <c r="E40" i="71" s="1"/>
  <c r="U40" i="71" s="1"/>
  <c r="N68" i="71"/>
  <c r="C30" i="71"/>
  <c r="C31" i="71" s="1"/>
  <c r="Y29" i="71"/>
  <c r="Z29" i="71" s="1"/>
  <c r="AA35" i="71"/>
  <c r="C38" i="71"/>
  <c r="D38" i="71" s="1"/>
  <c r="X38" i="71"/>
  <c r="C28" i="71"/>
  <c r="T28" i="71" s="1"/>
  <c r="Y25" i="71"/>
  <c r="Z25" i="71" s="1"/>
  <c r="X26" i="71"/>
  <c r="C39" i="71"/>
  <c r="C40" i="71" s="1"/>
  <c r="C43" i="71"/>
  <c r="C44" i="71" s="1"/>
  <c r="P28" i="71"/>
  <c r="E28" i="71" s="1"/>
  <c r="E55" i="71"/>
  <c r="E56" i="71" s="1"/>
  <c r="U56" i="71"/>
  <c r="E63" i="71"/>
  <c r="E64" i="71"/>
  <c r="U64" i="71" s="1"/>
  <c r="E67" i="71"/>
  <c r="Q28" i="71"/>
  <c r="AB25" i="71" s="1"/>
  <c r="C59" i="71"/>
  <c r="D58" i="71"/>
  <c r="B66" i="71"/>
  <c r="N65" i="71" s="1"/>
  <c r="D68" i="71"/>
  <c r="Q68" i="71"/>
  <c r="C71" i="71"/>
  <c r="C70" i="71" s="1"/>
  <c r="D70" i="71" s="1"/>
  <c r="E71" i="71"/>
  <c r="E70" i="71" s="1"/>
  <c r="D72" i="71"/>
  <c r="E75" i="71"/>
  <c r="E74" i="71" s="1"/>
  <c r="C79" i="71"/>
  <c r="D79" i="71" s="1"/>
  <c r="E79" i="71"/>
  <c r="E78" i="71" s="1"/>
  <c r="D80" i="71"/>
  <c r="C83" i="71"/>
  <c r="D83" i="71" s="1"/>
  <c r="C87" i="71"/>
  <c r="C86" i="71" s="1"/>
  <c r="D86" i="71" s="1"/>
  <c r="F28" i="71"/>
  <c r="F27" i="71" s="1"/>
  <c r="F26" i="71" s="1"/>
  <c r="AB27" i="71"/>
  <c r="AA28" i="71"/>
  <c r="C82" i="71"/>
  <c r="D82" i="71"/>
  <c r="N66" i="71"/>
  <c r="C78" i="71"/>
  <c r="D78" i="71" s="1"/>
  <c r="D71" i="71"/>
  <c r="C60" i="71"/>
  <c r="D60" i="71" s="1"/>
  <c r="D59" i="71"/>
  <c r="P67" i="71"/>
  <c r="E66" i="71"/>
  <c r="P65" i="71" s="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E83" i="21"/>
  <c r="F83" i="21" s="1"/>
  <c r="H1" i="69"/>
  <c r="AC25" i="40"/>
  <c r="U29" i="39"/>
  <c r="W29" i="39"/>
  <c r="W18" i="36"/>
  <c r="S21" i="37"/>
  <c r="AA21" i="33"/>
  <c r="S21" i="33"/>
  <c r="J21" i="37"/>
  <c r="W21" i="37" s="1"/>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A493" i="3" s="1"/>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L498" i="3" s="1"/>
  <c r="BN498" i="3"/>
  <c r="BO498" i="3"/>
  <c r="BP498" i="3"/>
  <c r="BQ498" i="3"/>
  <c r="BR498" i="3"/>
  <c r="BS498" i="3"/>
  <c r="BT498" i="3"/>
  <c r="H499" i="3"/>
  <c r="AC499" i="3"/>
  <c r="BB499" i="3"/>
  <c r="BC499" i="3"/>
  <c r="BD499" i="3"/>
  <c r="BA499" i="3" s="1"/>
  <c r="BE499" i="3"/>
  <c r="BF499" i="3"/>
  <c r="BG499" i="3"/>
  <c r="BH499" i="3"/>
  <c r="BI499" i="3"/>
  <c r="BJ499" i="3"/>
  <c r="BK499" i="3"/>
  <c r="BM499" i="3"/>
  <c r="BN499" i="3"/>
  <c r="BO499" i="3"/>
  <c r="BP499" i="3"/>
  <c r="BR499" i="3"/>
  <c r="BS499" i="3"/>
  <c r="BT499" i="3"/>
  <c r="H500" i="3"/>
  <c r="AC500" i="3"/>
  <c r="G500" i="3" s="1"/>
  <c r="BB500" i="3"/>
  <c r="BC500" i="3"/>
  <c r="BD500" i="3"/>
  <c r="BE500" i="3"/>
  <c r="BA500" i="3" s="1"/>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A508" i="3" s="1"/>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L510" i="3" s="1"/>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A544" i="3" s="1"/>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S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B103" i="40"/>
  <c r="J32" i="40" s="1"/>
  <c r="AC32" i="40" s="1"/>
  <c r="B101" i="40"/>
  <c r="J3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H31" i="39" s="1"/>
  <c r="AB31" i="39" s="1"/>
  <c r="D96" i="39"/>
  <c r="J23" i="39"/>
  <c r="AC23" i="39" s="1"/>
  <c r="D94" i="39"/>
  <c r="E94" i="39" s="1"/>
  <c r="F94" i="39" s="1"/>
  <c r="G94" i="39" s="1"/>
  <c r="D92" i="39"/>
  <c r="E92" i="39" s="1"/>
  <c r="F92" i="39" s="1"/>
  <c r="G92" i="39" s="1"/>
  <c r="D90" i="39"/>
  <c r="E90" i="39"/>
  <c r="F90" i="39" s="1"/>
  <c r="G90" i="39" s="1"/>
  <c r="D88" i="39"/>
  <c r="E88" i="39" s="1"/>
  <c r="F88" i="39" s="1"/>
  <c r="G88" i="39" s="1"/>
  <c r="B85" i="39"/>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G73" i="37" s="1"/>
  <c r="D71" i="37"/>
  <c r="H15" i="37"/>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B77" i="35"/>
  <c r="J25" i="35" s="1"/>
  <c r="B75" i="35"/>
  <c r="J24" i="35" s="1"/>
  <c r="AC24" i="35" s="1"/>
  <c r="B73" i="35"/>
  <c r="J23" i="35" s="1"/>
  <c r="AC23" i="35" s="1"/>
  <c r="H23" i="35"/>
  <c r="U23" i="35" s="1"/>
  <c r="B57" i="35"/>
  <c r="B61" i="35"/>
  <c r="B59" i="35"/>
  <c r="F12" i="35" s="1"/>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W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AB12" i="34" s="1"/>
  <c r="F12" i="34"/>
  <c r="S12" i="34" s="1"/>
  <c r="Q11" i="34"/>
  <c r="Z11" i="34" s="1"/>
  <c r="Q10" i="34"/>
  <c r="Z10" i="34"/>
  <c r="F10" i="34"/>
  <c r="AA10" i="34" s="1"/>
  <c r="Q9" i="34"/>
  <c r="Z9" i="34" s="1"/>
  <c r="J8" i="34"/>
  <c r="AC8" i="34" s="1"/>
  <c r="V49" i="34" s="1"/>
  <c r="H8" i="34"/>
  <c r="U8" i="34" s="1"/>
  <c r="F8" i="34"/>
  <c r="AA8" i="34" s="1"/>
  <c r="R49" i="34" s="1"/>
  <c r="R50" i="34" s="1"/>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J28" i="21" s="1"/>
  <c r="W28" i="21" s="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F36" i="39"/>
  <c r="H36" i="39"/>
  <c r="AB36"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J33" i="36"/>
  <c r="AC33" i="36" s="1"/>
  <c r="H22" i="35"/>
  <c r="AB22" i="35" s="1"/>
  <c r="W28" i="35"/>
  <c r="U31" i="35"/>
  <c r="U34" i="35"/>
  <c r="F36" i="34"/>
  <c r="AA36" i="34" s="1"/>
  <c r="J35" i="34"/>
  <c r="AC35" i="34" s="1"/>
  <c r="H39" i="33"/>
  <c r="AB39" i="33" s="1"/>
  <c r="U33" i="33"/>
  <c r="S40" i="33"/>
  <c r="W33" i="33"/>
  <c r="S27" i="35"/>
  <c r="F11" i="40"/>
  <c r="H11" i="40"/>
  <c r="AB11" i="40"/>
  <c r="W8" i="40"/>
  <c r="S34"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s="1"/>
  <c r="F27" i="39"/>
  <c r="F11" i="21"/>
  <c r="S11" i="21" s="1"/>
  <c r="S40" i="21"/>
  <c r="U34" i="21"/>
  <c r="C25" i="39"/>
  <c r="H11" i="39"/>
  <c r="S40" i="39"/>
  <c r="H32" i="33"/>
  <c r="AB32" i="33"/>
  <c r="H11" i="21"/>
  <c r="U11" i="21" s="1"/>
  <c r="J11" i="21"/>
  <c r="W11" i="21" s="1"/>
  <c r="H37" i="40"/>
  <c r="AB37" i="40" s="1"/>
  <c r="U37" i="40"/>
  <c r="H36" i="40"/>
  <c r="AB36" i="40" s="1"/>
  <c r="F35" i="40"/>
  <c r="AA35" i="40"/>
  <c r="H23" i="40"/>
  <c r="AB23" i="40" s="1"/>
  <c r="H17" i="40"/>
  <c r="U17" i="40" s="1"/>
  <c r="J15" i="40"/>
  <c r="W15" i="40" s="1"/>
  <c r="J11" i="40"/>
  <c r="W11" i="40" s="1"/>
  <c r="AB12" i="35"/>
  <c r="W32" i="40"/>
  <c r="F37" i="39"/>
  <c r="AA37" i="39" s="1"/>
  <c r="J30" i="35"/>
  <c r="W30" i="35" s="1"/>
  <c r="H30" i="35"/>
  <c r="AB30" i="35" s="1"/>
  <c r="F22" i="35"/>
  <c r="AA22" i="35" s="1"/>
  <c r="H10" i="35"/>
  <c r="U10" i="35" s="1"/>
  <c r="F33" i="36"/>
  <c r="AA33" i="36" s="1"/>
  <c r="W30" i="36"/>
  <c r="H16" i="36"/>
  <c r="U16" i="36" s="1"/>
  <c r="E85" i="36"/>
  <c r="F85" i="36" s="1"/>
  <c r="G85" i="36" s="1"/>
  <c r="H85" i="36" s="1"/>
  <c r="I85" i="36" s="1"/>
  <c r="J85" i="36" s="1"/>
  <c r="K85" i="36" s="1"/>
  <c r="L85" i="36" s="1"/>
  <c r="M85" i="36" s="1"/>
  <c r="J29" i="36"/>
  <c r="AC29" i="36" s="1"/>
  <c r="F34" i="36"/>
  <c r="F14" i="35"/>
  <c r="AA14" i="35" s="1"/>
  <c r="F23" i="35"/>
  <c r="AA23" i="35" s="1"/>
  <c r="J32" i="35"/>
  <c r="AC32" i="35" s="1"/>
  <c r="J16" i="35"/>
  <c r="AC16" i="35" s="1"/>
  <c r="H16" i="35"/>
  <c r="AB16" i="35" s="1"/>
  <c r="U16" i="35"/>
  <c r="F16" i="35"/>
  <c r="S16" i="35" s="1"/>
  <c r="H14" i="35"/>
  <c r="AB14" i="35" s="1"/>
  <c r="J29" i="35"/>
  <c r="H33" i="35"/>
  <c r="J20" i="35"/>
  <c r="W20" i="35" s="1"/>
  <c r="F35" i="37"/>
  <c r="S35" i="37" s="1"/>
  <c r="J34" i="37"/>
  <c r="W34" i="37"/>
  <c r="AB34" i="37"/>
  <c r="J33" i="37"/>
  <c r="AC33" i="37" s="1"/>
  <c r="H40" i="34"/>
  <c r="U40" i="34" s="1"/>
  <c r="E114" i="34"/>
  <c r="H36" i="34"/>
  <c r="U36" i="34" s="1"/>
  <c r="F37" i="34"/>
  <c r="AA37" i="34" s="1"/>
  <c r="F28" i="34"/>
  <c r="AA28" i="34" s="1"/>
  <c r="F25" i="34"/>
  <c r="S25" i="34" s="1"/>
  <c r="H23" i="34"/>
  <c r="AB23" i="34" s="1"/>
  <c r="J23" i="34"/>
  <c r="W23" i="34" s="1"/>
  <c r="F19" i="34"/>
  <c r="S19" i="34" s="1"/>
  <c r="H17" i="34"/>
  <c r="U17" i="34" s="1"/>
  <c r="F15" i="34"/>
  <c r="AA15" i="34" s="1"/>
  <c r="J15" i="34"/>
  <c r="AC15" i="34" s="1"/>
  <c r="H15" i="34"/>
  <c r="J28" i="34"/>
  <c r="W28" i="34" s="1"/>
  <c r="F41" i="33"/>
  <c r="E113" i="33"/>
  <c r="F32" i="33"/>
  <c r="S32" i="33" s="1"/>
  <c r="AA32" i="33"/>
  <c r="J19" i="33"/>
  <c r="AC19" i="33" s="1"/>
  <c r="J15" i="33"/>
  <c r="AC15" i="33" s="1"/>
  <c r="F11" i="33"/>
  <c r="AA11" i="33" s="1"/>
  <c r="U40" i="33"/>
  <c r="W40" i="33"/>
  <c r="F37" i="40"/>
  <c r="AA37" i="40" s="1"/>
  <c r="F36" i="40"/>
  <c r="AA36" i="40" s="1"/>
  <c r="H28" i="40"/>
  <c r="U28" i="40" s="1"/>
  <c r="F23" i="40"/>
  <c r="AA23" i="40"/>
  <c r="F17" i="40"/>
  <c r="AA17" i="40" s="1"/>
  <c r="J17" i="40"/>
  <c r="W17" i="40"/>
  <c r="F15" i="40"/>
  <c r="S15" i="40" s="1"/>
  <c r="H15" i="40"/>
  <c r="AB15" i="40" s="1"/>
  <c r="AC11" i="40"/>
  <c r="AB30" i="36"/>
  <c r="F29" i="35"/>
  <c r="S29" i="35" s="1"/>
  <c r="H29" i="35"/>
  <c r="AB29" i="35" s="1"/>
  <c r="H33" i="37"/>
  <c r="F33" i="37"/>
  <c r="AA33" i="37" s="1"/>
  <c r="U34" i="37"/>
  <c r="S34" i="37"/>
  <c r="AA34" i="37"/>
  <c r="J43" i="34"/>
  <c r="W43" i="34" s="1"/>
  <c r="J40" i="34"/>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29" i="35"/>
  <c r="AA42" i="34"/>
  <c r="S42" i="34"/>
  <c r="AC38" i="34"/>
  <c r="J37" i="34"/>
  <c r="AC37" i="34" s="1"/>
  <c r="J11" i="33"/>
  <c r="W11" i="33" s="1"/>
  <c r="S28" i="34"/>
  <c r="I123" i="21"/>
  <c r="J123" i="21" s="1"/>
  <c r="K123" i="21" s="1"/>
  <c r="L123" i="21" s="1"/>
  <c r="M123" i="21" s="1"/>
  <c r="J42" i="21"/>
  <c r="AC42" i="21"/>
  <c r="H42" i="21"/>
  <c r="U42" i="21" s="1"/>
  <c r="J44" i="34"/>
  <c r="W44" i="34" s="1"/>
  <c r="F44" i="34"/>
  <c r="S44" i="34" s="1"/>
  <c r="J10" i="35"/>
  <c r="AC10" i="35" s="1"/>
  <c r="F14" i="21"/>
  <c r="S14" i="21" s="1"/>
  <c r="H28" i="21"/>
  <c r="AB28" i="21" s="1"/>
  <c r="F28" i="21"/>
  <c r="AA28" i="21" s="1"/>
  <c r="H30" i="21"/>
  <c r="U30" i="21" s="1"/>
  <c r="J44" i="21"/>
  <c r="AC44" i="21" s="1"/>
  <c r="H44" i="21"/>
  <c r="U44" i="21" s="1"/>
  <c r="F44" i="21"/>
  <c r="AA44" i="21" s="1"/>
  <c r="H46" i="21"/>
  <c r="U46" i="21" s="1"/>
  <c r="J46" i="21"/>
  <c r="F46" i="21"/>
  <c r="AA46" i="21" s="1"/>
  <c r="H28" i="33"/>
  <c r="U28" i="33" s="1"/>
  <c r="F28" i="33"/>
  <c r="AA28" i="33"/>
  <c r="J28" i="33"/>
  <c r="W28" i="33" s="1"/>
  <c r="F33" i="35"/>
  <c r="S33" i="35"/>
  <c r="J33" i="35"/>
  <c r="AC33" i="35" s="1"/>
  <c r="F30" i="35"/>
  <c r="S30" i="35" s="1"/>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s="1"/>
  <c r="J31" i="33"/>
  <c r="H31" i="33"/>
  <c r="F31" i="33"/>
  <c r="H45" i="33"/>
  <c r="U45" i="33" s="1"/>
  <c r="J45" i="33"/>
  <c r="W45" i="33" s="1"/>
  <c r="J14" i="34"/>
  <c r="W14" i="34" s="1"/>
  <c r="F14" i="34"/>
  <c r="H14" i="34"/>
  <c r="U14" i="34" s="1"/>
  <c r="H30" i="34"/>
  <c r="F30" i="34"/>
  <c r="S30" i="34" s="1"/>
  <c r="J30" i="34"/>
  <c r="H32" i="34"/>
  <c r="F32" i="34"/>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J13" i="36"/>
  <c r="E89" i="37"/>
  <c r="F89" i="37" s="1"/>
  <c r="G89" i="37" s="1"/>
  <c r="H89" i="37" s="1"/>
  <c r="I89" i="37" s="1"/>
  <c r="J89" i="37" s="1"/>
  <c r="K89" i="37" s="1"/>
  <c r="L89" i="37" s="1"/>
  <c r="M89" i="37" s="1"/>
  <c r="J29" i="37"/>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c r="F40" i="37"/>
  <c r="AA40" i="37" s="1"/>
  <c r="AC12" i="40"/>
  <c r="H14" i="33"/>
  <c r="U14" i="33" s="1"/>
  <c r="F14" i="33"/>
  <c r="H30" i="33"/>
  <c r="AB30" i="33" s="1"/>
  <c r="F30" i="33"/>
  <c r="J30" i="33"/>
  <c r="H44" i="33"/>
  <c r="J44" i="33"/>
  <c r="W44" i="33" s="1"/>
  <c r="AC44" i="33"/>
  <c r="J46" i="33"/>
  <c r="AC46" i="33"/>
  <c r="F46" i="33"/>
  <c r="AA46" i="33" s="1"/>
  <c r="H46" i="33"/>
  <c r="AB46" i="33"/>
  <c r="H13" i="34"/>
  <c r="U13" i="34" s="1"/>
  <c r="J13" i="34"/>
  <c r="W13" i="34" s="1"/>
  <c r="F13" i="34"/>
  <c r="AA13" i="34" s="1"/>
  <c r="J29" i="34"/>
  <c r="F29" i="34"/>
  <c r="S29" i="34" s="1"/>
  <c r="H29" i="34"/>
  <c r="AB29" i="34" s="1"/>
  <c r="J31" i="34"/>
  <c r="AC31" i="34" s="1"/>
  <c r="F31" i="34"/>
  <c r="S31" i="34" s="1"/>
  <c r="H45" i="34"/>
  <c r="U45" i="34" s="1"/>
  <c r="J45" i="34"/>
  <c r="W45" i="34" s="1"/>
  <c r="F45" i="34"/>
  <c r="S45" i="34" s="1"/>
  <c r="H47" i="34"/>
  <c r="U47" i="34" s="1"/>
  <c r="F47" i="34"/>
  <c r="J47" i="34"/>
  <c r="F13" i="35"/>
  <c r="J13" i="35"/>
  <c r="AC13" i="35"/>
  <c r="H13" i="35"/>
  <c r="U13" i="35" s="1"/>
  <c r="W25" i="35"/>
  <c r="F25" i="35"/>
  <c r="S25" i="35" s="1"/>
  <c r="H25" i="35"/>
  <c r="AB25" i="35" s="1"/>
  <c r="J35" i="35"/>
  <c r="AC35" i="35" s="1"/>
  <c r="F35" i="35"/>
  <c r="AA35" i="35" s="1"/>
  <c r="H35" i="35"/>
  <c r="J25" i="36"/>
  <c r="W25" i="36"/>
  <c r="F25" i="36"/>
  <c r="S25" i="36" s="1"/>
  <c r="H25" i="36"/>
  <c r="AB25" i="36"/>
  <c r="H13" i="37"/>
  <c r="F13" i="37"/>
  <c r="S13" i="37" s="1"/>
  <c r="J13" i="37"/>
  <c r="W13" i="37" s="1"/>
  <c r="F28" i="37"/>
  <c r="AA28" i="37" s="1"/>
  <c r="J28" i="37"/>
  <c r="AC28" i="37" s="1"/>
  <c r="H28" i="37"/>
  <c r="H38" i="37"/>
  <c r="AB38" i="37" s="1"/>
  <c r="J38" i="37"/>
  <c r="AC38" i="37" s="1"/>
  <c r="F38" i="37"/>
  <c r="S38" i="37"/>
  <c r="F43" i="39"/>
  <c r="AA43" i="39" s="1"/>
  <c r="H43" i="39"/>
  <c r="J14" i="39"/>
  <c r="AC14" i="39" s="1"/>
  <c r="F14" i="39"/>
  <c r="H14" i="39"/>
  <c r="F12" i="40"/>
  <c r="S12" i="40" s="1"/>
  <c r="H12" i="40"/>
  <c r="AB12" i="40" s="1"/>
  <c r="H30" i="40"/>
  <c r="AB30" i="40"/>
  <c r="F33" i="40"/>
  <c r="AA33" i="40" s="1"/>
  <c r="H33" i="40"/>
  <c r="U33" i="40" s="1"/>
  <c r="J35" i="40"/>
  <c r="J37" i="40"/>
  <c r="AC37" i="40"/>
  <c r="H13" i="40"/>
  <c r="U13" i="40" s="1"/>
  <c r="J13" i="40"/>
  <c r="F13" i="40"/>
  <c r="AA13" i="40" s="1"/>
  <c r="F14" i="37"/>
  <c r="AA14" i="37" s="1"/>
  <c r="S14" i="37"/>
  <c r="F27" i="37"/>
  <c r="AA27" i="37" s="1"/>
  <c r="F13" i="39"/>
  <c r="J13" i="39"/>
  <c r="W13" i="39" s="1"/>
  <c r="H13" i="39"/>
  <c r="H14" i="40"/>
  <c r="AB14" i="40"/>
  <c r="J14" i="40"/>
  <c r="W14" i="40" s="1"/>
  <c r="F14" i="40"/>
  <c r="J14" i="37"/>
  <c r="J27" i="37"/>
  <c r="AC27" i="37" s="1"/>
  <c r="U46" i="33"/>
  <c r="J36" i="37"/>
  <c r="AC36" i="37" s="1"/>
  <c r="J10" i="36"/>
  <c r="AC10" i="36" s="1"/>
  <c r="S11" i="36"/>
  <c r="AB45" i="33"/>
  <c r="AC28" i="21"/>
  <c r="BA586" i="3"/>
  <c r="F17" i="21"/>
  <c r="AA17" i="21" s="1"/>
  <c r="H17" i="21"/>
  <c r="AB17" i="21" s="1"/>
  <c r="F15" i="21"/>
  <c r="S15" i="21" s="1"/>
  <c r="J41" i="39"/>
  <c r="W41" i="39" s="1"/>
  <c r="U36" i="39"/>
  <c r="S35" i="39"/>
  <c r="G540" i="3"/>
  <c r="G532" i="3"/>
  <c r="G531" i="3"/>
  <c r="G527" i="3"/>
  <c r="G523" i="3"/>
  <c r="G518" i="3"/>
  <c r="G510" i="3"/>
  <c r="G508" i="3"/>
  <c r="G504" i="3"/>
  <c r="G496" i="3"/>
  <c r="G584" i="3"/>
  <c r="G580" i="3"/>
  <c r="G576" i="3"/>
  <c r="G572" i="3"/>
  <c r="G568" i="3"/>
  <c r="G564" i="3"/>
  <c r="G554" i="3"/>
  <c r="BL584" i="3"/>
  <c r="BL576" i="3"/>
  <c r="BL572" i="3"/>
  <c r="BL568" i="3"/>
  <c r="BL560" i="3"/>
  <c r="BL554" i="3"/>
  <c r="BL538" i="3"/>
  <c r="BL530" i="3"/>
  <c r="BL516" i="3"/>
  <c r="BL502" i="3"/>
  <c r="BL494" i="3"/>
  <c r="BL578" i="3"/>
  <c r="BL574" i="3"/>
  <c r="BL570" i="3"/>
  <c r="BL562" i="3"/>
  <c r="BL556" i="3"/>
  <c r="BL552" i="3"/>
  <c r="BL536" i="3"/>
  <c r="G533" i="3"/>
  <c r="G529" i="3"/>
  <c r="G525" i="3"/>
  <c r="BL514" i="3"/>
  <c r="BL500" i="3"/>
  <c r="G493" i="3"/>
  <c r="BA582" i="3"/>
  <c r="BA580" i="3"/>
  <c r="BA578" i="3"/>
  <c r="BA574" i="3"/>
  <c r="BA572" i="3"/>
  <c r="AZ572" i="3" s="1"/>
  <c r="BA570" i="3"/>
  <c r="AZ570" i="3" s="1"/>
  <c r="BA566" i="3"/>
  <c r="BA564" i="3"/>
  <c r="BA562" i="3"/>
  <c r="BA558" i="3"/>
  <c r="BA556" i="3"/>
  <c r="AZ556" i="3" s="1"/>
  <c r="BA554" i="3"/>
  <c r="AZ554" i="3"/>
  <c r="BA552" i="3"/>
  <c r="BA548" i="3"/>
  <c r="BA532" i="3"/>
  <c r="BA528" i="3"/>
  <c r="BA524" i="3"/>
  <c r="BA518" i="3"/>
  <c r="BA512" i="3"/>
  <c r="BA510" i="3"/>
  <c r="AZ510" i="3" s="1"/>
  <c r="BA506" i="3"/>
  <c r="BA502" i="3"/>
  <c r="BA498" i="3"/>
  <c r="AZ498" i="3" s="1"/>
  <c r="BA494" i="3"/>
  <c r="BA583" i="3"/>
  <c r="BA581" i="3"/>
  <c r="BA579" i="3"/>
  <c r="BA575" i="3"/>
  <c r="BA573" i="3"/>
  <c r="BA571" i="3"/>
  <c r="BA567" i="3"/>
  <c r="BA565" i="3"/>
  <c r="BA563" i="3"/>
  <c r="BA559" i="3"/>
  <c r="BA555" i="3"/>
  <c r="BA553" i="3"/>
  <c r="BA547" i="3"/>
  <c r="BA543" i="3"/>
  <c r="BA537" i="3"/>
  <c r="BA531" i="3"/>
  <c r="BA527" i="3"/>
  <c r="BA519" i="3"/>
  <c r="BA513" i="3"/>
  <c r="BA507" i="3"/>
  <c r="BA501" i="3"/>
  <c r="BA495" i="3"/>
  <c r="G581" i="3"/>
  <c r="G579" i="3"/>
  <c r="G577" i="3"/>
  <c r="G573" i="3"/>
  <c r="G571" i="3"/>
  <c r="G569" i="3"/>
  <c r="G567" i="3"/>
  <c r="G565" i="3"/>
  <c r="G563" i="3"/>
  <c r="G561" i="3"/>
  <c r="BA557" i="3"/>
  <c r="AC557" i="3"/>
  <c r="G557" i="3" s="1"/>
  <c r="BQ557" i="3"/>
  <c r="BL557" i="3" s="1"/>
  <c r="BQ583" i="3"/>
  <c r="BQ581" i="3"/>
  <c r="BL581" i="3"/>
  <c r="BQ579" i="3"/>
  <c r="BQ577" i="3"/>
  <c r="BL577" i="3" s="1"/>
  <c r="BQ575" i="3"/>
  <c r="BL575" i="3"/>
  <c r="BQ573" i="3"/>
  <c r="BQ571" i="3"/>
  <c r="BL571" i="3" s="1"/>
  <c r="BQ569" i="3"/>
  <c r="BL569" i="3" s="1"/>
  <c r="BQ567" i="3"/>
  <c r="BL567" i="3"/>
  <c r="BQ565" i="3"/>
  <c r="BL565" i="3" s="1"/>
  <c r="AZ565" i="3"/>
  <c r="BQ563" i="3"/>
  <c r="BL563" i="3"/>
  <c r="BQ561" i="3"/>
  <c r="BL561" i="3"/>
  <c r="BQ559" i="3"/>
  <c r="G559" i="3"/>
  <c r="G555" i="3"/>
  <c r="G549" i="3"/>
  <c r="G547" i="3"/>
  <c r="G541" i="3"/>
  <c r="G539" i="3"/>
  <c r="G537" i="3"/>
  <c r="BQ555" i="3"/>
  <c r="BL555" i="3"/>
  <c r="BQ553" i="3"/>
  <c r="BL553" i="3" s="1"/>
  <c r="AZ553" i="3"/>
  <c r="BQ551" i="3"/>
  <c r="BL551" i="3"/>
  <c r="BQ549" i="3"/>
  <c r="BQ547" i="3"/>
  <c r="BQ545" i="3"/>
  <c r="BL545" i="3"/>
  <c r="BQ543" i="3"/>
  <c r="BQ541" i="3"/>
  <c r="BL541" i="3"/>
  <c r="BQ539" i="3"/>
  <c r="BQ537" i="3"/>
  <c r="BQ535" i="3"/>
  <c r="BQ533" i="3"/>
  <c r="BQ531" i="3"/>
  <c r="BQ529" i="3"/>
  <c r="BL529" i="3"/>
  <c r="BQ527" i="3"/>
  <c r="BQ525" i="3"/>
  <c r="BQ523" i="3"/>
  <c r="BL523" i="3" s="1"/>
  <c r="AC521" i="3"/>
  <c r="G521" i="3"/>
  <c r="BQ521" i="3"/>
  <c r="BL520" i="3"/>
  <c r="G519" i="3"/>
  <c r="G517" i="3"/>
  <c r="G515" i="3"/>
  <c r="G511" i="3"/>
  <c r="BQ519" i="3"/>
  <c r="BQ517" i="3"/>
  <c r="BQ515" i="3"/>
  <c r="BL515" i="3" s="1"/>
  <c r="BQ513" i="3"/>
  <c r="BL513" i="3"/>
  <c r="BQ511" i="3"/>
  <c r="BA509" i="3"/>
  <c r="AC509" i="3"/>
  <c r="BQ509" i="3"/>
  <c r="BL508" i="3"/>
  <c r="G505" i="3"/>
  <c r="G503" i="3"/>
  <c r="G499" i="3"/>
  <c r="G497" i="3"/>
  <c r="G495" i="3"/>
  <c r="BQ507" i="3"/>
  <c r="BQ505" i="3"/>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J41" i="34"/>
  <c r="AC41" i="34" s="1"/>
  <c r="F10" i="35"/>
  <c r="S10" i="35" s="1"/>
  <c r="F24" i="35"/>
  <c r="AA24" i="35"/>
  <c r="H24" i="35"/>
  <c r="AB24" i="35" s="1"/>
  <c r="H23" i="37"/>
  <c r="AB23" i="37" s="1"/>
  <c r="J32" i="37"/>
  <c r="AC32" i="37" s="1"/>
  <c r="F36" i="37"/>
  <c r="AA36" i="37"/>
  <c r="F37" i="37"/>
  <c r="F31" i="40"/>
  <c r="AA31" i="40" s="1"/>
  <c r="H31" i="40"/>
  <c r="U31" i="40" s="1"/>
  <c r="F32" i="40"/>
  <c r="S32" i="40"/>
  <c r="H32" i="40"/>
  <c r="AB32" i="40" s="1"/>
  <c r="J36" i="40"/>
  <c r="W36" i="40" s="1"/>
  <c r="H19" i="37"/>
  <c r="AB19" i="37" s="1"/>
  <c r="H42" i="33"/>
  <c r="AB42" i="33" s="1"/>
  <c r="J43" i="33"/>
  <c r="AC43" i="33" s="1"/>
  <c r="S28" i="31"/>
  <c r="S27" i="31"/>
  <c r="S26" i="31"/>
  <c r="U14" i="40"/>
  <c r="W23" i="35"/>
  <c r="U26" i="37"/>
  <c r="AA13" i="33"/>
  <c r="AC45" i="33"/>
  <c r="U11" i="33"/>
  <c r="U19" i="21"/>
  <c r="W44" i="21"/>
  <c r="AB38" i="21"/>
  <c r="F43" i="33"/>
  <c r="AA43" i="33"/>
  <c r="W15" i="34"/>
  <c r="W16" i="35"/>
  <c r="W40" i="37"/>
  <c r="H37" i="21"/>
  <c r="U37" i="21" s="1"/>
  <c r="S42" i="21"/>
  <c r="H19" i="34"/>
  <c r="AB19" i="34" s="1"/>
  <c r="J9" i="37"/>
  <c r="W9" i="37" s="1"/>
  <c r="H9" i="37"/>
  <c r="U9" i="37" s="1"/>
  <c r="F9" i="37"/>
  <c r="S9"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19" i="40"/>
  <c r="F88" i="40"/>
  <c r="G88" i="40" s="1"/>
  <c r="F19"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4" i="52"/>
  <c r="B41" i="72" s="1"/>
  <c r="J11" i="39"/>
  <c r="W11" i="39"/>
  <c r="F11" i="39"/>
  <c r="G4" i="4"/>
  <c r="I4" i="4"/>
  <c r="A2" i="9"/>
  <c r="F61" i="43"/>
  <c r="H64" i="43" s="1"/>
  <c r="BL549"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AZ120" i="3" s="1"/>
  <c r="G121" i="3"/>
  <c r="BA123" i="3"/>
  <c r="AZ123" i="3" s="1"/>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67" i="3"/>
  <c r="AZ168" i="3"/>
  <c r="AZ184" i="3"/>
  <c r="AZ97" i="3"/>
  <c r="AZ128" i="3"/>
  <c r="G534" i="3"/>
  <c r="G530" i="3"/>
  <c r="G522" i="3"/>
  <c r="G516" i="3"/>
  <c r="G512"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BL342" i="3"/>
  <c r="AZ342" i="3"/>
  <c r="BA344" i="3"/>
  <c r="AZ344" i="3" s="1"/>
  <c r="BL344" i="3"/>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AZ371" i="3" s="1"/>
  <c r="BA372" i="3"/>
  <c r="AZ372" i="3" s="1"/>
  <c r="BL372" i="3"/>
  <c r="G373" i="3"/>
  <c r="G376" i="3"/>
  <c r="BL377" i="3"/>
  <c r="AZ377" i="3" s="1"/>
  <c r="BL379" i="3"/>
  <c r="BA381" i="3"/>
  <c r="AZ381" i="3" s="1"/>
  <c r="BA382" i="3"/>
  <c r="BL382" i="3"/>
  <c r="G383" i="3"/>
  <c r="G386" i="3"/>
  <c r="BL387" i="3"/>
  <c r="BA389" i="3"/>
  <c r="AZ389" i="3" s="1"/>
  <c r="BA390" i="3"/>
  <c r="BL390" i="3"/>
  <c r="G391" i="3"/>
  <c r="G394" i="3"/>
  <c r="AZ146"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AZ327" i="3" s="1"/>
  <c r="G328" i="3"/>
  <c r="BA330" i="3"/>
  <c r="BL331" i="3"/>
  <c r="AZ331" i="3" s="1"/>
  <c r="G332" i="3"/>
  <c r="BA334" i="3"/>
  <c r="AZ334" i="3" s="1"/>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BL362" i="3"/>
  <c r="AZ362" i="3" s="1"/>
  <c r="G363" i="3"/>
  <c r="BA365" i="3"/>
  <c r="BL366" i="3"/>
  <c r="AZ366" i="3" s="1"/>
  <c r="G367" i="3"/>
  <c r="BA369" i="3"/>
  <c r="AZ369" i="3"/>
  <c r="BL370" i="3"/>
  <c r="G371" i="3"/>
  <c r="BA373" i="3"/>
  <c r="AZ373" i="3"/>
  <c r="BL374" i="3"/>
  <c r="G375" i="3"/>
  <c r="BA377" i="3"/>
  <c r="AZ241" i="3"/>
  <c r="BA379" i="3"/>
  <c r="AZ379" i="3" s="1"/>
  <c r="BL380" i="3"/>
  <c r="G381" i="3"/>
  <c r="BA383" i="3"/>
  <c r="AZ383" i="3" s="1"/>
  <c r="BL384" i="3"/>
  <c r="G385" i="3"/>
  <c r="BA387" i="3"/>
  <c r="BL388" i="3"/>
  <c r="G389" i="3"/>
  <c r="BA391" i="3"/>
  <c r="BL392" i="3"/>
  <c r="G393" i="3"/>
  <c r="AZ283" i="3"/>
  <c r="BM5" i="3"/>
  <c r="BH5" i="3"/>
  <c r="BD5" i="3"/>
  <c r="AZ325" i="3"/>
  <c r="G548" i="3"/>
  <c r="G538" i="3"/>
  <c r="G520" i="3"/>
  <c r="G502" i="3"/>
  <c r="BS5" i="3"/>
  <c r="BK5" i="3"/>
  <c r="BI5" i="3"/>
  <c r="BE5" i="3"/>
  <c r="G17" i="3"/>
  <c r="BA17" i="3"/>
  <c r="BT5" i="3"/>
  <c r="AZ350" i="3"/>
  <c r="AZ356" i="3"/>
  <c r="BA15" i="3"/>
  <c r="AZ15" i="3" s="1"/>
  <c r="BB5" i="3"/>
  <c r="BR5" i="3"/>
  <c r="AZ392" i="3"/>
  <c r="G509" i="3"/>
  <c r="BL493" i="3"/>
  <c r="AZ493" i="3" s="1"/>
  <c r="U36" i="40"/>
  <c r="F83" i="43"/>
  <c r="H85" i="43" s="1"/>
  <c r="F50" i="43"/>
  <c r="H54" i="43" s="1"/>
  <c r="F72" i="43"/>
  <c r="H75" i="43" s="1"/>
  <c r="U17" i="39"/>
  <c r="S14" i="35"/>
  <c r="U43" i="21"/>
  <c r="U35" i="21"/>
  <c r="AC35" i="21"/>
  <c r="AC11" i="39"/>
  <c r="AZ563" i="3"/>
  <c r="AZ501" i="3"/>
  <c r="W37" i="37"/>
  <c r="S15" i="37"/>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S20" i="35" s="1"/>
  <c r="AB23" i="35"/>
  <c r="AB29" i="36"/>
  <c r="U29" i="36"/>
  <c r="H32" i="37"/>
  <c r="AB32" i="37" s="1"/>
  <c r="F96" i="37"/>
  <c r="H27" i="40"/>
  <c r="U27" i="40"/>
  <c r="J27" i="40"/>
  <c r="AC27" i="40" s="1"/>
  <c r="F27" i="40"/>
  <c r="S27" i="40"/>
  <c r="J30" i="40"/>
  <c r="AC30" i="40" s="1"/>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280" i="3"/>
  <c r="AZ82"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B33" i="36"/>
  <c r="U33" i="36"/>
  <c r="AC12" i="39"/>
  <c r="AC39" i="40"/>
  <c r="W39" i="40"/>
  <c r="AZ433" i="3"/>
  <c r="AZ465" i="3"/>
  <c r="W12" i="33"/>
  <c r="AC12" i="33"/>
  <c r="AA32" i="36"/>
  <c r="S32" i="36"/>
  <c r="BL14" i="3"/>
  <c r="U30" i="33"/>
  <c r="AC13" i="34"/>
  <c r="W28" i="37"/>
  <c r="S19" i="39"/>
  <c r="F12" i="33"/>
  <c r="H12" i="39"/>
  <c r="AB12" i="39"/>
  <c r="F39" i="40"/>
  <c r="BA14" i="3"/>
  <c r="AZ254" i="3"/>
  <c r="AZ189" i="3"/>
  <c r="B12" i="1"/>
  <c r="E12" i="1" s="1"/>
  <c r="B10" i="1"/>
  <c r="E10" i="1" s="1"/>
  <c r="K12" i="1"/>
  <c r="M12" i="1" s="1"/>
  <c r="S13" i="1"/>
  <c r="AR13" i="1" s="1"/>
  <c r="R13" i="1"/>
  <c r="J51" i="67"/>
  <c r="C42" i="1"/>
  <c r="C24" i="12" s="1"/>
  <c r="B41" i="1"/>
  <c r="F48" i="9" s="1"/>
  <c r="O52" i="9" s="1"/>
  <c r="S35" i="40"/>
  <c r="U35" i="40"/>
  <c r="AC36" i="40"/>
  <c r="W38" i="40"/>
  <c r="AA32" i="40"/>
  <c r="S17" i="40"/>
  <c r="S23" i="40"/>
  <c r="AC17" i="40"/>
  <c r="AC15" i="40"/>
  <c r="AB27" i="40"/>
  <c r="S30" i="40"/>
  <c r="S28" i="40"/>
  <c r="AA27" i="40"/>
  <c r="U21" i="40"/>
  <c r="S43" i="39"/>
  <c r="S37" i="39"/>
  <c r="F32" i="39"/>
  <c r="S32" i="39" s="1"/>
  <c r="F106" i="39"/>
  <c r="G106" i="39" s="1"/>
  <c r="H106" i="39" s="1"/>
  <c r="I106" i="39" s="1"/>
  <c r="J106" i="39" s="1"/>
  <c r="K106" i="39" s="1"/>
  <c r="L106" i="39" s="1"/>
  <c r="M106" i="39" s="1"/>
  <c r="U25" i="39"/>
  <c r="AB27" i="39"/>
  <c r="U31" i="39"/>
  <c r="J21" i="39"/>
  <c r="W21" i="39" s="1"/>
  <c r="F21" i="39"/>
  <c r="S21" i="39" s="1"/>
  <c r="H21" i="39"/>
  <c r="W19" i="39"/>
  <c r="U19" i="39"/>
  <c r="S17" i="39"/>
  <c r="S15" i="39"/>
  <c r="AA12" i="39"/>
  <c r="S9" i="39"/>
  <c r="AC13" i="39"/>
  <c r="U12" i="39"/>
  <c r="S23" i="36"/>
  <c r="U26" i="36"/>
  <c r="S33" i="36"/>
  <c r="AA26" i="36"/>
  <c r="AC26" i="36"/>
  <c r="AA22" i="36"/>
  <c r="W14" i="36"/>
  <c r="U22" i="36"/>
  <c r="S16" i="36"/>
  <c r="AA25" i="36"/>
  <c r="U23" i="36"/>
  <c r="S14" i="36"/>
  <c r="AA25" i="35"/>
  <c r="S23" i="35"/>
  <c r="W24" i="35"/>
  <c r="AB13" i="35"/>
  <c r="U29" i="35"/>
  <c r="U28" i="35"/>
  <c r="AB27" i="35"/>
  <c r="U32" i="35"/>
  <c r="AA33" i="35"/>
  <c r="S32" i="35"/>
  <c r="S28" i="35"/>
  <c r="U22" i="35"/>
  <c r="AC20" i="35"/>
  <c r="S22" i="35"/>
  <c r="U14" i="35"/>
  <c r="AA11" i="35"/>
  <c r="AC9" i="35"/>
  <c r="W13" i="35"/>
  <c r="F9" i="35"/>
  <c r="S9" i="35" s="1"/>
  <c r="H9" i="35"/>
  <c r="U9" i="35" s="1"/>
  <c r="AB40" i="37"/>
  <c r="W27" i="37"/>
  <c r="U29" i="37"/>
  <c r="S32" i="37"/>
  <c r="AB31" i="37"/>
  <c r="W30" i="37"/>
  <c r="S36" i="37"/>
  <c r="AA38" i="37"/>
  <c r="U32" i="37"/>
  <c r="W38" i="37"/>
  <c r="AC35" i="37"/>
  <c r="S30" i="37"/>
  <c r="AC15" i="37"/>
  <c r="J17" i="37"/>
  <c r="W17" i="37"/>
  <c r="F17" i="37"/>
  <c r="AA17" i="37" s="1"/>
  <c r="AB17" i="37"/>
  <c r="F75" i="37"/>
  <c r="F19" i="37"/>
  <c r="S19" i="37" s="1"/>
  <c r="F79" i="37"/>
  <c r="G79" i="37" s="1"/>
  <c r="F23" i="37"/>
  <c r="S23" i="37" s="1"/>
  <c r="U23" i="37"/>
  <c r="AC13" i="37"/>
  <c r="AA13" i="37"/>
  <c r="H10" i="37"/>
  <c r="AB10" i="37" s="1"/>
  <c r="F63" i="37"/>
  <c r="F11" i="37"/>
  <c r="S11" i="37" s="1"/>
  <c r="W25" i="34"/>
  <c r="AB8" i="34"/>
  <c r="T49" i="34" s="1"/>
  <c r="U43" i="34"/>
  <c r="AC42" i="34"/>
  <c r="AA25" i="34"/>
  <c r="U28" i="34"/>
  <c r="AA29" i="34"/>
  <c r="H10" i="34"/>
  <c r="AB10" i="34" s="1"/>
  <c r="F11" i="34"/>
  <c r="S11" i="34" s="1"/>
  <c r="W42" i="33"/>
  <c r="AA35" i="33"/>
  <c r="S27"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F19" i="6" s="1"/>
  <c r="BA13" i="3"/>
  <c r="BL17" i="3"/>
  <c r="AZ17" i="3"/>
  <c r="BL13" i="3"/>
  <c r="J56" i="9"/>
  <c r="J57" i="9" s="1"/>
  <c r="J59" i="9" s="1"/>
  <c r="J61" i="9" s="1"/>
  <c r="A24" i="51"/>
  <c r="B18" i="72"/>
  <c r="U29" i="34"/>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A31" i="34"/>
  <c r="AA30" i="34"/>
  <c r="AB47" i="34"/>
  <c r="AC14" i="34"/>
  <c r="AC32" i="34"/>
  <c r="AC29" i="34"/>
  <c r="W29" i="34"/>
  <c r="W46" i="34"/>
  <c r="AC46" i="34"/>
  <c r="S32" i="34"/>
  <c r="AA32" i="34"/>
  <c r="U30" i="34"/>
  <c r="AB30" i="34"/>
  <c r="S37" i="34"/>
  <c r="AC40" i="34"/>
  <c r="W40" i="34"/>
  <c r="AA19" i="34"/>
  <c r="S36" i="34"/>
  <c r="S46" i="34"/>
  <c r="AA46" i="34"/>
  <c r="U32" i="34"/>
  <c r="AB32"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U13" i="21"/>
  <c r="AB13" i="21"/>
  <c r="S35" i="21"/>
  <c r="J37" i="21"/>
  <c r="W37" i="21" s="1"/>
  <c r="H15" i="21"/>
  <c r="U15" i="21" s="1"/>
  <c r="J17" i="21"/>
  <c r="AC17" i="21" s="1"/>
  <c r="AC19" i="21"/>
  <c r="W39"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F30" i="11"/>
  <c r="C48" i="11" s="1"/>
  <c r="F28" i="67"/>
  <c r="F31" i="12"/>
  <c r="M18" i="67"/>
  <c r="F32" i="67"/>
  <c r="F60" i="67" s="1"/>
  <c r="F30" i="69"/>
  <c r="F48" i="69" s="1"/>
  <c r="M18" i="15"/>
  <c r="F28" i="15"/>
  <c r="AA39" i="40"/>
  <c r="S39" i="40"/>
  <c r="S12" i="33"/>
  <c r="AA12" i="33"/>
  <c r="D68" i="9"/>
  <c r="J32" i="39"/>
  <c r="W32" i="39" s="1"/>
  <c r="H32" i="39"/>
  <c r="AB32" i="39" s="1"/>
  <c r="AA32" i="39"/>
  <c r="AB21" i="39"/>
  <c r="U21" i="39"/>
  <c r="AA21" i="39"/>
  <c r="AC17" i="37"/>
  <c r="S17" i="37"/>
  <c r="J19" i="37"/>
  <c r="W19" i="37" s="1"/>
  <c r="G75" i="37"/>
  <c r="AA19" i="37"/>
  <c r="AA23" i="37"/>
  <c r="J23" i="37"/>
  <c r="W23" i="37" s="1"/>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AB25" i="33"/>
  <c r="S25" i="33"/>
  <c r="AA25" i="33"/>
  <c r="J25" i="33"/>
  <c r="AC25" i="33" s="1"/>
  <c r="U23" i="33"/>
  <c r="F23" i="33"/>
  <c r="G85" i="33"/>
  <c r="H19" i="33"/>
  <c r="AB19" i="33" s="1"/>
  <c r="G81" i="33"/>
  <c r="H17" i="33"/>
  <c r="U17" i="33" s="1"/>
  <c r="F17" i="33"/>
  <c r="S17" i="33" s="1"/>
  <c r="W17" i="33"/>
  <c r="AC17" i="33"/>
  <c r="S37" i="21"/>
  <c r="AB15" i="21"/>
  <c r="J23" i="21"/>
  <c r="AC23" i="21" s="1"/>
  <c r="F85" i="21"/>
  <c r="G85" i="21" s="1"/>
  <c r="H23" i="21"/>
  <c r="S13" i="21"/>
  <c r="D6" i="52"/>
  <c r="AP7" i="1"/>
  <c r="AB9" i="21"/>
  <c r="U9" i="21"/>
  <c r="AA32" i="21"/>
  <c r="W9" i="21"/>
  <c r="AC9" i="21"/>
  <c r="AB32" i="21"/>
  <c r="A18" i="62"/>
  <c r="B64" i="72" s="1"/>
  <c r="U32" i="39"/>
  <c r="AC32" i="39"/>
  <c r="J63" i="37"/>
  <c r="K63" i="37" s="1"/>
  <c r="L63" i="37" s="1"/>
  <c r="M63" i="37" s="1"/>
  <c r="J11" i="37"/>
  <c r="AC11" i="37" s="1"/>
  <c r="H70" i="34"/>
  <c r="I70" i="34" s="1"/>
  <c r="J70" i="34" s="1"/>
  <c r="K70" i="34"/>
  <c r="L70" i="34" s="1"/>
  <c r="M70" i="34" s="1"/>
  <c r="J11" i="34"/>
  <c r="W11" i="34" s="1"/>
  <c r="W25" i="33"/>
  <c r="AA17" i="33"/>
  <c r="U23" i="21"/>
  <c r="AB23" i="21"/>
  <c r="W23" i="21"/>
  <c r="H109" i="9"/>
  <c r="M49" i="9" s="1"/>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D6" i="73"/>
  <c r="M24" i="15"/>
  <c r="F37" i="15"/>
  <c r="E7" i="76"/>
  <c r="M6" i="15"/>
  <c r="F7" i="15"/>
  <c r="C20" i="9"/>
  <c r="E11" i="76"/>
  <c r="F3" i="73"/>
  <c r="E13" i="76"/>
  <c r="B9" i="76"/>
  <c r="F36" i="15"/>
  <c r="F43" i="15"/>
  <c r="F4" i="73"/>
  <c r="F5" i="73"/>
  <c r="D34" i="9"/>
  <c r="C19" i="9"/>
  <c r="F7" i="73"/>
  <c r="F8" i="15"/>
  <c r="E8" i="76"/>
  <c r="F9" i="15"/>
  <c r="B12" i="76"/>
  <c r="B11" i="76"/>
  <c r="F26" i="15"/>
  <c r="AO13" i="1"/>
  <c r="L48" i="15"/>
  <c r="M29" i="15"/>
  <c r="F6" i="73"/>
  <c r="F13" i="15"/>
  <c r="B8" i="76"/>
  <c r="B13" i="76"/>
  <c r="D35" i="9"/>
  <c r="F20" i="31"/>
  <c r="B7" i="76"/>
  <c r="D19" i="9"/>
  <c r="E9" i="76"/>
  <c r="M8" i="15"/>
  <c r="D20" i="9"/>
  <c r="E2" i="68"/>
  <c r="J15" i="15"/>
  <c r="M26" i="15"/>
  <c r="E12" i="76"/>
  <c r="B10" i="76"/>
  <c r="F38" i="15"/>
  <c r="E10" i="76"/>
  <c r="L47" i="15"/>
  <c r="E2" i="69"/>
  <c r="C34" i="34" l="1"/>
  <c r="B14" i="74"/>
  <c r="K6" i="1"/>
  <c r="AP6" i="1" s="1"/>
  <c r="C36" i="69" s="1"/>
  <c r="A118" i="9"/>
  <c r="W33" i="34"/>
  <c r="AB14" i="34"/>
  <c r="S13" i="34"/>
  <c r="AC12" i="34"/>
  <c r="AC43" i="34"/>
  <c r="W41" i="34"/>
  <c r="S35" i="34"/>
  <c r="AB35" i="34"/>
  <c r="U38" i="34"/>
  <c r="AA38" i="34"/>
  <c r="AC27" i="34"/>
  <c r="AC23" i="34"/>
  <c r="S23" i="34"/>
  <c r="U19" i="34"/>
  <c r="W19" i="34"/>
  <c r="AC45" i="34"/>
  <c r="AA45" i="34"/>
  <c r="AB45" i="34"/>
  <c r="W35" i="34"/>
  <c r="AC44" i="34"/>
  <c r="AA44" i="34"/>
  <c r="S43" i="34"/>
  <c r="AA40" i="34"/>
  <c r="U39" i="34"/>
  <c r="AC39" i="34"/>
  <c r="AB36" i="34"/>
  <c r="W36" i="34"/>
  <c r="AA33" i="34"/>
  <c r="AB33" i="34"/>
  <c r="U27" i="34"/>
  <c r="U25" i="34"/>
  <c r="U23" i="34"/>
  <c r="S17" i="34"/>
  <c r="AC17" i="34"/>
  <c r="AB17" i="34"/>
  <c r="H9" i="34"/>
  <c r="J9" i="34"/>
  <c r="AC9" i="34" s="1"/>
  <c r="S8" i="34"/>
  <c r="W8" i="34"/>
  <c r="G1" i="67"/>
  <c r="G1" i="69"/>
  <c r="K1" i="12"/>
  <c r="C21" i="68"/>
  <c r="C40" i="68"/>
  <c r="D22" i="15"/>
  <c r="S23" i="21"/>
  <c r="W15" i="21"/>
  <c r="AA20" i="35"/>
  <c r="AZ391" i="3"/>
  <c r="U19" i="40"/>
  <c r="AB19" i="40"/>
  <c r="U41" i="34"/>
  <c r="AB41" i="34"/>
  <c r="AZ502" i="3"/>
  <c r="W31" i="34"/>
  <c r="U19" i="33"/>
  <c r="AC27" i="33"/>
  <c r="AC23" i="37"/>
  <c r="S25" i="21"/>
  <c r="AA25" i="21"/>
  <c r="AZ494" i="3"/>
  <c r="AZ528" i="3"/>
  <c r="S14" i="33"/>
  <c r="AA14" i="33"/>
  <c r="W31" i="33"/>
  <c r="AC31" i="33"/>
  <c r="AB35" i="39"/>
  <c r="U35" i="39"/>
  <c r="H44" i="39"/>
  <c r="J44" i="39"/>
  <c r="F44" i="39"/>
  <c r="U39" i="40"/>
  <c r="AB39" i="40"/>
  <c r="AB38" i="40"/>
  <c r="U38" i="40"/>
  <c r="U42" i="34"/>
  <c r="AB42" i="34"/>
  <c r="BL550" i="3"/>
  <c r="BA549" i="3"/>
  <c r="AZ549" i="3" s="1"/>
  <c r="BL546" i="3"/>
  <c r="BA546" i="3"/>
  <c r="AZ546" i="3" s="1"/>
  <c r="BA545" i="3"/>
  <c r="BL544" i="3"/>
  <c r="AZ544" i="3" s="1"/>
  <c r="BL542" i="3"/>
  <c r="BA542" i="3"/>
  <c r="AZ542" i="3" s="1"/>
  <c r="BA541" i="3"/>
  <c r="AZ541" i="3" s="1"/>
  <c r="BL540" i="3"/>
  <c r="AZ540" i="3" s="1"/>
  <c r="BA540" i="3"/>
  <c r="BA539" i="3"/>
  <c r="BA538" i="3"/>
  <c r="AZ538" i="3" s="1"/>
  <c r="BL537" i="3"/>
  <c r="BA536" i="3"/>
  <c r="AZ536" i="3" s="1"/>
  <c r="BA535" i="3"/>
  <c r="BL534" i="3"/>
  <c r="BA534" i="3"/>
  <c r="BL533" i="3"/>
  <c r="BA533" i="3"/>
  <c r="BL532" i="3"/>
  <c r="AZ532" i="3" s="1"/>
  <c r="BA530" i="3"/>
  <c r="AZ530" i="3" s="1"/>
  <c r="BA529" i="3"/>
  <c r="AZ529" i="3" s="1"/>
  <c r="BL528" i="3"/>
  <c r="BL526" i="3"/>
  <c r="BA526" i="3"/>
  <c r="BL525" i="3"/>
  <c r="BA525" i="3"/>
  <c r="BL524" i="3"/>
  <c r="AZ524" i="3" s="1"/>
  <c r="BA523" i="3"/>
  <c r="BL522" i="3"/>
  <c r="BA522" i="3"/>
  <c r="AZ522" i="3" s="1"/>
  <c r="BL521" i="3"/>
  <c r="AZ521" i="3" s="1"/>
  <c r="BA521" i="3"/>
  <c r="BA520" i="3"/>
  <c r="AZ520" i="3" s="1"/>
  <c r="BL518" i="3"/>
  <c r="BC5" i="3"/>
  <c r="BL517" i="3"/>
  <c r="BA517" i="3"/>
  <c r="BA516" i="3"/>
  <c r="AZ516" i="3" s="1"/>
  <c r="BA515" i="3"/>
  <c r="AZ515" i="3" s="1"/>
  <c r="BA514" i="3"/>
  <c r="AZ514" i="3" s="1"/>
  <c r="BL512" i="3"/>
  <c r="BL509" i="3"/>
  <c r="AZ509" i="3" s="1"/>
  <c r="BJ5" i="3"/>
  <c r="BN5" i="3"/>
  <c r="AZ508" i="3"/>
  <c r="BL505" i="3"/>
  <c r="AZ504" i="3"/>
  <c r="AZ503" i="3"/>
  <c r="AZ500" i="3"/>
  <c r="H5" i="3"/>
  <c r="BL497" i="3"/>
  <c r="AB36" i="33"/>
  <c r="AB45" i="21"/>
  <c r="AA19" i="33"/>
  <c r="F54" i="9"/>
  <c r="F32" i="15"/>
  <c r="F60" i="15" s="1"/>
  <c r="F52" i="9"/>
  <c r="F30" i="68"/>
  <c r="F48" i="68" s="1"/>
  <c r="U37" i="39"/>
  <c r="AA34" i="33"/>
  <c r="AZ14" i="3"/>
  <c r="U12" i="40"/>
  <c r="AZ311" i="3"/>
  <c r="S11" i="39"/>
  <c r="AA11" i="39"/>
  <c r="S19" i="40"/>
  <c r="AA19" i="40"/>
  <c r="AZ523" i="3"/>
  <c r="BL547" i="3"/>
  <c r="AZ547" i="3" s="1"/>
  <c r="AZ513" i="3"/>
  <c r="AZ537" i="3"/>
  <c r="AZ512" i="3"/>
  <c r="AZ574" i="3"/>
  <c r="AB46" i="34"/>
  <c r="W13" i="40"/>
  <c r="AC13" i="40"/>
  <c r="AC35" i="40"/>
  <c r="W35" i="40"/>
  <c r="U13" i="36"/>
  <c r="AB13" i="36"/>
  <c r="S41" i="33"/>
  <c r="AA41" i="33"/>
  <c r="AA45" i="33"/>
  <c r="S45" i="33"/>
  <c r="J24" i="36"/>
  <c r="H24" i="36"/>
  <c r="F24" i="36"/>
  <c r="AB20" i="36"/>
  <c r="AC34" i="33"/>
  <c r="AZ518" i="3"/>
  <c r="AA14" i="40"/>
  <c r="S14" i="40"/>
  <c r="AB13" i="37"/>
  <c r="U13" i="37"/>
  <c r="W47" i="34"/>
  <c r="AC47" i="34"/>
  <c r="W29" i="37"/>
  <c r="AC29" i="37"/>
  <c r="S34" i="36"/>
  <c r="AA34" i="36"/>
  <c r="S36" i="39"/>
  <c r="AA36" i="39"/>
  <c r="BA587" i="3"/>
  <c r="BA585" i="3"/>
  <c r="B97" i="43"/>
  <c r="B75" i="43"/>
  <c r="AA38" i="33"/>
  <c r="S38" i="33"/>
  <c r="J26" i="33"/>
  <c r="F26" i="33"/>
  <c r="H26" i="33"/>
  <c r="AZ387" i="3"/>
  <c r="AZ390" i="3"/>
  <c r="AZ351" i="3"/>
  <c r="AZ329" i="3"/>
  <c r="BL535" i="3"/>
  <c r="AZ535" i="3" s="1"/>
  <c r="AZ557" i="3"/>
  <c r="AZ575" i="3"/>
  <c r="AZ582" i="3"/>
  <c r="AB14" i="39"/>
  <c r="U14" i="39"/>
  <c r="S14" i="34"/>
  <c r="AA14" i="34"/>
  <c r="AB15" i="34"/>
  <c r="U15" i="34"/>
  <c r="AA11" i="40"/>
  <c r="S11" i="40"/>
  <c r="S44" i="33"/>
  <c r="AA44" i="33"/>
  <c r="J12" i="36"/>
  <c r="F12" i="36"/>
  <c r="H12" i="36"/>
  <c r="AA31" i="35"/>
  <c r="S31" i="35"/>
  <c r="BA584" i="3"/>
  <c r="AZ584" i="3" s="1"/>
  <c r="BL582" i="3"/>
  <c r="G582" i="3"/>
  <c r="BL506" i="3"/>
  <c r="AZ506" i="3" s="1"/>
  <c r="BA505" i="3"/>
  <c r="BL504" i="3"/>
  <c r="BL499" i="3"/>
  <c r="AZ499" i="3" s="1"/>
  <c r="BA497" i="3"/>
  <c r="AZ497" i="3" s="1"/>
  <c r="BP5" i="3"/>
  <c r="BG5" i="3"/>
  <c r="BL495" i="3"/>
  <c r="BO5" i="3"/>
  <c r="F29" i="6" s="1"/>
  <c r="BF5" i="3"/>
  <c r="AC5" i="3"/>
  <c r="AZ370" i="3"/>
  <c r="AZ306" i="3"/>
  <c r="AA37" i="37"/>
  <c r="S37" i="37"/>
  <c r="BL511" i="3"/>
  <c r="AZ511" i="3" s="1"/>
  <c r="BL527" i="3"/>
  <c r="AZ527" i="3" s="1"/>
  <c r="BL539" i="3"/>
  <c r="AZ539" i="3" s="1"/>
  <c r="BL543" i="3"/>
  <c r="AZ543" i="3" s="1"/>
  <c r="AZ571" i="3"/>
  <c r="AZ552" i="3"/>
  <c r="AZ566" i="3"/>
  <c r="BL496" i="3"/>
  <c r="AZ496" i="3" s="1"/>
  <c r="AB30" i="21"/>
  <c r="S47" i="34"/>
  <c r="AA47" i="34"/>
  <c r="AB16" i="36"/>
  <c r="W39" i="33"/>
  <c r="H14" i="21"/>
  <c r="J14" i="21"/>
  <c r="F30" i="21"/>
  <c r="J30" i="21"/>
  <c r="H36" i="35"/>
  <c r="F36" i="35"/>
  <c r="J36" i="35"/>
  <c r="AC36" i="35" s="1"/>
  <c r="H34" i="36"/>
  <c r="J34" i="36"/>
  <c r="W34" i="36" s="1"/>
  <c r="J39" i="37"/>
  <c r="H39" i="37"/>
  <c r="F39" i="37"/>
  <c r="S39" i="37" s="1"/>
  <c r="W33" i="40"/>
  <c r="AC33" i="40"/>
  <c r="BA569" i="3"/>
  <c r="AZ569" i="3" s="1"/>
  <c r="BA568" i="3"/>
  <c r="AZ568" i="3" s="1"/>
  <c r="BL566" i="3"/>
  <c r="BL564" i="3"/>
  <c r="AZ564" i="3" s="1"/>
  <c r="BA561" i="3"/>
  <c r="AZ561" i="3" s="1"/>
  <c r="BA560" i="3"/>
  <c r="AZ560" i="3" s="1"/>
  <c r="BL558" i="3"/>
  <c r="AZ558" i="3" s="1"/>
  <c r="G552" i="3"/>
  <c r="AZ451" i="3"/>
  <c r="AB35" i="33"/>
  <c r="U35" i="33"/>
  <c r="AC28" i="36"/>
  <c r="W28" i="36"/>
  <c r="AB15" i="37"/>
  <c r="U15" i="37"/>
  <c r="AB9" i="40"/>
  <c r="U9" i="40"/>
  <c r="AC31" i="40"/>
  <c r="W31" i="40"/>
  <c r="BL580" i="3"/>
  <c r="AZ580" i="3" s="1"/>
  <c r="BL579" i="3"/>
  <c r="AZ579" i="3" s="1"/>
  <c r="BA577" i="3"/>
  <c r="AZ577" i="3" s="1"/>
  <c r="BA576" i="3"/>
  <c r="AZ576" i="3" s="1"/>
  <c r="BL587" i="3"/>
  <c r="BL586" i="3"/>
  <c r="AZ586" i="3" s="1"/>
  <c r="G574" i="3"/>
  <c r="BL16" i="3"/>
  <c r="AZ16" i="3" s="1"/>
  <c r="AZ413" i="3"/>
  <c r="AZ419" i="3"/>
  <c r="AZ421" i="3"/>
  <c r="AZ448" i="3"/>
  <c r="AC30" i="35"/>
  <c r="AB14" i="36"/>
  <c r="AZ357" i="3"/>
  <c r="AZ322" i="3"/>
  <c r="AZ313" i="3"/>
  <c r="AZ394" i="3"/>
  <c r="AB34" i="39"/>
  <c r="AC28" i="34"/>
  <c r="BL519" i="3"/>
  <c r="AZ519" i="3" s="1"/>
  <c r="BL531" i="3"/>
  <c r="AZ531" i="3" s="1"/>
  <c r="BL559" i="3"/>
  <c r="AZ559" i="3" s="1"/>
  <c r="BL573" i="3"/>
  <c r="AZ573" i="3" s="1"/>
  <c r="BL583" i="3"/>
  <c r="AZ583" i="3" s="1"/>
  <c r="AB8" i="39"/>
  <c r="C15" i="39"/>
  <c r="AA9" i="40"/>
  <c r="U31" i="36"/>
  <c r="U30" i="37"/>
  <c r="G587" i="3"/>
  <c r="F9" i="33"/>
  <c r="AA9" i="33" s="1"/>
  <c r="J12" i="35"/>
  <c r="F25" i="37"/>
  <c r="BA551" i="3"/>
  <c r="AZ551" i="3" s="1"/>
  <c r="BA550" i="3"/>
  <c r="AZ550" i="3" s="1"/>
  <c r="BL548" i="3"/>
  <c r="AZ548" i="3" s="1"/>
  <c r="G399" i="3"/>
  <c r="BA402" i="3"/>
  <c r="AZ402" i="3" s="1"/>
  <c r="BL417" i="3"/>
  <c r="BL418" i="3"/>
  <c r="AZ418" i="3" s="1"/>
  <c r="BL432" i="3"/>
  <c r="BA435" i="3"/>
  <c r="AZ435" i="3" s="1"/>
  <c r="BA442" i="3"/>
  <c r="BL451" i="3"/>
  <c r="BA459" i="3"/>
  <c r="AZ459" i="3" s="1"/>
  <c r="BA460" i="3"/>
  <c r="BL469" i="3"/>
  <c r="AZ469" i="3" s="1"/>
  <c r="W22" i="35"/>
  <c r="BL585" i="3"/>
  <c r="BA400" i="3"/>
  <c r="AZ400" i="3" s="1"/>
  <c r="BL401" i="3"/>
  <c r="BA406" i="3"/>
  <c r="AZ406" i="3" s="1"/>
  <c r="BA407" i="3"/>
  <c r="AZ407" i="3" s="1"/>
  <c r="BL408" i="3"/>
  <c r="BA412" i="3"/>
  <c r="AZ412" i="3" s="1"/>
  <c r="BL413" i="3"/>
  <c r="BL420" i="3"/>
  <c r="BA424" i="3"/>
  <c r="BA425" i="3"/>
  <c r="BA426" i="3"/>
  <c r="BA427" i="3"/>
  <c r="AZ427" i="3" s="1"/>
  <c r="BA437" i="3"/>
  <c r="AZ437" i="3" s="1"/>
  <c r="BA439" i="3"/>
  <c r="BA440" i="3"/>
  <c r="AZ440" i="3" s="1"/>
  <c r="BA443" i="3"/>
  <c r="AZ443" i="3" s="1"/>
  <c r="BA444" i="3"/>
  <c r="AZ444" i="3" s="1"/>
  <c r="BA445" i="3"/>
  <c r="BA447" i="3"/>
  <c r="AZ447" i="3" s="1"/>
  <c r="BL448" i="3"/>
  <c r="BL453" i="3"/>
  <c r="BL454" i="3"/>
  <c r="AZ454" i="3" s="1"/>
  <c r="BA457" i="3"/>
  <c r="AZ476" i="3"/>
  <c r="AZ480" i="3"/>
  <c r="AZ217" i="3"/>
  <c r="AZ270" i="3"/>
  <c r="BA398" i="3"/>
  <c r="BA399" i="3"/>
  <c r="AZ399" i="3" s="1"/>
  <c r="BA461" i="3"/>
  <c r="AZ461" i="3" s="1"/>
  <c r="BL464" i="3"/>
  <c r="BL466" i="3"/>
  <c r="AZ466" i="3" s="1"/>
  <c r="BL476" i="3"/>
  <c r="BL477" i="3"/>
  <c r="BL478" i="3"/>
  <c r="BL480" i="3"/>
  <c r="BA483" i="3"/>
  <c r="BL483" i="3"/>
  <c r="AZ483" i="3" s="1"/>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BL293" i="3"/>
  <c r="BL294" i="3"/>
  <c r="G128" i="3"/>
  <c r="G134" i="3"/>
  <c r="BL134" i="3"/>
  <c r="BL137" i="3"/>
  <c r="G143" i="3"/>
  <c r="BL273" i="3"/>
  <c r="AZ273" i="3" s="1"/>
  <c r="BA277" i="3"/>
  <c r="AZ277" i="3" s="1"/>
  <c r="BL277" i="3"/>
  <c r="BA282" i="3"/>
  <c r="AZ282" i="3" s="1"/>
  <c r="BL282" i="3"/>
  <c r="BA284" i="3"/>
  <c r="AZ284" i="3" s="1"/>
  <c r="BL290" i="3"/>
  <c r="BL291" i="3"/>
  <c r="AZ291" i="3" s="1"/>
  <c r="BA125" i="3"/>
  <c r="AZ125" i="3" s="1"/>
  <c r="BL398" i="3"/>
  <c r="G402" i="3"/>
  <c r="BL403" i="3"/>
  <c r="G405" i="3"/>
  <c r="G406" i="3"/>
  <c r="BA408" i="3"/>
  <c r="AZ408" i="3" s="1"/>
  <c r="BA409" i="3"/>
  <c r="AZ409" i="3" s="1"/>
  <c r="BA411" i="3"/>
  <c r="AZ411" i="3" s="1"/>
  <c r="BL414" i="3"/>
  <c r="AZ414" i="3" s="1"/>
  <c r="BL415" i="3"/>
  <c r="AZ415" i="3" s="1"/>
  <c r="BA417" i="3"/>
  <c r="BL421" i="3"/>
  <c r="BL422" i="3"/>
  <c r="BL425" i="3"/>
  <c r="BL426" i="3"/>
  <c r="BA428" i="3"/>
  <c r="AZ428" i="3" s="1"/>
  <c r="BA429" i="3"/>
  <c r="AZ429" i="3" s="1"/>
  <c r="BA430" i="3"/>
  <c r="AZ430" i="3" s="1"/>
  <c r="BA432" i="3"/>
  <c r="AZ432" i="3" s="1"/>
  <c r="BA434" i="3"/>
  <c r="BA436" i="3"/>
  <c r="BA438" i="3"/>
  <c r="G442" i="3"/>
  <c r="G443" i="3"/>
  <c r="BA446" i="3"/>
  <c r="BA450" i="3"/>
  <c r="BA453" i="3"/>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1" i="3"/>
  <c r="G286" i="3"/>
  <c r="BL286" i="3"/>
  <c r="AZ286" i="3" s="1"/>
  <c r="G289" i="3"/>
  <c r="G290" i="3"/>
  <c r="G291" i="3"/>
  <c r="BA293" i="3"/>
  <c r="BA294" i="3"/>
  <c r="AZ294" i="3" s="1"/>
  <c r="BL295" i="3"/>
  <c r="BA298" i="3"/>
  <c r="AZ298" i="3" s="1"/>
  <c r="BL301" i="3"/>
  <c r="AZ301" i="3" s="1"/>
  <c r="BL302" i="3"/>
  <c r="BA114" i="3"/>
  <c r="G123" i="3"/>
  <c r="BA297" i="3"/>
  <c r="AZ297" i="3" s="1"/>
  <c r="BL297" i="3"/>
  <c r="BL300" i="3"/>
  <c r="BA302" i="3"/>
  <c r="BA117" i="3"/>
  <c r="BA130" i="3"/>
  <c r="AZ130" i="3" s="1"/>
  <c r="BL130" i="3"/>
  <c r="BA137" i="3"/>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BL185" i="3"/>
  <c r="BL193" i="3"/>
  <c r="BL194" i="3"/>
  <c r="AZ194" i="3" s="1"/>
  <c r="BA198" i="3"/>
  <c r="AZ198" i="3" s="1"/>
  <c r="G199" i="3"/>
  <c r="G205" i="3"/>
  <c r="BL206" i="3"/>
  <c r="BA19" i="3"/>
  <c r="AZ19" i="3" s="1"/>
  <c r="G38" i="3"/>
  <c r="BA38" i="3"/>
  <c r="AZ38" i="3" s="1"/>
  <c r="BL40" i="3"/>
  <c r="BL41" i="3"/>
  <c r="AZ41" i="3" s="1"/>
  <c r="AZ52" i="3"/>
  <c r="G67" i="3"/>
  <c r="BL68" i="3"/>
  <c r="BA69" i="3"/>
  <c r="BA73" i="3"/>
  <c r="G81" i="3"/>
  <c r="BL85" i="3"/>
  <c r="BA86" i="3"/>
  <c r="G103" i="3"/>
  <c r="BA103" i="3"/>
  <c r="AZ103" i="3" s="1"/>
  <c r="B13" i="1"/>
  <c r="E13" i="1" s="1"/>
  <c r="K13" i="1"/>
  <c r="M13" i="1" s="1"/>
  <c r="O13" i="1" s="1"/>
  <c r="P13" i="1" s="1"/>
  <c r="F40" i="69"/>
  <c r="C40" i="69"/>
  <c r="U21" i="33"/>
  <c r="AB21" i="33"/>
  <c r="D44" i="71"/>
  <c r="T44" i="71"/>
  <c r="B27" i="71"/>
  <c r="B26" i="71" s="1"/>
  <c r="S28" i="71"/>
  <c r="C64" i="71"/>
  <c r="D63" i="71"/>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2" i="3"/>
  <c r="BA25" i="3"/>
  <c r="AZ25" i="3" s="1"/>
  <c r="BA26" i="3"/>
  <c r="BL28" i="3"/>
  <c r="BA29" i="3"/>
  <c r="BA31" i="3"/>
  <c r="BA32" i="3"/>
  <c r="G37" i="3"/>
  <c r="BA43" i="3"/>
  <c r="BL47" i="3"/>
  <c r="AZ47" i="3" s="1"/>
  <c r="BL54" i="3"/>
  <c r="BL55" i="3"/>
  <c r="AZ55" i="3" s="1"/>
  <c r="G58" i="3"/>
  <c r="BA59" i="3"/>
  <c r="BL61" i="3"/>
  <c r="G64" i="3"/>
  <c r="BA64" i="3"/>
  <c r="AZ64" i="3" s="1"/>
  <c r="BA68" i="3"/>
  <c r="BL74" i="3"/>
  <c r="AZ74" i="3" s="1"/>
  <c r="BL75" i="3"/>
  <c r="BA80" i="3"/>
  <c r="BL84" i="3"/>
  <c r="BA91" i="3"/>
  <c r="AZ91" i="3" s="1"/>
  <c r="BL93" i="3"/>
  <c r="G95" i="3"/>
  <c r="G96" i="3"/>
  <c r="G106" i="3"/>
  <c r="BL106" i="3"/>
  <c r="BA108" i="3"/>
  <c r="AZ108" i="3" s="1"/>
  <c r="BL111" i="3"/>
  <c r="T40" i="71"/>
  <c r="D40" i="71"/>
  <c r="D31" i="71"/>
  <c r="C32" i="71"/>
  <c r="D50" i="71"/>
  <c r="C51" i="71"/>
  <c r="BL178" i="3"/>
  <c r="AZ178" i="3" s="1"/>
  <c r="BA180" i="3"/>
  <c r="AZ180" i="3" s="1"/>
  <c r="BL182" i="3"/>
  <c r="G183" i="3"/>
  <c r="BA185" i="3"/>
  <c r="BL191" i="3"/>
  <c r="AZ191" i="3" s="1"/>
  <c r="G192" i="3"/>
  <c r="BA193" i="3"/>
  <c r="BA196" i="3"/>
  <c r="AZ196" i="3" s="1"/>
  <c r="BA205" i="3"/>
  <c r="AZ205" i="3" s="1"/>
  <c r="G20" i="3"/>
  <c r="BL20" i="3"/>
  <c r="AZ20" i="3" s="1"/>
  <c r="BA21" i="3"/>
  <c r="BL27" i="3"/>
  <c r="AZ27" i="3" s="1"/>
  <c r="BA28" i="3"/>
  <c r="AZ28" i="3" s="1"/>
  <c r="BL30" i="3"/>
  <c r="BL31" i="3"/>
  <c r="BA40" i="3"/>
  <c r="G46" i="3"/>
  <c r="G47" i="3"/>
  <c r="BL48" i="3"/>
  <c r="BA51" i="3"/>
  <c r="AZ51" i="3" s="1"/>
  <c r="G55" i="3"/>
  <c r="BL56" i="3"/>
  <c r="BA58" i="3"/>
  <c r="BL59" i="3"/>
  <c r="BL60" i="3"/>
  <c r="BA61" i="3"/>
  <c r="BL69" i="3"/>
  <c r="G70" i="3"/>
  <c r="BL70" i="3"/>
  <c r="BL71" i="3"/>
  <c r="BL72" i="3"/>
  <c r="AZ72" i="3" s="1"/>
  <c r="G74" i="3"/>
  <c r="BA75" i="3"/>
  <c r="AZ75" i="3" s="1"/>
  <c r="BL86" i="3"/>
  <c r="G87" i="3"/>
  <c r="BA88" i="3"/>
  <c r="AZ88" i="3" s="1"/>
  <c r="G93" i="3"/>
  <c r="BA98" i="3"/>
  <c r="BL103" i="3"/>
  <c r="G104" i="3"/>
  <c r="BA144" i="3"/>
  <c r="AZ144" i="3" s="1"/>
  <c r="BA153" i="3"/>
  <c r="BL155" i="3"/>
  <c r="AZ155" i="3" s="1"/>
  <c r="BA164" i="3"/>
  <c r="AZ164" i="3" s="1"/>
  <c r="BA166" i="3"/>
  <c r="AZ166" i="3" s="1"/>
  <c r="BA169" i="3"/>
  <c r="AZ169" i="3" s="1"/>
  <c r="BL171" i="3"/>
  <c r="AZ171" i="3" s="1"/>
  <c r="BA176" i="3"/>
  <c r="AZ176" i="3" s="1"/>
  <c r="G27" i="3"/>
  <c r="AZ70" i="3"/>
  <c r="AB21" i="37"/>
  <c r="U21" i="37"/>
  <c r="C55" i="71"/>
  <c r="D54" i="71"/>
  <c r="D67" i="71"/>
  <c r="C66" i="71"/>
  <c r="O67" i="71"/>
  <c r="V24" i="71"/>
  <c r="E23" i="71"/>
  <c r="E22" i="71" s="1"/>
  <c r="E21" i="71" s="1"/>
  <c r="E20" i="71" s="1"/>
  <c r="P66" i="71"/>
  <c r="AA27" i="71"/>
  <c r="AB26" i="71"/>
  <c r="C75" i="71"/>
  <c r="O68" i="71"/>
  <c r="D46" i="71"/>
  <c r="Y28" i="71"/>
  <c r="Z28" i="71" s="1"/>
  <c r="X35" i="71"/>
  <c r="C34" i="71"/>
  <c r="AA37" i="71"/>
  <c r="X28" i="71"/>
  <c r="X32" i="71"/>
  <c r="F38" i="71"/>
  <c r="F39" i="71" s="1"/>
  <c r="F40" i="71" s="1"/>
  <c r="V40" i="71" s="1"/>
  <c r="B79" i="71"/>
  <c r="B78" i="71" s="1"/>
  <c r="BA204" i="3"/>
  <c r="AZ204" i="3" s="1"/>
  <c r="BA18" i="3"/>
  <c r="G21" i="3"/>
  <c r="BL21" i="3"/>
  <c r="G23" i="3"/>
  <c r="G29" i="3"/>
  <c r="BL29" i="3"/>
  <c r="G33" i="3"/>
  <c r="G34" i="3"/>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G90" i="3"/>
  <c r="BL90" i="3"/>
  <c r="BL92" i="3"/>
  <c r="G101" i="3"/>
  <c r="BA101" i="3"/>
  <c r="AZ101" i="3" s="1"/>
  <c r="G108" i="3"/>
  <c r="G109" i="3"/>
  <c r="BL112" i="3"/>
  <c r="W18" i="35"/>
  <c r="U25" i="40"/>
  <c r="S21" i="34"/>
  <c r="B68" i="43"/>
  <c r="B88" i="43"/>
  <c r="D39" i="71"/>
  <c r="C27" i="71"/>
  <c r="D76" i="71"/>
  <c r="T68" i="71"/>
  <c r="D62" i="71"/>
  <c r="U68" i="71"/>
  <c r="D30" i="71"/>
  <c r="X34" i="71"/>
  <c r="X31" i="71"/>
  <c r="F35" i="71"/>
  <c r="F36" i="71" s="1"/>
  <c r="V36" i="71" s="1"/>
  <c r="AA34" i="71"/>
  <c r="AB35" i="71"/>
  <c r="B51" i="71"/>
  <c r="B52" i="71" s="1"/>
  <c r="S52" i="71" s="1"/>
  <c r="BA90" i="3"/>
  <c r="BL94" i="3"/>
  <c r="AZ94" i="3" s="1"/>
  <c r="BA100" i="3"/>
  <c r="AZ100" i="3" s="1"/>
  <c r="BA102" i="3"/>
  <c r="AZ102" i="3" s="1"/>
  <c r="BL105" i="3"/>
  <c r="AZ105" i="3" s="1"/>
  <c r="G107" i="3"/>
  <c r="BL107" i="3"/>
  <c r="BA111" i="3"/>
  <c r="AZ111" i="3" s="1"/>
  <c r="AC21" i="37"/>
  <c r="U21" i="34"/>
  <c r="B57" i="43"/>
  <c r="D87" i="71"/>
  <c r="D28" i="71"/>
  <c r="U28" i="71" s="1"/>
  <c r="AB28" i="7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J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B20" i="31"/>
  <c r="B21" i="31" s="1"/>
  <c r="I1" i="73"/>
  <c r="B39" i="1" s="1"/>
  <c r="M7" i="15"/>
  <c r="F50" i="15"/>
  <c r="F51" i="15"/>
  <c r="F71" i="15"/>
  <c r="L59" i="15"/>
  <c r="N59" i="15"/>
  <c r="L58" i="15"/>
  <c r="M59" i="15"/>
  <c r="F66" i="15"/>
  <c r="F64" i="15"/>
  <c r="D103" i="9"/>
  <c r="C27" i="15"/>
  <c r="F65" i="15"/>
  <c r="G20" i="9"/>
  <c r="C103" i="9"/>
  <c r="B13" i="70"/>
  <c r="C36" i="68"/>
  <c r="D9" i="69"/>
  <c r="D9" i="68"/>
  <c r="M9" i="67"/>
  <c r="F40" i="15"/>
  <c r="F40" i="67"/>
  <c r="F9" i="67"/>
  <c r="J15" i="67"/>
  <c r="F26" i="67"/>
  <c r="M9" i="15"/>
  <c r="F42" i="67"/>
  <c r="M26" i="67"/>
  <c r="F16" i="15"/>
  <c r="L47" i="67"/>
  <c r="L48" i="67"/>
  <c r="D3" i="73"/>
  <c r="F6" i="15"/>
  <c r="M29" i="67"/>
  <c r="F42" i="15"/>
  <c r="F6" i="67"/>
  <c r="M28" i="67"/>
  <c r="F43" i="67"/>
  <c r="M23" i="15"/>
  <c r="M22" i="67"/>
  <c r="F38" i="67"/>
  <c r="C76" i="15"/>
  <c r="F16" i="67"/>
  <c r="F36" i="67"/>
  <c r="C76" i="67"/>
  <c r="M23" i="67"/>
  <c r="F37" i="67"/>
  <c r="D7" i="73"/>
  <c r="F7" i="67"/>
  <c r="F13" i="67"/>
  <c r="F8" i="67"/>
  <c r="D5" i="73"/>
  <c r="M24" i="67"/>
  <c r="M6" i="67"/>
  <c r="D4" i="73"/>
  <c r="M8" i="67"/>
  <c r="M28" i="15"/>
  <c r="M22" i="15"/>
  <c r="N370" i="46" l="1"/>
  <c r="F26" i="43"/>
  <c r="E26" i="43"/>
  <c r="H26" i="43"/>
  <c r="N39" i="34"/>
  <c r="F34" i="34"/>
  <c r="J34" i="34"/>
  <c r="H34" i="34"/>
  <c r="W9" i="34"/>
  <c r="AB9" i="34"/>
  <c r="U9" i="34"/>
  <c r="F68" i="67"/>
  <c r="L59" i="67"/>
  <c r="Q74" i="67" s="1"/>
  <c r="L58" i="67"/>
  <c r="Q60" i="67" s="1"/>
  <c r="N59" i="67"/>
  <c r="M59" i="67"/>
  <c r="F31" i="67"/>
  <c r="C6" i="67"/>
  <c r="C32" i="67" s="1"/>
  <c r="F64" i="67"/>
  <c r="Q71" i="67"/>
  <c r="M7" i="67"/>
  <c r="J6" i="67" s="1"/>
  <c r="J18" i="67" s="1"/>
  <c r="F50" i="67"/>
  <c r="F65" i="67"/>
  <c r="I54" i="67"/>
  <c r="L56" i="67"/>
  <c r="J53" i="67"/>
  <c r="Q52" i="67" s="1"/>
  <c r="J57" i="67"/>
  <c r="J55" i="67" s="1"/>
  <c r="J58" i="67" s="1"/>
  <c r="Q50" i="67" s="1"/>
  <c r="F51" i="67"/>
  <c r="C27" i="67"/>
  <c r="F71" i="67"/>
  <c r="Q16" i="1"/>
  <c r="F27" i="69" s="1"/>
  <c r="C47" i="69" s="1"/>
  <c r="D45" i="69" s="1"/>
  <c r="H16" i="1"/>
  <c r="P6" i="1"/>
  <c r="C13" i="12" s="1"/>
  <c r="Q71" i="15"/>
  <c r="F68" i="15"/>
  <c r="F66" i="67"/>
  <c r="C6" i="15"/>
  <c r="C32" i="15" s="1"/>
  <c r="F31" i="15"/>
  <c r="F30" i="6"/>
  <c r="D75" i="71"/>
  <c r="C74" i="71"/>
  <c r="D74" i="71" s="1"/>
  <c r="C52" i="71"/>
  <c r="D51" i="71"/>
  <c r="AZ422" i="3"/>
  <c r="AZ398" i="3"/>
  <c r="AZ425" i="3"/>
  <c r="AB39" i="37"/>
  <c r="U39" i="37"/>
  <c r="S30" i="21"/>
  <c r="AA30" i="21"/>
  <c r="AA12" i="36"/>
  <c r="S12" i="36"/>
  <c r="AZ585" i="3"/>
  <c r="AC24" i="36"/>
  <c r="W24" i="36"/>
  <c r="AC44" i="39"/>
  <c r="W44" i="39"/>
  <c r="AZ460" i="3"/>
  <c r="AC39" i="37"/>
  <c r="W39" i="37"/>
  <c r="S36" i="35"/>
  <c r="AA36" i="35"/>
  <c r="W14" i="21"/>
  <c r="AC14" i="21"/>
  <c r="W12" i="36"/>
  <c r="AC12" i="36"/>
  <c r="U26" i="33"/>
  <c r="AB26" i="33"/>
  <c r="AZ587" i="3"/>
  <c r="AZ505" i="3"/>
  <c r="AB44" i="39"/>
  <c r="U44" i="39"/>
  <c r="J6" i="15"/>
  <c r="J18" i="15" s="1"/>
  <c r="G5" i="3"/>
  <c r="B3" i="3" s="1"/>
  <c r="E212" i="3" s="1"/>
  <c r="C56" i="71"/>
  <c r="D55" i="71"/>
  <c r="AZ58" i="3"/>
  <c r="AZ21" i="3"/>
  <c r="T32" i="71"/>
  <c r="D32" i="71"/>
  <c r="AZ59" i="3"/>
  <c r="AZ31" i="3"/>
  <c r="AZ86" i="3"/>
  <c r="AZ69" i="3"/>
  <c r="AZ182" i="3"/>
  <c r="AZ137" i="3"/>
  <c r="AZ302" i="3"/>
  <c r="AZ353" i="3"/>
  <c r="AZ229" i="3"/>
  <c r="AZ218" i="3"/>
  <c r="AA25" i="37"/>
  <c r="S25" i="37"/>
  <c r="AB36" i="35"/>
  <c r="U36" i="35"/>
  <c r="U14" i="21"/>
  <c r="AB14" i="21"/>
  <c r="S26" i="33"/>
  <c r="AA26" i="33"/>
  <c r="S24" i="36"/>
  <c r="AA24" i="36"/>
  <c r="AZ525" i="3"/>
  <c r="AZ533" i="3"/>
  <c r="C26" i="71"/>
  <c r="D26" i="71" s="1"/>
  <c r="D27" i="71"/>
  <c r="D34" i="71"/>
  <c r="C35" i="71"/>
  <c r="O65" i="71"/>
  <c r="D66" i="71"/>
  <c r="O66" i="71"/>
  <c r="AZ61" i="3"/>
  <c r="AZ29" i="3"/>
  <c r="AZ223" i="3"/>
  <c r="AZ453" i="3"/>
  <c r="AZ417" i="3"/>
  <c r="AZ457" i="3"/>
  <c r="W12" i="35"/>
  <c r="AC12" i="35"/>
  <c r="U34" i="36"/>
  <c r="AB34" i="36"/>
  <c r="AC30" i="21"/>
  <c r="W30" i="21"/>
  <c r="AB12" i="36"/>
  <c r="U12" i="36"/>
  <c r="W26" i="33"/>
  <c r="AC26" i="33"/>
  <c r="AB24" i="36"/>
  <c r="U24" i="36"/>
  <c r="G29" i="6"/>
  <c r="G30" i="6" s="1"/>
  <c r="G31" i="6" s="1"/>
  <c r="AZ526" i="3"/>
  <c r="AZ534" i="3"/>
  <c r="AA44" i="39"/>
  <c r="S44" i="39"/>
  <c r="G16" i="1"/>
  <c r="F10" i="39" s="1"/>
  <c r="S10" i="39" s="1"/>
  <c r="J7" i="37"/>
  <c r="K1" i="73"/>
  <c r="E95" i="3"/>
  <c r="E233" i="3"/>
  <c r="E102" i="3"/>
  <c r="AH6" i="3"/>
  <c r="E234" i="3"/>
  <c r="E365" i="3"/>
  <c r="E297" i="3"/>
  <c r="AD6" i="3"/>
  <c r="E136" i="3"/>
  <c r="E168" i="3"/>
  <c r="E411" i="3"/>
  <c r="E547" i="3"/>
  <c r="E29" i="3"/>
  <c r="E501" i="3"/>
  <c r="E153" i="3"/>
  <c r="E574" i="3"/>
  <c r="E97" i="3"/>
  <c r="E390" i="3"/>
  <c r="E506" i="3"/>
  <c r="E418" i="3"/>
  <c r="E338" i="3"/>
  <c r="E169" i="3"/>
  <c r="E237" i="3"/>
  <c r="E565" i="3"/>
  <c r="E17" i="3"/>
  <c r="E221" i="3"/>
  <c r="E254" i="3"/>
  <c r="E402" i="3"/>
  <c r="AN6" i="3"/>
  <c r="E353" i="3"/>
  <c r="E156" i="3"/>
  <c r="E238" i="3"/>
  <c r="E434" i="3"/>
  <c r="E262" i="3"/>
  <c r="E120" i="3"/>
  <c r="E177" i="3"/>
  <c r="Q6" i="3"/>
  <c r="E437" i="3"/>
  <c r="E481" i="3"/>
  <c r="E344" i="3"/>
  <c r="AE6" i="3"/>
  <c r="E429" i="3"/>
  <c r="E55" i="3"/>
  <c r="E73" i="3"/>
  <c r="E203" i="3"/>
  <c r="E274" i="3"/>
  <c r="E394" i="3"/>
  <c r="E580" i="3"/>
  <c r="I6" i="3"/>
  <c r="E236" i="3"/>
  <c r="E252" i="3"/>
  <c r="E576" i="3"/>
  <c r="AG6" i="3"/>
  <c r="E448" i="3"/>
  <c r="E443" i="3"/>
  <c r="E558" i="3"/>
  <c r="E581" i="3"/>
  <c r="E404" i="3"/>
  <c r="E88" i="3"/>
  <c r="E121" i="3"/>
  <c r="E295" i="3"/>
  <c r="E316" i="3"/>
  <c r="E334" i="3"/>
  <c r="E480" i="3"/>
  <c r="E125" i="3"/>
  <c r="E366" i="3"/>
  <c r="E282" i="3"/>
  <c r="N6" i="3"/>
  <c r="E239" i="3"/>
  <c r="E569" i="3"/>
  <c r="E396" i="3"/>
  <c r="E229" i="3"/>
  <c r="E358" i="3"/>
  <c r="E559" i="3"/>
  <c r="E551" i="3"/>
  <c r="E407" i="3"/>
  <c r="E320" i="3"/>
  <c r="E294" i="3"/>
  <c r="E130" i="3"/>
  <c r="E114" i="3"/>
  <c r="E415" i="3"/>
  <c r="E260" i="3"/>
  <c r="E550" i="3"/>
  <c r="E117" i="3"/>
  <c r="E61" i="3"/>
  <c r="E245" i="3"/>
  <c r="E382" i="3"/>
  <c r="E518" i="3"/>
  <c r="E293" i="3"/>
  <c r="E336" i="3"/>
  <c r="E253" i="3"/>
  <c r="E453" i="3"/>
  <c r="E85" i="3"/>
  <c r="E511" i="3"/>
  <c r="E99" i="3"/>
  <c r="E45" i="3"/>
  <c r="E519" i="3"/>
  <c r="E573" i="3"/>
  <c r="E458" i="3"/>
  <c r="E457" i="3"/>
  <c r="E562" i="3"/>
  <c r="E571" i="3"/>
  <c r="E433" i="3"/>
  <c r="E72" i="3"/>
  <c r="E111" i="3"/>
  <c r="E279" i="3"/>
  <c r="E351" i="3"/>
  <c r="E318" i="3"/>
  <c r="E567" i="3"/>
  <c r="E549" i="3"/>
  <c r="E269" i="3"/>
  <c r="E107" i="3"/>
  <c r="E585" i="3"/>
  <c r="E515" i="3"/>
  <c r="E414" i="3"/>
  <c r="E477" i="3"/>
  <c r="E505" i="3"/>
  <c r="E476" i="3"/>
  <c r="E447" i="3"/>
  <c r="E27" i="3"/>
  <c r="E186" i="3"/>
  <c r="E210" i="3"/>
  <c r="E331" i="3"/>
  <c r="E44" i="3"/>
  <c r="E441" i="3"/>
  <c r="E175" i="3"/>
  <c r="E343" i="3"/>
  <c r="E305" i="3"/>
  <c r="E508" i="3"/>
  <c r="E555" i="3"/>
  <c r="E410" i="3"/>
  <c r="E337" i="3"/>
  <c r="E270" i="3"/>
  <c r="E533" i="3"/>
  <c r="AR6" i="3"/>
  <c r="E538" i="3"/>
  <c r="E439" i="3"/>
  <c r="E380" i="3"/>
  <c r="E216" i="3"/>
  <c r="E185" i="3"/>
  <c r="E261" i="3"/>
  <c r="E183" i="3"/>
  <c r="E361" i="3"/>
  <c r="E503" i="3"/>
  <c r="E91" i="3"/>
  <c r="E134" i="3"/>
  <c r="E301" i="3"/>
  <c r="E586" i="3"/>
  <c r="E495" i="3"/>
  <c r="E124" i="3"/>
  <c r="E347" i="3"/>
  <c r="E77" i="3"/>
  <c r="E568" i="3"/>
  <c r="E545" i="3"/>
  <c r="AK6" i="3"/>
  <c r="E228" i="3"/>
  <c r="E133" i="3"/>
  <c r="K6" i="3"/>
  <c r="E560" i="3"/>
  <c r="E406" i="3"/>
  <c r="E465" i="3"/>
  <c r="E587" i="3"/>
  <c r="E468" i="3"/>
  <c r="E454" i="3"/>
  <c r="E106" i="3"/>
  <c r="E171" i="3"/>
  <c r="E214" i="3"/>
  <c r="E315" i="3"/>
  <c r="E74" i="3"/>
  <c r="E227" i="3"/>
  <c r="E368" i="3"/>
  <c r="E204" i="3"/>
  <c r="E327" i="3"/>
  <c r="Z6" i="3"/>
  <c r="E485" i="3"/>
  <c r="E400" i="3"/>
  <c r="E345" i="3"/>
  <c r="E531" i="3"/>
  <c r="E489" i="3"/>
  <c r="E28" i="3"/>
  <c r="E182" i="3"/>
  <c r="E211" i="3"/>
  <c r="E273" i="3"/>
  <c r="E572" i="3"/>
  <c r="E109" i="3"/>
  <c r="E217" i="3"/>
  <c r="E268" i="3"/>
  <c r="E322" i="3"/>
  <c r="AJ6" i="3"/>
  <c r="E579" i="3"/>
  <c r="E431" i="3"/>
  <c r="E247" i="3"/>
  <c r="E311" i="3"/>
  <c r="E514" i="3"/>
  <c r="E570" i="3"/>
  <c r="AB6" i="3"/>
  <c r="E387" i="3"/>
  <c r="E335" i="3"/>
  <c r="E189" i="3"/>
  <c r="E69" i="3"/>
  <c r="E278" i="3"/>
  <c r="E172" i="3"/>
  <c r="E445" i="3"/>
  <c r="E535" i="3"/>
  <c r="E135" i="3"/>
  <c r="E191" i="3"/>
  <c r="E263" i="3"/>
  <c r="AI6" i="3"/>
  <c r="E385" i="3"/>
  <c r="E246" i="3"/>
  <c r="E100" i="3"/>
  <c r="E200" i="3"/>
  <c r="E148" i="3"/>
  <c r="E132" i="3"/>
  <c r="E296" i="3"/>
  <c r="E275"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C7" i="37"/>
  <c r="W7" i="37"/>
  <c r="F7" i="33"/>
  <c r="E58" i="21"/>
  <c r="AC7" i="36"/>
  <c r="V36" i="36" s="1"/>
  <c r="I36" i="36" s="1"/>
  <c r="W7" i="36"/>
  <c r="F7" i="37"/>
  <c r="M17" i="15"/>
  <c r="F59" i="15"/>
  <c r="P28" i="43"/>
  <c r="B66" i="40" s="1"/>
  <c r="P25" i="43"/>
  <c r="P29" i="43"/>
  <c r="P27" i="43"/>
  <c r="B70" i="39" s="1"/>
  <c r="C49" i="15"/>
  <c r="C32" i="9"/>
  <c r="M11" i="67"/>
  <c r="J10" i="67" s="1"/>
  <c r="F11" i="15"/>
  <c r="M11" i="15"/>
  <c r="J10" i="15" s="1"/>
  <c r="F11" i="67"/>
  <c r="F1" i="15"/>
  <c r="Q52" i="15"/>
  <c r="Q60" i="15"/>
  <c r="Q73" i="15"/>
  <c r="Q61" i="67"/>
  <c r="Q74" i="15"/>
  <c r="Q61" i="15"/>
  <c r="AE11" i="1"/>
  <c r="AE6" i="1"/>
  <c r="AE9" i="1"/>
  <c r="F27" i="68"/>
  <c r="AE7" i="1"/>
  <c r="AE8" i="1"/>
  <c r="AE12" i="1"/>
  <c r="AE10" i="1"/>
  <c r="G1" i="73"/>
  <c r="C16" i="67"/>
  <c r="F41" i="67"/>
  <c r="C16" i="15"/>
  <c r="G49" i="34" l="1"/>
  <c r="AB34" i="34"/>
  <c r="U34" i="34"/>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159" i="3"/>
  <c r="E213" i="3"/>
  <c r="E298" i="3"/>
  <c r="S6" i="3"/>
  <c r="O6" i="3"/>
  <c r="E317" i="3"/>
  <c r="E537" i="3"/>
  <c r="E244" i="3"/>
  <c r="E428" i="3"/>
  <c r="AC34" i="34"/>
  <c r="W34" i="34"/>
  <c r="AA34" i="34"/>
  <c r="S34" i="34"/>
  <c r="C49" i="67"/>
  <c r="F59" i="67"/>
  <c r="F1" i="67"/>
  <c r="Q73" i="67"/>
  <c r="J5" i="67"/>
  <c r="M17" i="67"/>
  <c r="F45" i="69"/>
  <c r="C29" i="69"/>
  <c r="D27" i="69" s="1"/>
  <c r="E127" i="3"/>
  <c r="E163" i="3"/>
  <c r="E149" i="3"/>
  <c r="E24" i="3"/>
  <c r="E62" i="3"/>
  <c r="E473" i="3"/>
  <c r="E422" i="3"/>
  <c r="E115" i="3"/>
  <c r="E34" i="3"/>
  <c r="E67" i="3"/>
  <c r="E417" i="3"/>
  <c r="E280" i="3"/>
  <c r="E303" i="3"/>
  <c r="E302" i="3"/>
  <c r="E304" i="3"/>
  <c r="E321" i="3"/>
  <c r="E523" i="3"/>
  <c r="E285" i="3"/>
  <c r="E328" i="3"/>
  <c r="E319" i="3"/>
  <c r="E272" i="3"/>
  <c r="E207" i="3"/>
  <c r="E474" i="3"/>
  <c r="E187" i="3"/>
  <c r="E374" i="3"/>
  <c r="E48" i="3"/>
  <c r="E58" i="3"/>
  <c r="E112" i="3"/>
  <c r="L6" i="3"/>
  <c r="E16" i="3"/>
  <c r="E408" i="3"/>
  <c r="AL6" i="3"/>
  <c r="E64" i="3"/>
  <c r="E442" i="3"/>
  <c r="E359" i="3"/>
  <c r="E426" i="3"/>
  <c r="E53" i="3"/>
  <c r="E92" i="3"/>
  <c r="E14" i="3"/>
  <c r="E224" i="3"/>
  <c r="E87" i="3"/>
  <c r="E584" i="3"/>
  <c r="E446" i="3"/>
  <c r="E141" i="3"/>
  <c r="E392" i="3"/>
  <c r="E276" i="3"/>
  <c r="E158" i="3"/>
  <c r="E405" i="3"/>
  <c r="E198" i="3"/>
  <c r="E409" i="3"/>
  <c r="E575" i="3"/>
  <c r="E3" i="6"/>
  <c r="E500" i="3"/>
  <c r="E460" i="3"/>
  <c r="E340" i="3"/>
  <c r="E38" i="3"/>
  <c r="E108" i="3"/>
  <c r="E543" i="3"/>
  <c r="E49" i="3"/>
  <c r="E420" i="3"/>
  <c r="E173" i="3"/>
  <c r="E235" i="3"/>
  <c r="E309" i="3"/>
  <c r="E310" i="3"/>
  <c r="E389" i="3"/>
  <c r="E554" i="3"/>
  <c r="E536" i="3"/>
  <c r="E401" i="3"/>
  <c r="E105" i="3"/>
  <c r="E220" i="3"/>
  <c r="E497" i="3"/>
  <c r="E22" i="3"/>
  <c r="E18" i="3"/>
  <c r="E63" i="3"/>
  <c r="E267" i="3"/>
  <c r="E241" i="3"/>
  <c r="E449" i="3"/>
  <c r="J5" i="15"/>
  <c r="J24" i="15" s="1"/>
  <c r="AA10" i="39"/>
  <c r="F10" i="40"/>
  <c r="S10" i="40" s="1"/>
  <c r="H10" i="39"/>
  <c r="U10" i="39" s="1"/>
  <c r="H10" i="40"/>
  <c r="AB10" i="40" s="1"/>
  <c r="J10" i="40"/>
  <c r="AC10" i="40" s="1"/>
  <c r="U7" i="36"/>
  <c r="J10" i="39"/>
  <c r="W10" i="39" s="1"/>
  <c r="C36" i="71"/>
  <c r="D35" i="71"/>
  <c r="T52" i="71"/>
  <c r="D52" i="71"/>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86" i="3"/>
  <c r="E174" i="3"/>
  <c r="E482" i="3"/>
  <c r="E391" i="3"/>
  <c r="E494" i="3"/>
  <c r="E283" i="3"/>
  <c r="E68" i="3"/>
  <c r="E184" i="3"/>
  <c r="E84" i="3"/>
  <c r="E371" i="3"/>
  <c r="E160" i="3"/>
  <c r="E467" i="3"/>
  <c r="E59" i="3"/>
  <c r="E349" i="3"/>
  <c r="E258" i="3"/>
  <c r="E37" i="3"/>
  <c r="E491" i="3"/>
  <c r="AP6" i="3"/>
  <c r="E430" i="3"/>
  <c r="E502" i="3"/>
  <c r="E286" i="3"/>
  <c r="E539" i="3"/>
  <c r="E29" i="6"/>
  <c r="R36" i="36"/>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I49" i="34" s="1"/>
  <c r="I53" i="34" s="1"/>
  <c r="J53"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C35" i="9"/>
  <c r="M27" i="15"/>
  <c r="F41" i="15"/>
  <c r="M27" i="67"/>
  <c r="C48" i="67" l="1"/>
  <c r="C66" i="67" s="1"/>
  <c r="C50" i="34"/>
  <c r="E10" i="74" s="1"/>
  <c r="B10" i="74" s="1"/>
  <c r="G54" i="34"/>
  <c r="H54" i="34" s="1"/>
  <c r="AA10" i="40"/>
  <c r="H6" i="3"/>
  <c r="E6" i="3" s="1"/>
  <c r="F25" i="12"/>
  <c r="C26" i="12" s="1"/>
  <c r="D25" i="12" s="1"/>
  <c r="AC10" i="39"/>
  <c r="AB10" i="39"/>
  <c r="K15" i="1"/>
  <c r="K16" i="1" s="1"/>
  <c r="E30" i="6"/>
  <c r="E31" i="6" s="1"/>
  <c r="D116" i="43"/>
  <c r="D36" i="71"/>
  <c r="T36" i="71"/>
  <c r="F22" i="68"/>
  <c r="C23"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D10" i="69"/>
  <c r="C34" i="69"/>
  <c r="D10" i="68"/>
  <c r="C17" i="15"/>
  <c r="C17" i="67"/>
  <c r="C14" i="67"/>
  <c r="C49" i="34" l="1"/>
  <c r="C60" i="67"/>
  <c r="C44" i="68"/>
  <c r="D41" i="68" s="1"/>
  <c r="I54" i="34"/>
  <c r="J54" i="34" s="1"/>
  <c r="E53" i="34"/>
  <c r="F53" i="34" s="1"/>
  <c r="C26" i="68"/>
  <c r="D22" i="68" s="1"/>
  <c r="C44" i="11"/>
  <c r="D41" i="11" s="1"/>
  <c r="F41" i="68"/>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F35" i="15"/>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6"/>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6" i="1"/>
  <c r="AO12" i="1"/>
  <c r="AO11" i="1"/>
  <c r="AO10" i="1"/>
  <c r="AO7" i="1"/>
  <c r="AO8"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M54" i="9"/>
  <c r="D56" i="9"/>
  <c r="D58" i="9"/>
  <c r="C97" i="9"/>
  <c r="B21" i="72"/>
  <c r="D7" i="53"/>
  <c r="C86" i="9"/>
  <c r="C93" i="9"/>
  <c r="B49" i="72"/>
  <c r="D5" i="52"/>
  <c r="D119" i="9"/>
  <c r="B51" i="72"/>
  <c r="F4" i="52"/>
  <c r="B31" i="72"/>
  <c r="D15" i="53"/>
  <c r="B47" i="72"/>
  <c r="D118" i="9"/>
  <c r="D4" i="52"/>
  <c r="B22" i="72"/>
  <c r="D6" i="53"/>
  <c r="N58" i="9"/>
  <c r="P57" i="9"/>
  <c r="D59" i="9"/>
  <c r="M55" i="9"/>
  <c r="G4" i="52"/>
  <c r="B52" i="72"/>
  <c r="H5" i="52"/>
  <c r="H119" i="9"/>
  <c r="B32" i="72"/>
  <c r="D14" i="53"/>
  <c r="H108" i="9"/>
  <c r="C6" i="74"/>
  <c r="C81" i="9"/>
  <c r="C73" i="9"/>
  <c r="C78" i="9"/>
  <c r="C72" i="9"/>
  <c r="C79" i="9"/>
  <c r="C80" i="9"/>
  <c r="E80" i="9"/>
  <c r="E81" i="9"/>
  <c r="I4" i="52"/>
  <c r="C105" i="9"/>
  <c r="C85" i="9"/>
  <c r="C95" i="9"/>
  <c r="C96" i="9"/>
  <c r="E96" i="9"/>
  <c r="E97" i="9"/>
  <c r="D8" i="52"/>
  <c r="C104" i="9"/>
  <c r="H4" i="52"/>
  <c r="D13" i="53"/>
  <c r="B30" i="72"/>
  <c r="E118" i="9"/>
  <c r="E4" i="52"/>
  <c r="B48" i="72"/>
  <c r="M48" i="9"/>
  <c r="C64" i="9"/>
  <c r="C63" i="9"/>
  <c r="C67" i="9"/>
  <c r="C68" i="9"/>
  <c r="D54" i="9"/>
  <c r="N60" i="9"/>
  <c r="D55" i="9"/>
  <c r="M53" i="9"/>
  <c r="N57" i="9"/>
  <c r="N59" i="9"/>
  <c r="N61" i="9"/>
  <c r="D5" i="53"/>
  <c r="B20" i="72"/>
  <c r="D52" i="9"/>
  <c r="D45" i="9"/>
  <c r="D53" i="9"/>
  <c r="H101" i="9"/>
  <c r="H107" i="9"/>
  <c r="D122" i="9"/>
  <c r="D123" i="9"/>
  <c r="D9" i="52"/>
  <c r="H118" i="9"/>
  <c r="I118" i="9"/>
  <c r="H102" i="9"/>
  <c r="C5" i="74"/>
  <c r="G118" i="9"/>
  <c r="F118" i="9"/>
  <c r="F119" i="9"/>
  <c r="F5" i="5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<sst xmlns="http://schemas.openxmlformats.org/spreadsheetml/2006/main" count="7960" uniqueCount="3468">
  <si>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</si>
  <si>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</si>
  <si>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</si>
  <si>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</si>
  <si>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</si>
  <si>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</si>
  <si>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</si>
  <si>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</si>
  <si>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</si>
  <si>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</si>
  <si>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</si>
  <si>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</si>
  <si>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</si>
  <si>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</si>
  <si>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</si>
  <si>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</si>
  <si>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</si>
  <si>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</si>
  <si>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</si>
  <si>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</si>
  <si>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</si>
  <si>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</si>
  <si>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</si>
  <si>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</si>
  <si>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</si>
  <si>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</si>
  <si>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</si>
  <si>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</si>
  <si>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</si>
  <si>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</si>
  <si>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</si>
  <si>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</si>
  <si>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</si>
  <si>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</si>
  <si>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</si>
  <si>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</si>
  <si>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</si>
  <si>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</si>
  <si>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</si>
  <si>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</si>
  <si>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</si>
  <si>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</si>
  <si>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</si>
  <si>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</si>
  <si>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</si>
  <si>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</si>
  <si>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</si>
  <si>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</si>
  <si>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</si>
  <si>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</si>
  <si>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</si>
  <si>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</si>
  <si>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</si>
  <si>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</si>
  <si>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</si>
  <si>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</si>
  <si>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</si>
  <si>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</si>
  <si>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</si>
  <si>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</si>
  <si>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</si>
  <si>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</si>
  <si>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</si>
  <si>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</si>
  <si>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</si>
  <si>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</si>
  <si>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</si>
  <si>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</si>
  <si>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</si>
  <si>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</si>
  <si>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</si>
  <si>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</si>
  <si>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</si>
  <si>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</si>
  <si>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</si>
  <si>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</si>
  <si>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</si>
  <si>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</si>
  <si>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</si>
  <si>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</si>
  <si>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</si>
  <si>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</si>
  <si>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</si>
  <si>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</si>
  <si>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</si>
  <si>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</si>
  <si>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</si>
  <si>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</si>
  <si>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</si>
  <si>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</si>
  <si>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</si>
  <si>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</si>
  <si>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</si>
  <si>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</si>
  <si>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</si>
  <si>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</si>
  <si>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</si>
  <si>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</si>
  <si>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</si>
  <si>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</si>
  <si>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</si>
  <si>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</si>
  <si>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</si>
  <si>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</si>
  <si>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</si>
  <si>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</si>
  <si>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</si>
  <si>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</si>
  <si>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</si>
  <si>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</si>
  <si>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</si>
  <si>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</si>
  <si>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</si>
  <si>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</si>
  <si>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</si>
  <si>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</si>
  <si>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</si>
  <si>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</si>
  <si>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</si>
  <si>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</si>
  <si>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</si>
  <si>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</si>
  <si>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</si>
  <si>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</si>
  <si>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</si>
  <si>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</si>
  <si>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</si>
  <si>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</si>
  <si>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</si>
  <si>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</si>
  <si>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</si>
  <si>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</si>
  <si>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</si>
  <si>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</si>
  <si>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</si>
  <si>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</si>
  <si>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</si>
  <si>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</si>
  <si>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</si>
  <si>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</si>
  <si>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</si>
  <si>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</si>
  <si>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</si>
  <si>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</si>
  <si>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</si>
  <si>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</si>
  <si>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</si>
  <si>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</si>
  <si>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</si>
  <si>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</si>
  <si>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</si>
  <si>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</si>
  <si>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</si>
  <si>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</si>
  <si>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</si>
  <si>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</si>
  <si>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</si>
  <si>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</si>
  <si>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</si>
  <si>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</si>
  <si>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</si>
  <si>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</si>
  <si>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</si>
  <si>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</si>
  <si>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</si>
  <si>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</si>
  <si>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</si>
  <si>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</si>
  <si>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</si>
  <si>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</si>
  <si>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</si>
  <si>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</si>
  <si>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</si>
  <si>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</si>
  <si>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</si>
  <si>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</si>
  <si>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</si>
  <si>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</si>
  <si>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</si>
  <si>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</si>
  <si>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</si>
  <si>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</si>
  <si>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</si>
  <si>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</si>
  <si>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</si>
  <si>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</si>
  <si>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</si>
  <si>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</si>
  <si>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</si>
  <si>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</si>
  <si>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</si>
  <si>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</si>
  <si>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</si>
  <si>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</si>
  <si>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</si>
  <si>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</si>
  <si>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</si>
  <si>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</si>
  <si>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</si>
  <si>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</si>
  <si>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</si>
  <si>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</si>
  <si>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</si>
  <si>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</si>
  <si>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</si>
  <si>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</si>
  <si>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</si>
  <si>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</si>
  <si>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</si>
  <si>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</si>
  <si>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</si>
  <si>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</si>
  <si>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</si>
  <si>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</si>
  <si>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</si>
  <si>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</si>
  <si>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</si>
  <si>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</si>
  <si>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</si>
  <si>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</si>
  <si>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</si>
  <si>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</si>
  <si>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</si>
  <si>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</si>
  <si>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</si>
  <si>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</si>
  <si>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</si>
  <si>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</si>
  <si>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</si>
  <si>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</si>
  <si>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</si>
  <si>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</si>
  <si>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</si>
  <si>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</si>
  <si>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</si>
  <si>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</si>
  <si>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</si>
  <si>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</si>
  <si>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</si>
  <si>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</si>
  <si>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</si>
  <si>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</si>
  <si>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</si>
  <si>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</si>
  <si>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</si>
  <si>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</si>
  <si>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</si>
  <si>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</si>
  <si>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</si>
  <si>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</si>
  <si>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</si>
  <si>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</si>
  <si>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</si>
  <si>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</si>
  <si>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</si>
  <si>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</si>
  <si>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</si>
  <si>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</si>
  <si>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</si>
  <si>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</si>
  <si>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</si>
  <si>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</si>
  <si>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</si>
  <si>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</si>
  <si>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</si>
  <si>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</si>
  <si>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</si>
  <si>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</si>
  <si>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</si>
  <si>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</si>
  <si>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</si>
  <si>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</si>
  <si>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</si>
  <si>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</si>
  <si>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</si>
  <si>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</si>
  <si>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</si>
  <si>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</si>
  <si>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</si>
  <si>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</si>
  <si>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</si>
  <si>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</si>
  <si>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</si>
  <si>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</si>
  <si>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</si>
  <si>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</si>
  <si>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</si>
  <si>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</si>
  <si>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</si>
  <si>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</si>
  <si>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</si>
  <si>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</si>
  <si>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</si>
  <si>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</si>
  <si>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</si>
  <si>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</si>
  <si>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</si>
  <si>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</si>
  <si>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</si>
  <si>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</si>
  <si>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</si>
  <si>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</si>
  <si>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</si>
  <si>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</si>
  <si>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</si>
  <si>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</si>
  <si>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</si>
  <si>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</si>
  <si>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</si>
  <si>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</si>
  <si>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</si>
  <si>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</si>
  <si>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</si>
  <si>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</si>
  <si>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</si>
  <si>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</si>
  <si>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</si>
  <si>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</si>
  <si>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</si>
  <si>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</si>
  <si>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</si>
  <si>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</si>
  <si>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</si>
  <si>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</si>
  <si>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</si>
  <si>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</si>
  <si>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</si>
  <si>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</si>
  <si>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</si>
  <si>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</si>
  <si>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</si>
  <si>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</si>
  <si>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</si>
  <si>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</si>
  <si>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</si>
  <si>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</si>
  <si>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</si>
  <si>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</si>
  <si>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</si>
  <si>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</si>
  <si>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</si>
  <si>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</si>
  <si>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</si>
  <si>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</si>
  <si>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</si>
  <si>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</si>
  <si>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</si>
  <si>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</si>
  <si>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</si>
  <si>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</si>
  <si>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</si>
  <si>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</si>
  <si>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</si>
  <si>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</si>
  <si>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</si>
  <si>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</si>
  <si>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</si>
  <si>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</si>
  <si>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</si>
  <si>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</si>
  <si>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</si>
  <si>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</si>
  <si>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</si>
  <si>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</si>
  <si>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</si>
  <si>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</si>
  <si>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</si>
  <si>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</si>
  <si>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</si>
  <si>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</si>
  <si>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</si>
  <si>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</si>
  <si>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</si>
  <si>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</si>
  <si>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</si>
  <si>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</si>
  <si>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</si>
  <si>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</si>
  <si>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</si>
  <si>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</si>
  <si>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</si>
  <si>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</si>
  <si>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</si>
  <si>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</si>
  <si>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</si>
  <si>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</si>
  <si>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</si>
  <si>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</si>
  <si>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</si>
  <si>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</si>
  <si>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</si>
  <si>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</si>
  <si>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</si>
  <si>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</si>
  <si>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</si>
  <si>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</si>
  <si>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</si>
  <si>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</si>
  <si>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</si>
  <si>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</si>
  <si>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</si>
  <si>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</si>
  <si>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</si>
  <si>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</si>
  <si>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</si>
  <si>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</si>
  <si>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</si>
  <si>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</si>
  <si>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</si>
  <si>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</si>
  <si>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</si>
  <si>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</si>
  <si>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</si>
  <si>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</si>
  <si>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</si>
  <si>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</si>
  <si>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</si>
  <si>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</si>
  <si>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</si>
  <si>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</si>
  <si>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</si>
  <si>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</si>
  <si>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</si>
  <si>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</si>
  <si>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</si>
  <si>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</si>
  <si>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</si>
  <si>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</si>
  <si>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</si>
  <si>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</si>
  <si>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</si>
  <si>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</si>
  <si>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</si>
  <si>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</si>
  <si>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</si>
  <si>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</si>
  <si>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</si>
  <si>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</si>
  <si>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</si>
  <si>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</si>
  <si>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</si>
  <si>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</si>
  <si>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</si>
  <si>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</si>
  <si>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</si>
  <si>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</si>
  <si>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</si>
  <si>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</si>
  <si>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</si>
  <si>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</si>
  <si>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</si>
  <si>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</si>
  <si>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</si>
  <si>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</si>
  <si>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</si>
  <si>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</si>
  <si>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</si>
  <si>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</si>
  <si>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</si>
  <si>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</si>
  <si>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</si>
  <si>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</si>
  <si>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</si>
  <si>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</si>
  <si>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</si>
  <si>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</si>
  <si>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</si>
  <si>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</si>
  <si>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</si>
  <si>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</si>
  <si>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</si>
  <si>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</si>
  <si>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</si>
  <si>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</si>
  <si>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</si>
  <si>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</si>
  <si>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</si>
  <si>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</si>
  <si>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</si>
  <si>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</si>
  <si>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</si>
  <si>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</si>
  <si>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</si>
  <si>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</si>
  <si>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</si>
  <si>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</si>
  <si>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</si>
  <si>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</si>
  <si>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</si>
  <si>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</si>
  <si>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</si>
  <si>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</si>
  <si>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</si>
  <si>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</si>
  <si>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</si>
  <si>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</si>
  <si>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</si>
  <si>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</si>
  <si>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</si>
  <si>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</si>
  <si>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</si>
  <si>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</si>
  <si>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</si>
  <si>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</si>
  <si>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</si>
  <si>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</si>
  <si>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</si>
  <si>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</si>
  <si>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</si>
  <si>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</si>
  <si>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</si>
  <si>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</si>
  <si>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</si>
  <si>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</si>
  <si>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</si>
  <si>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</si>
  <si>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</si>
  <si>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</si>
  <si>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</si>
  <si>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</si>
  <si>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</si>
  <si>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</si>
  <si>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</si>
  <si>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</si>
  <si>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</si>
  <si>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</si>
  <si>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</si>
  <si>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</si>
  <si>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</si>
  <si>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</si>
  <si>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</si>
  <si>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</si>
  <si>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</si>
  <si>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</si>
  <si>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</si>
  <si>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</si>
  <si>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</si>
  <si>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</si>
  <si>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</si>
  <si>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</si>
  <si>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</si>
  <si>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</si>
  <si>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</si>
  <si>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</si>
  <si>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</si>
  <si>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</si>
  <si>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</si>
  <si>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</si>
  <si>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</si>
  <si>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</si>
  <si>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</si>
  <si>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</si>
  <si>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</si>
  <si>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</si>
  <si>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</si>
  <si>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</si>
  <si>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</si>
  <si>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</si>
  <si>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</si>
  <si>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</si>
  <si>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</si>
  <si>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</si>
  <si>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</si>
  <si>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</si>
  <si>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</si>
  <si>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</si>
  <si>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</si>
  <si>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</si>
  <si>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</si>
  <si>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</si>
  <si>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</si>
  <si>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</si>
  <si>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</si>
  <si>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</si>
  <si>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</si>
  <si>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</si>
  <si>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</si>
  <si>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</si>
  <si>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</si>
  <si>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</si>
  <si>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</si>
  <si>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</si>
  <si>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</si>
  <si>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</si>
  <si>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</si>
  <si>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</si>
  <si>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</si>
  <si>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</si>
  <si>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</si>
  <si>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</si>
  <si>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</si>
  <si>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</si>
  <si>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</si>
  <si>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</si>
  <si>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</si>
  <si>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</si>
  <si>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</si>
  <si>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</si>
  <si>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</si>
  <si>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</si>
  <si>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</si>
  <si>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</si>
  <si>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</si>
  <si>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</si>
  <si>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</si>
  <si>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</si>
  <si>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</si>
  <si>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</si>
  <si>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</si>
  <si>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</si>
  <si>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</si>
  <si>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</si>
  <si>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</si>
  <si>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</si>
  <si>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</si>
  <si>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</si>
  <si>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</si>
  <si>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</si>
  <si>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</si>
  <si>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</si>
  <si>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</si>
  <si>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</si>
  <si>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</si>
  <si>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</si>
  <si>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</si>
  <si>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</si>
  <si>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</si>
  <si>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</si>
  <si>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</si>
  <si>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</si>
  <si>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</si>
  <si>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</si>
  <si>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</si>
  <si>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</si>
  <si>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</si>
  <si>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</si>
  <si>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</si>
  <si>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</si>
  <si>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</si>
  <si>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</si>
  <si>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</si>
  <si>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</si>
  <si>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</si>
  <si>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</si>
  <si>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</si>
  <si>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</si>
  <si>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</si>
  <si>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</si>
  <si>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</si>
  <si>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</si>
  <si>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</si>
  <si>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</si>
  <si>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</si>
  <si>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</si>
  <si>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</si>
  <si>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</si>
  <si>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</si>
  <si>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</si>
  <si>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</si>
  <si>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</si>
  <si>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</si>
  <si>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</si>
  <si>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</si>
  <si>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</si>
  <si>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</si>
  <si>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</si>
  <si>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</si>
  <si>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</si>
  <si>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</si>
  <si>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</si>
  <si>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</si>
  <si>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</si>
  <si>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</si>
  <si>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</si>
  <si>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</si>
  <si>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</si>
  <si>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</si>
  <si>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</si>
  <si>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</si>
  <si>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</si>
  <si>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</si>
  <si>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</si>
  <si>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</si>
  <si>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</si>
  <si>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</si>
  <si>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</si>
  <si>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</si>
  <si>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</si>
  <si>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</si>
  <si>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</si>
  <si>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</si>
  <si>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</si>
  <si>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</si>
  <si>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</si>
  <si>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</si>
  <si>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</si>
  <si>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</si>
  <si>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</si>
  <si>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</si>
  <si>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</si>
  <si>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</si>
  <si>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</si>
  <si>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</si>
  <si>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</si>
  <si>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</si>
  <si>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</si>
  <si>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</si>
  <si>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</si>
  <si>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</si>
  <si>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</si>
  <si>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</si>
  <si>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</si>
  <si>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</si>
  <si>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</si>
  <si>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</si>
  <si>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</si>
  <si>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</si>
  <si>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</si>
  <si>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</si>
  <si>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</si>
  <si>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</si>
  <si>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</si>
  <si>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</si>
  <si>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</si>
  <si>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</si>
  <si>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</si>
  <si>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</si>
  <si>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</si>
  <si>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</si>
  <si>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</si>
  <si>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</si>
  <si>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</si>
  <si>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</si>
  <si>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</si>
  <si>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</si>
  <si>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</si>
  <si>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</si>
  <si>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</si>
  <si>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</si>
  <si>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</si>
  <si>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</si>
  <si>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</si>
  <si>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</si>
  <si>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</si>
  <si>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</si>
  <si>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</si>
  <si>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</si>
  <si>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</si>
  <si>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</si>
  <si>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</si>
  <si>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</si>
  <si>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</si>
  <si>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</si>
  <si>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</si>
  <si>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</si>
  <si>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</si>
  <si>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</si>
  <si>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</si>
  <si>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</si>
  <si>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</si>
  <si>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</si>
  <si>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</si>
  <si>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</si>
  <si>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</si>
  <si>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</si>
  <si>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</si>
  <si>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</si>
  <si>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</si>
  <si>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</si>
  <si>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</si>
  <si>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</si>
  <si>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</si>
  <si>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</si>
  <si>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</si>
  <si>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</si>
  <si>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</si>
  <si>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</si>
  <si>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</si>
  <si>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</si>
  <si>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</si>
  <si>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</si>
  <si>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</si>
  <si>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</si>
  <si>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</si>
  <si>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</si>
  <si>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</si>
  <si>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</si>
  <si>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</si>
  <si>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</si>
  <si>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</si>
  <si>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</si>
  <si>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</si>
  <si>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</si>
  <si>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</si>
  <si>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</si>
  <si>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</si>
  <si>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</si>
  <si>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</si>
  <si>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</si>
  <si>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</si>
  <si>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</si>
  <si>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</si>
  <si>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</si>
  <si>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</si>
  <si>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</si>
  <si>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</si>
  <si>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</si>
  <si>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</si>
  <si>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</si>
  <si>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</si>
  <si>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</si>
  <si>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</si>
  <si>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</si>
  <si>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</si>
  <si>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</si>
  <si>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</si>
  <si>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</si>
  <si>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</si>
  <si>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</si>
  <si>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</si>
  <si>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</si>
  <si>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</si>
  <si>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</si>
  <si>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</si>
  <si>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</si>
  <si>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</si>
  <si>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</si>
  <si>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</si>
  <si>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</si>
  <si>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</si>
  <si>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</si>
  <si>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</si>
  <si>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</si>
  <si>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</si>
  <si>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</si>
  <si>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</si>
  <si>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</si>
  <si>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</si>
  <si>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</si>
  <si>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</si>
  <si>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</si>
  <si>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</si>
  <si>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</si>
  <si>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</si>
  <si>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</si>
  <si>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</si>
  <si>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</si>
  <si>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</si>
  <si>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</si>
  <si>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</si>
  <si>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</si>
  <si>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</si>
  <si>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</si>
  <si>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</si>
  <si>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</si>
  <si>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</si>
  <si>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</si>
  <si>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</si>
  <si>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</si>
  <si>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</si>
  <si>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</si>
  <si>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</si>
  <si>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</si>
  <si>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</si>
  <si>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</si>
  <si>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</si>
  <si>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</si>
  <si>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</si>
  <si>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</si>
  <si>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</si>
  <si>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</si>
  <si>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</si>
  <si>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</si>
  <si>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</si>
  <si>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</si>
  <si>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</si>
  <si>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</si>
  <si>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</si>
  <si>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</si>
  <si>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</si>
  <si>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</si>
  <si>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</si>
  <si>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</si>
  <si>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</si>
  <si>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</si>
  <si>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</si>
  <si>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</si>
  <si>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</si>
  <si>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</si>
  <si>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</si>
  <si>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</si>
  <si>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</si>
  <si>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</si>
  <si>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</si>
  <si>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</si>
  <si>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</si>
  <si>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</si>
  <si>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</si>
  <si>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</si>
  <si>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</si>
  <si>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</si>
  <si>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</si>
  <si>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</si>
  <si>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</si>
  <si>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</si>
  <si>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</si>
  <si>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</si>
  <si>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</si>
  <si>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</si>
  <si>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</si>
  <si>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</si>
  <si>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</si>
  <si>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</si>
  <si>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</si>
  <si>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</si>
  <si>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</si>
  <si>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</si>
  <si>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</si>
  <si>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</si>
  <si>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</si>
  <si>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</si>
  <si>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</si>
  <si>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</si>
  <si>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</si>
  <si>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</si>
  <si>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</si>
  <si>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</si>
  <si>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</si>
  <si>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</si>
  <si>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</si>
  <si>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</si>
  <si>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</si>
  <si>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</si>
  <si>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</si>
  <si>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</si>
  <si>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</si>
  <si>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</si>
  <si>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</si>
  <si>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</si>
  <si>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</si>
  <si>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</si>
  <si>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</si>
  <si>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</si>
  <si>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</si>
  <si>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</si>
  <si>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</si>
  <si>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</si>
  <si>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</si>
  <si>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</si>
  <si>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</si>
  <si>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</si>
  <si>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</si>
  <si>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</si>
  <si>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</si>
  <si>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</si>
  <si>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</si>
  <si>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</si>
  <si>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</si>
  <si>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</si>
  <si>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</si>
  <si>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</si>
  <si>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</si>
  <si>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</si>
  <si>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</si>
  <si>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</si>
  <si>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</si>
  <si>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</si>
  <si>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</si>
  <si>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</si>
  <si>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</si>
  <si>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</si>
  <si>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</si>
  <si>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</si>
  <si>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</si>
  <si>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</si>
  <si>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</si>
  <si>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</si>
  <si>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</si>
  <si>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</si>
  <si>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</si>
  <si>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</si>
  <si>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</si>
  <si>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</si>
  <si>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</si>
  <si>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</si>
  <si>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</si>
  <si>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</si>
  <si>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</si>
  <si>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</si>
  <si>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</si>
  <si>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</si>
  <si>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</si>
  <si>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</si>
  <si>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</si>
  <si>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</si>
  <si>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</si>
  <si>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</si>
  <si>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</si>
  <si>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</si>
  <si>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</si>
  <si>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</si>
  <si>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</si>
  <si>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</si>
  <si>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</si>
  <si>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</si>
  <si>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</si>
  <si>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</si>
  <si>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</si>
  <si>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</si>
  <si>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</si>
  <si>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</si>
  <si>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</si>
  <si>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</si>
  <si>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</si>
  <si>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</si>
  <si>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</si>
  <si>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</si>
  <si>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</si>
  <si>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</si>
  <si>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</si>
  <si>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</si>
  <si>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</si>
  <si>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</si>
  <si>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</si>
  <si>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</si>
  <si>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</si>
  <si>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</si>
  <si>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</si>
  <si>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</si>
  <si>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</si>
  <si>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</si>
  <si>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</si>
  <si>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</si>
  <si>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</si>
  <si>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</si>
  <si>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</si>
  <si>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</si>
  <si>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</si>
  <si>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</si>
  <si>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</si>
  <si>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</si>
  <si>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</si>
  <si>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</si>
  <si>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</si>
  <si>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</si>
  <si>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</si>
  <si>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</si>
  <si>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</si>
  <si>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</si>
  <si>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</si>
  <si>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</si>
  <si>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</si>
  <si>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</si>
  <si>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</si>
  <si>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</si>
  <si>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</si>
  <si>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</si>
  <si>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</si>
  <si>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</si>
  <si>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</si>
  <si>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</si>
  <si>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</si>
  <si>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</si>
  <si>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</si>
  <si>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</si>
  <si>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</si>
  <si>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</si>
  <si>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</si>
  <si>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</si>
  <si>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</si>
  <si>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</si>
  <si>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</si>
  <si>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</si>
  <si>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</si>
  <si>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</si>
  <si>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</si>
  <si>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</si>
  <si>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</si>
  <si>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</si>
  <si>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</si>
  <si>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</si>
  <si>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</si>
  <si>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</si>
  <si>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</si>
  <si>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</si>
  <si>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</si>
  <si>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</si>
  <si>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</si>
  <si>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</si>
  <si>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</si>
  <si>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</si>
  <si>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</si>
  <si>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</si>
  <si>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</si>
  <si>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</si>
  <si>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</si>
  <si>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</si>
  <si>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</si>
  <si>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</si>
  <si>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</si>
  <si>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</si>
  <si>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</si>
  <si>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</si>
  <si>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</si>
  <si>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</si>
  <si>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</si>
  <si>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</si>
  <si>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</si>
  <si>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</si>
  <si>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</si>
  <si>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</si>
  <si>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</si>
  <si>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</si>
  <si>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</si>
  <si>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</si>
  <si>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</si>
  <si>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</si>
  <si>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</si>
  <si>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</si>
  <si>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</si>
  <si>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</si>
  <si>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</si>
  <si>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</si>
  <si>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</si>
  <si>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</si>
  <si>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</si>
  <si>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</si>
  <si>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</si>
  <si>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</si>
  <si>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</si>
  <si>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</si>
  <si>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</si>
  <si>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</si>
  <si>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</si>
  <si>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</si>
  <si>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</si>
  <si>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</si>
  <si>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</si>
  <si>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</si>
  <si>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</si>
  <si>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</si>
  <si>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</si>
  <si>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</si>
  <si>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</si>
  <si>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</si>
  <si>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</si>
  <si>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</si>
  <si>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</si>
  <si>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</si>
  <si>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</si>
  <si>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</si>
  <si>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</si>
  <si>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</si>
  <si>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</si>
  <si>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</si>
  <si>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</si>
  <si>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</si>
  <si>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</si>
  <si>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</si>
  <si>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</si>
  <si>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</si>
  <si>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</si>
  <si>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</si>
  <si>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</si>
  <si>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</si>
  <si>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</si>
  <si>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</si>
  <si>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</si>
  <si>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</si>
  <si>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</si>
  <si>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</si>
  <si>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</si>
  <si>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</si>
  <si>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</si>
  <si>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</si>
  <si>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</si>
  <si>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</si>
  <si>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</si>
  <si>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</si>
  <si>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</si>
  <si>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</si>
  <si>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</si>
  <si>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</si>
  <si>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</si>
  <si>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</si>
  <si>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</si>
  <si>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</si>
  <si>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</si>
  <si>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</si>
  <si>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</si>
  <si>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</si>
  <si>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</si>
  <si>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</si>
  <si>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</si>
  <si>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</si>
  <si>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</si>
  <si>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</si>
  <si>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</si>
  <si>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</si>
  <si>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</si>
  <si>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</si>
  <si>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</si>
  <si>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</si>
  <si>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</si>
  <si>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</si>
  <si>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</si>
  <si>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</si>
  <si>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</si>
  <si>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</si>
  <si>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</si>
  <si>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</si>
  <si>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</si>
  <si>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</si>
  <si>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</si>
  <si>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</si>
  <si>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</si>
  <si>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</si>
  <si>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</si>
  <si>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</si>
  <si>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</si>
  <si>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</si>
  <si>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</si>
  <si>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</si>
  <si>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</si>
  <si>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</si>
  <si>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</si>
  <si>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</si>
  <si>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</si>
  <si>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</si>
  <si>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</si>
  <si>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</si>
  <si>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</si>
  <si>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</si>
  <si>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</si>
  <si>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</si>
  <si>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</si>
  <si>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</si>
  <si>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</si>
  <si>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</si>
  <si>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</si>
  <si>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</si>
  <si>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</si>
  <si>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</si>
  <si>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</si>
  <si>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</si>
  <si>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</si>
  <si>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</si>
  <si>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</si>
  <si>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</si>
  <si>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</si>
  <si>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</si>
  <si>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</si>
  <si>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</si>
  <si>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</si>
  <si>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</si>
  <si>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</si>
  <si>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</si>
  <si>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</si>
  <si>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</si>
  <si>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</si>
  <si>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</si>
  <si>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</si>
  <si>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</si>
  <si>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</si>
  <si>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</si>
  <si>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</si>
  <si>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</si>
  <si>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</si>
  <si>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</si>
  <si>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</si>
  <si>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</si>
  <si>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</si>
  <si>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</si>
  <si>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</si>
  <si>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</si>
  <si>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</si>
  <si>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</si>
  <si>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</si>
  <si>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</si>
  <si>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</si>
  <si>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</si>
  <si>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</si>
  <si>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</si>
  <si>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</si>
  <si>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</si>
  <si>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</si>
  <si>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</si>
  <si>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</si>
  <si>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</si>
  <si>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</si>
  <si>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</si>
  <si>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</si>
  <si>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</si>
  <si>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</si>
  <si>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</si>
  <si>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</si>
  <si>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</si>
  <si>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</si>
  <si>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</si>
  <si>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</si>
  <si>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</si>
  <si>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</si>
  <si>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</si>
  <si>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</si>
  <si>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</si>
  <si>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</si>
  <si>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</si>
  <si>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</si>
  <si>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</si>
  <si>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</si>
  <si>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</si>
  <si>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</si>
  <si>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</si>
  <si>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</si>
  <si>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</si>
  <si>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</si>
  <si>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</si>
  <si>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</si>
  <si>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</si>
  <si>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</si>
  <si>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</si>
  <si>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</si>
  <si>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</si>
  <si>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</si>
  <si>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</si>
  <si>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</si>
  <si>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</si>
  <si>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</si>
  <si>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</si>
  <si>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</si>
  <si>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</si>
  <si>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</si>
  <si>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</si>
  <si>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</si>
  <si>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</si>
  <si>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</si>
  <si>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</si>
  <si>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</si>
  <si>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</si>
  <si>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</si>
  <si>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</si>
  <si>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</si>
  <si>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</si>
  <si>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</si>
  <si>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</si>
  <si>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</si>
  <si>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</si>
  <si>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</si>
  <si>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</si>
  <si>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</si>
  <si>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</si>
  <si>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</si>
  <si>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</si>
  <si>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</si>
  <si>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</si>
  <si>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</si>
  <si>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</si>
  <si>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</si>
  <si>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</si>
  <si>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</si>
  <si>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</si>
  <si>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</si>
  <si>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</si>
  <si>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</si>
  <si>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</si>
  <si>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</si>
  <si>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</si>
  <si>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</si>
  <si>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</si>
  <si>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</si>
  <si>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</si>
  <si>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</si>
  <si>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</si>
  <si>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</si>
  <si>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</si>
  <si>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</si>
  <si>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</si>
  <si>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</si>
  <si>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</si>
  <si>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</si>
  <si>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</si>
  <si>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</si>
  <si>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</si>
  <si>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</si>
  <si>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</si>
  <si>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</si>
  <si>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</si>
  <si>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</si>
  <si>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</si>
  <si>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</si>
  <si>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</si>
  <si>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</si>
  <si>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</si>
  <si>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</si>
  <si>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</si>
  <si>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</si>
  <si>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</si>
  <si>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</si>
  <si>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</si>
  <si>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</si>
  <si>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</si>
  <si>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</si>
  <si>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</si>
  <si>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</si>
  <si>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</si>
  <si>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</si>
  <si>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</si>
  <si>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</si>
  <si>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</si>
  <si>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</si>
  <si>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</si>
  <si>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</si>
  <si>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</si>
  <si>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</si>
  <si>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</si>
  <si>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</si>
  <si>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</si>
  <si>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</si>
  <si>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</si>
  <si>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</si>
  <si>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</si>
  <si>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</si>
  <si>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</si>
  <si>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</si>
  <si>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</si>
  <si>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</si>
  <si>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</si>
  <si>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</si>
  <si>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</si>
  <si>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</si>
  <si>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</si>
  <si>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</si>
  <si>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</si>
  <si>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</si>
  <si>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</si>
  <si>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</si>
  <si>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</si>
  <si>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</si>
  <si>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</si>
  <si>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</si>
  <si>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</si>
  <si>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</si>
  <si>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</si>
  <si>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</si>
  <si>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</si>
  <si>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</si>
  <si>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</si>
  <si>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</si>
  <si>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</si>
  <si>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</si>
  <si>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</si>
  <si>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</si>
  <si>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</si>
  <si>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</si>
  <si>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</si>
  <si>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</si>
  <si>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</si>
  <si>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</si>
  <si>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</si>
  <si>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</si>
  <si>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</si>
  <si>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</si>
  <si>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</si>
  <si>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</si>
  <si>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</si>
  <si>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</si>
  <si>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</si>
  <si>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</si>
  <si>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</si>
  <si>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</si>
  <si>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</si>
  <si>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</si>
  <si>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</si>
  <si>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</si>
  <si>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</si>
  <si>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</si>
  <si>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</si>
  <si>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</si>
  <si>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</si>
  <si>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</si>
  <si>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</si>
  <si>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</si>
  <si>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</si>
  <si>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</si>
  <si>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</si>
  <si>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</si>
  <si>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</si>
  <si>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</si>
  <si>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</si>
  <si>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</si>
  <si>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</si>
  <si>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</si>
  <si>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</si>
  <si>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</si>
  <si>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</si>
  <si>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</si>
  <si>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</si>
  <si>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</si>
  <si>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</si>
  <si>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</si>
  <si>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</si>
  <si>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</si>
  <si>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</si>
  <si>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</si>
  <si>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</si>
  <si>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</si>
  <si>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</si>
  <si>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</si>
  <si>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</si>
  <si>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</si>
  <si>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</si>
  <si>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</si>
  <si>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</si>
  <si>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</si>
  <si>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</si>
  <si>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</si>
  <si>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</si>
  <si>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</si>
  <si>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</si>
  <si>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</si>
  <si>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</si>
  <si>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</si>
  <si>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</si>
  <si>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</si>
  <si>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</si>
  <si>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</si>
  <si>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</si>
  <si>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</si>
  <si>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</si>
  <si>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</si>
  <si>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</si>
  <si>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</si>
  <si>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</si>
  <si>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</si>
  <si>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</si>
  <si>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</si>
  <si>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</si>
  <si>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</si>
  <si>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</si>
  <si>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</si>
  <si>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</si>
  <si>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</si>
  <si>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</si>
  <si>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</si>
  <si>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</si>
  <si>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</si>
  <si>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</si>
  <si>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</si>
  <si>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</si>
  <si>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</si>
  <si>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</si>
  <si>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</si>
  <si>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</si>
  <si>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</si>
  <si>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</si>
  <si>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</si>
  <si>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</si>
  <si>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</si>
  <si>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</si>
  <si>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</si>
  <si>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</si>
  <si>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</si>
  <si>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</si>
  <si>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</si>
  <si>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</si>
  <si>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</si>
  <si>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</si>
  <si>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</si>
  <si>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</si>
  <si>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</si>
  <si>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</si>
  <si>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</si>
  <si>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</si>
  <si>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</si>
  <si>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</si>
  <si>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</si>
  <si>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</si>
  <si>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</si>
  <si>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</si>
  <si>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</si>
  <si>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</si>
  <si>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</si>
  <si>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</si>
  <si>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</si>
  <si>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</si>
  <si>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</si>
  <si>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</si>
  <si>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</si>
  <si>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</si>
  <si>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</si>
  <si>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</si>
  <si>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</si>
  <si>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</si>
  <si>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</si>
  <si>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</si>
  <si>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</si>
  <si>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</si>
  <si>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</si>
  <si>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</si>
  <si>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</si>
  <si>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</si>
  <si>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</si>
  <si>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</si>
  <si>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</si>
  <si>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</si>
  <si>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</si>
  <si>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</si>
  <si>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</si>
  <si>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</si>
  <si>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</si>
  <si>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</si>
  <si>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</si>
  <si>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</si>
  <si>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</si>
  <si>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</si>
  <si>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</si>
  <si>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</si>
  <si>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</si>
  <si>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</si>
  <si>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</si>
  <si>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</si>
  <si>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</si>
  <si>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</si>
  <si>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</si>
  <si>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</si>
  <si>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</si>
  <si>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</si>
  <si>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</si>
  <si>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</si>
  <si>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</si>
  <si>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</si>
  <si>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</si>
  <si>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</si>
  <si>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</si>
  <si>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</si>
  <si>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</si>
  <si>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</si>
  <si>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</si>
  <si>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</si>
  <si>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</si>
  <si>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</si>
  <si>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</si>
  <si>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</si>
  <si>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</si>
  <si>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</si>
  <si>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</si>
  <si>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</si>
  <si>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</si>
  <si>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</si>
  <si>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</si>
  <si>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</si>
  <si>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</si>
  <si>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</si>
  <si>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</si>
  <si>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</si>
  <si>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</si>
  <si>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</si>
  <si>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</si>
  <si>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</si>
  <si>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</si>
  <si>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</si>
  <si>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</si>
  <si>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</si>
  <si>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</si>
  <si>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</si>
  <si>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</si>
  <si>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</si>
  <si>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</si>
  <si>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</si>
  <si>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</si>
  <si>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</si>
  <si>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</si>
  <si>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</si>
  <si>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</si>
  <si>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</si>
  <si>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</si>
  <si>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</si>
  <si>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</si>
  <si>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</si>
  <si>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</si>
  <si>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</si>
  <si>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</si>
  <si>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</si>
  <si>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</si>
  <si>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</si>
  <si>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</si>
  <si>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</si>
  <si>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</si>
  <si>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</si>
  <si>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</si>
  <si>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</si>
  <si>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</si>
  <si>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</si>
  <si>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</si>
  <si>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</si>
  <si>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</si>
  <si>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</si>
  <si>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</si>
  <si>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</si>
  <si>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</si>
  <si>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</si>
  <si>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</si>
  <si>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</si>
  <si>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</si>
  <si>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</si>
  <si>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</si>
  <si>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</si>
  <si>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</si>
  <si>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</si>
  <si>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</si>
  <si>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</si>
  <si>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</si>
  <si>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</si>
  <si>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</si>
  <si>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</si>
  <si>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</si>
  <si>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</si>
  <si>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</si>
  <si>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</si>
  <si>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</si>
  <si>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</si>
  <si>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</si>
  <si>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</si>
  <si>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</si>
  <si>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</si>
  <si>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</si>
  <si>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</si>
  <si>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</si>
  <si>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</si>
  <si>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</si>
  <si>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</si>
  <si>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</si>
  <si>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</si>
  <si>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</si>
  <si>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</si>
  <si>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</si>
  <si>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</si>
  <si>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</si>
  <si>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</si>
  <si>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</si>
  <si>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</si>
  <si>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</si>
  <si>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</si>
  <si>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</si>
  <si>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</si>
  <si>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</si>
  <si>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</si>
  <si>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</si>
  <si>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</si>
  <si>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</si>
  <si>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</si>
  <si>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</si>
  <si>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</si>
  <si>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</si>
  <si>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</si>
  <si>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</si>
  <si>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</si>
  <si>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</si>
  <si>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</si>
  <si>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</si>
  <si>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</si>
  <si>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</si>
  <si>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</si>
  <si>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</si>
  <si>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</si>
  <si>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</si>
  <si>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</si>
  <si>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</si>
  <si>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</si>
  <si>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</si>
  <si>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</si>
  <si>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</si>
  <si>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</si>
  <si>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</si>
  <si>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</si>
  <si>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</si>
  <si>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</si>
  <si>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</si>
  <si>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</si>
  <si>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</si>
  <si>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</si>
  <si>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</si>
  <si>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</si>
  <si>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</si>
  <si>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</si>
  <si>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</si>
  <si>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</si>
  <si>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</si>
  <si>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</si>
  <si>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</si>
  <si>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</si>
  <si>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</si>
  <si>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</si>
  <si>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</si>
  <si>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</si>
  <si>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</si>
  <si>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</si>
  <si>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</si>
  <si>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</si>
  <si>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</si>
  <si>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</si>
  <si>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</si>
  <si>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</si>
  <si>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</si>
  <si>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</si>
  <si>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</si>
  <si>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</si>
  <si>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</si>
  <si>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</si>
  <si>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</si>
  <si>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</si>
  <si>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</si>
  <si>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</si>
  <si>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</si>
  <si>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</si>
  <si>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</si>
  <si>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</si>
  <si>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</si>
  <si>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</si>
  <si>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</si>
  <si>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</si>
  <si>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</si>
  <si>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</si>
  <si>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</si>
  <si>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</si>
  <si>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</si>
  <si>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</si>
  <si>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</si>
  <si>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</si>
  <si>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</si>
  <si>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</si>
  <si>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</si>
  <si>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</si>
  <si>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</si>
  <si>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</si>
  <si>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</si>
  <si>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</si>
  <si>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</si>
  <si>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</si>
  <si>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</si>
  <si>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</si>
  <si>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</si>
  <si>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</si>
  <si>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</si>
  <si>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</si>
  <si>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</si>
  <si>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</si>
  <si>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</si>
  <si>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</si>
  <si>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</si>
  <si>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</si>
  <si>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</si>
  <si>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</si>
  <si>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</si>
  <si>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</si>
  <si>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</si>
  <si>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</si>
  <si>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</si>
  <si>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</si>
  <si>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</si>
  <si>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</si>
  <si>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</si>
  <si>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</si>
  <si>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</si>
  <si>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</si>
  <si>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</si>
  <si>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</si>
  <si>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</si>
  <si>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</si>
  <si>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</si>
  <si>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</si>
  <si>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</si>
  <si>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</si>
  <si>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</si>
  <si>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</si>
  <si>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</si>
  <si>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</si>
  <si>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</si>
  <si>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</si>
  <si>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</si>
  <si>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</si>
  <si>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</si>
  <si>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</si>
  <si>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</si>
  <si>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</si>
  <si>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</si>
  <si>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</si>
  <si>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</si>
  <si>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</si>
  <si>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</si>
  <si>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</si>
  <si>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</si>
  <si>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</si>
  <si>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</si>
  <si>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</si>
  <si>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</si>
  <si>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</si>
  <si>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</si>
  <si>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</si>
  <si>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</si>
  <si>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</si>
  <si>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</si>
  <si>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</si>
  <si>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</si>
  <si>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</si>
  <si>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</si>
  <si>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</si>
  <si>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</si>
  <si>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</si>
  <si>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</si>
  <si>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</si>
  <si>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</si>
  <si>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</si>
  <si>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</si>
  <si>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</si>
  <si>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</si>
  <si>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</si>
  <si>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</si>
  <si>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</si>
  <si>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</si>
  <si>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</si>
  <si>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</si>
  <si>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</si>
  <si>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</si>
  <si>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</si>
  <si>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</si>
  <si>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</si>
  <si>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</si>
  <si>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</si>
  <si>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</si>
  <si>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</si>
  <si>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</si>
  <si>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</si>
  <si>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</si>
  <si>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</si>
  <si>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</si>
  <si>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</si>
  <si>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</si>
  <si>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</si>
  <si>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</si>
  <si>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</si>
  <si>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</si>
  <si>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</si>
  <si>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</si>
  <si>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</si>
  <si>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</si>
  <si>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</si>
  <si>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</si>
  <si>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</si>
  <si>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</si>
  <si>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</si>
  <si>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</si>
  <si>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</si>
  <si>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</si>
  <si>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</si>
  <si>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</si>
  <si>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</si>
  <si>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</si>
  <si>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</si>
  <si>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</si>
  <si>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</si>
  <si>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</si>
  <si>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</si>
  <si>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</si>
  <si>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</si>
  <si>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</si>
  <si>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</si>
  <si>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</si>
  <si>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</si>
  <si>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</si>
  <si>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</si>
  <si>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</si>
  <si>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</si>
  <si>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</si>
  <si>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</si>
  <si>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</si>
  <si>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</si>
  <si>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</si>
  <si>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</si>
  <si>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</si>
  <si>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</si>
  <si>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</si>
  <si>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</si>
  <si>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</si>
  <si>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</si>
  <si>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</si>
  <si>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</si>
  <si>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</si>
  <si>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</si>
  <si>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</si>
  <si>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</si>
  <si>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</si>
  <si>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</si>
  <si>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</si>
  <si>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</si>
  <si>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</si>
  <si>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</si>
  <si>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</si>
  <si>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</si>
  <si>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</si>
  <si>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</si>
  <si>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</si>
  <si>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</si>
  <si>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</si>
  <si>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</si>
  <si>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</si>
  <si>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</si>
  <si>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</si>
  <si>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</si>
  <si>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</si>
  <si>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</si>
  <si>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</si>
  <si>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</si>
  <si>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</si>
  <si>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</si>
  <si>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</si>
  <si>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</si>
  <si>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</si>
  <si>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</si>
  <si>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</si>
  <si>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</si>
  <si>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</si>
  <si>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</si>
  <si>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</si>
  <si>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</si>
  <si>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</si>
  <si>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</si>
  <si>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</si>
  <si>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</si>
  <si>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</si>
  <si>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</si>
  <si>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</si>
  <si>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</si>
  <si>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</si>
  <si>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</si>
  <si>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</si>
  <si>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</si>
  <si>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</si>
  <si>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</si>
  <si>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</si>
  <si>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</si>
  <si>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</si>
  <si>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</si>
  <si>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</si>
  <si>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</si>
  <si>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</si>
  <si>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</si>
  <si>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</si>
  <si>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</si>
  <si>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</si>
  <si>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</si>
  <si>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</si>
  <si>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</si>
  <si>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</si>
  <si>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</si>
  <si>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</si>
  <si>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</si>
  <si>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</si>
  <si>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</si>
  <si>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</si>
  <si>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</si>
  <si>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</si>
  <si>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</si>
  <si>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</si>
  <si>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</si>
  <si>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</si>
  <si>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</si>
  <si>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</si>
  <si>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</si>
  <si>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</si>
  <si>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</si>
  <si>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</si>
  <si>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</si>
  <si>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</si>
  <si>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</si>
  <si>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</si>
  <si>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</si>
  <si>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</si>
  <si>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</si>
  <si>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</si>
  <si>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</si>
  <si>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</si>
  <si>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</si>
  <si>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</si>
  <si>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</si>
  <si>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</si>
  <si>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</si>
  <si>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</si>
  <si>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</si>
  <si>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</si>
  <si>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</si>
  <si>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</si>
  <si>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</si>
  <si>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</si>
  <si>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</si>
  <si>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</si>
  <si>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</si>
  <si>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</si>
  <si>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</si>
  <si>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</si>
  <si>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</si>
  <si>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</si>
  <si>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</si>
  <si>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</si>
  <si>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</si>
  <si>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</si>
  <si>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</si>
  <si>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</si>
  <si>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</si>
  <si>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</si>
  <si>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</si>
  <si>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</si>
  <si>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</si>
  <si>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</si>
  <si>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</si>
  <si>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</si>
  <si>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</si>
  <si>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</si>
  <si>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</si>
  <si>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</si>
  <si>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</si>
  <si>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</si>
  <si>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</si>
  <si>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</si>
  <si>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</si>
  <si>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</si>
  <si>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</si>
  <si>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</si>
  <si>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</si>
  <si>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</si>
  <si>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</si>
  <si>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</si>
  <si>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</si>
  <si>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</si>
  <si>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</si>
  <si>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</si>
  <si>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</si>
  <si>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</si>
  <si>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</si>
  <si>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</si>
  <si>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</si>
  <si>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</si>
  <si>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</si>
  <si>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</si>
  <si>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</si>
  <si>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</si>
  <si>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</si>
  <si>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</si>
  <si>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</si>
  <si>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</si>
  <si>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</si>
  <si>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</si>
  <si>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</si>
  <si>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</si>
  <si>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</si>
  <si>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</si>
  <si>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</si>
  <si>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</si>
  <si>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</si>
  <si>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</si>
  <si>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</si>
  <si>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</si>
  <si>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</si>
  <si>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</si>
  <si>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</si>
  <si>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</si>
  <si>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</si>
  <si>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</si>
  <si>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</si>
  <si>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</si>
  <si>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</si>
  <si>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</si>
  <si>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</si>
  <si>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</si>
  <si>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</si>
  <si>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</si>
  <si>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</si>
  <si>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</si>
  <si>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</si>
  <si>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</si>
  <si>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</si>
  <si>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</si>
  <si>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</si>
  <si>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</si>
  <si>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</si>
  <si>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</si>
  <si>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</si>
  <si>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</si>
  <si>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</si>
  <si>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</si>
  <si>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</si>
  <si>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</si>
  <si>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</si>
  <si>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</si>
  <si>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</si>
  <si>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</si>
  <si>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</si>
  <si>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</si>
  <si>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</si>
  <si>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</si>
  <si>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</si>
  <si>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</si>
  <si>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</si>
  <si>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</si>
  <si>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</si>
  <si>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</si>
  <si>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</si>
  <si>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</si>
  <si>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</si>
  <si>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</si>
  <si>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</si>
  <si>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</si>
  <si>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</si>
  <si>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</si>
  <si>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</si>
  <si>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</si>
  <si>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</si>
  <si>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</si>
  <si>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</si>
  <si>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</si>
  <si>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</si>
  <si>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</si>
  <si>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</si>
  <si>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</si>
  <si>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</si>
  <si>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</si>
  <si>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</si>
  <si>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</si>
  <si>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</si>
  <si>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</si>
  <si>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</si>
  <si>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</si>
  <si>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</si>
  <si>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</si>
  <si>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</si>
  <si>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</si>
  <si>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</si>
  <si>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</si>
  <si>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</si>
  <si>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</si>
  <si>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</si>
  <si>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</si>
  <si>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</si>
  <si>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</si>
  <si>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</si>
  <si>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</si>
  <si>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</si>
  <si>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</si>
  <si>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</si>
  <si>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</si>
  <si>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</si>
  <si>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</si>
  <si>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</si>
  <si>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</si>
  <si>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</si>
  <si>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</si>
  <si>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</si>
  <si>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</si>
  <si>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</si>
  <si>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</si>
  <si>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</si>
  <si>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</si>
  <si>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</si>
  <si>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</si>
  <si>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</si>
  <si>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</si>
  <si>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</si>
  <si>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</si>
  <si>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</si>
  <si>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</si>
  <si>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</si>
  <si>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</si>
  <si>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</si>
  <si>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</si>
  <si>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</si>
  <si>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</si>
  <si>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</si>
  <si>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</si>
  <si>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</si>
  <si>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</si>
  <si>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</si>
  <si>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</si>
  <si>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</si>
  <si>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</si>
  <si>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</si>
  <si>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</si>
  <si>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</si>
  <si>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</si>
  <si>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</si>
  <si>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</si>
  <si>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</si>
  <si>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</si>
  <si>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</si>
  <si>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</si>
  <si>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</si>
  <si>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</si>
  <si>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</si>
  <si>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</si>
  <si>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</si>
  <si>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</si>
  <si>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</si>
  <si>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</si>
  <si>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</si>
  <si>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</si>
  <si>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</si>
  <si>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</si>
  <si>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</si>
  <si>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</si>
  <si>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</si>
  <si>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</si>
  <si>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</si>
  <si>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</si>
  <si>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</si>
  <si>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</si>
  <si>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</si>
  <si>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</si>
  <si>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</si>
  <si>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</si>
  <si>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</si>
  <si>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</si>
  <si>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</si>
  <si>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</si>
  <si>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</si>
  <si>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</si>
  <si>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</si>
  <si>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</si>
  <si>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</si>
  <si>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</si>
  <si>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</si>
  <si>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</si>
  <si>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</si>
  <si>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</si>
  <si>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</si>
  <si>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</si>
  <si>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</si>
  <si>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</si>
  <si>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</si>
  <si>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</si>
  <si>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</si>
  <si>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</si>
  <si>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</si>
  <si>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</si>
  <si>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</si>
  <si>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</si>
  <si>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</si>
  <si>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</si>
  <si>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</si>
  <si>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</si>
  <si>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</si>
  <si>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</si>
  <si>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</si>
  <si>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</si>
  <si>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</si>
  <si>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</si>
  <si>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</si>
  <si>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</si>
  <si>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</si>
  <si>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</si>
  <si>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</si>
  <si>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</si>
  <si>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</si>
  <si>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</si>
  <si>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</si>
  <si>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</si>
  <si>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</si>
  <si>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</si>
  <si>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</si>
  <si>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</si>
  <si>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</si>
  <si>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</si>
  <si>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</si>
  <si>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</si>
  <si>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</si>
  <si>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</si>
  <si>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</si>
  <si>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</si>
  <si>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</si>
  <si>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</si>
  <si>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</si>
  <si>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</si>
  <si>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</si>
  <si>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</si>
  <si>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</si>
  <si>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</si>
  <si>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</si>
  <si>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</si>
  <si>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</si>
  <si>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</si>
  <si>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</si>
  <si>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</si>
  <si>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</si>
  <si>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</si>
  <si>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</si>
  <si>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</si>
  <si>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</si>
  <si>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</si>
  <si>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</si>
  <si>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</si>
  <si>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</si>
  <si>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</si>
  <si>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</si>
  <si>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</si>
  <si>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</si>
  <si>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</si>
  <si>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</si>
  <si>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</si>
  <si>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</si>
  <si>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</si>
  <si>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</si>
  <si>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</si>
  <si>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</si>
  <si>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</si>
  <si>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</si>
  <si>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</si>
  <si>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</si>
  <si>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</si>
  <si>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</si>
  <si>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</si>
  <si>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</si>
  <si>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</si>
  <si>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</si>
  <si>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</si>
  <si>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</si>
  <si>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</si>
  <si>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</si>
  <si>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</si>
  <si>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</si>
  <si>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</si>
  <si>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</si>
  <si>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</si>
  <si>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</si>
  <si>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</si>
  <si>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</si>
  <si>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</si>
  <si>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</si>
  <si>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</si>
  <si>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</si>
  <si>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</si>
  <si>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</si>
  <si>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</si>
  <si>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</si>
  <si>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</si>
  <si>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</si>
  <si>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</si>
  <si>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</si>
  <si>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</si>
  <si>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</si>
  <si>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</si>
  <si>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</si>
  <si>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</si>
  <si>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</si>
  <si>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</si>
  <si>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</si>
  <si>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</si>
  <si>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</si>
  <si>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</si>
  <si>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</si>
  <si>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</si>
  <si>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</si>
  <si>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</si>
  <si>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</si>
  <si>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</si>
  <si>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</si>
  <si>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</si>
  <si>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</si>
  <si>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</si>
  <si>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</si>
  <si>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</si>
  <si>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</si>
  <si>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</si>
  <si>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</si>
  <si>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</si>
  <si>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</si>
  <si>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</si>
  <si>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</si>
  <si>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</si>
  <si>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</si>
  <si>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</si>
  <si>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</si>
  <si>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</si>
  <si>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</si>
  <si>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</si>
  <si>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</si>
  <si>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</si>
  <si>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</si>
  <si>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</si>
  <si>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</si>
  <si>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</si>
  <si>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</si>
  <si>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</si>
  <si>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</si>
  <si>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</si>
  <si>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</si>
  <si>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</si>
  <si>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</si>
  <si>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</si>
  <si>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</si>
  <si>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</si>
  <si>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</si>
  <si>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</si>
  <si>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</si>
  <si>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</si>
  <si>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</si>
  <si>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</si>
  <si>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</si>
  <si>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</si>
  <si>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</si>
  <si>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</si>
  <si>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</si>
  <si>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</si>
  <si>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</si>
  <si>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</si>
  <si>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</si>
  <si>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</si>
  <si>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</si>
  <si>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</si>
  <si>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</si>
  <si>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</si>
  <si>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</si>
  <si>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</si>
  <si>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</si>
  <si>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</si>
  <si>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</si>
  <si>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</si>
  <si>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</si>
  <si>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</si>
  <si>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</si>
  <si>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</si>
  <si>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</si>
  <si>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</si>
  <si>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</si>
  <si>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</si>
  <si>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</si>
  <si>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</si>
  <si>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</si>
  <si>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</si>
  <si>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</si>
  <si>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</si>
  <si>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</si>
  <si>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</si>
  <si>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</si>
  <si>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</si>
  <si>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</si>
  <si>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</si>
  <si>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</si>
  <si>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</si>
  <si>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</si>
  <si>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</si>
  <si>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</si>
  <si>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</si>
  <si>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</si>
  <si>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</si>
  <si>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</si>
  <si>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</si>
  <si>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</si>
  <si>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</si>
  <si>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</si>
  <si>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</si>
  <si>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</si>
  <si>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</si>
  <si>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</si>
  <si>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</si>
  <si>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</si>
  <si>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</si>
  <si>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</si>
  <si>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</si>
  <si>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</si>
  <si>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</si>
  <si>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</si>
  <si>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</si>
  <si>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</si>
  <si>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</si>
  <si>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</si>
  <si>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</si>
  <si>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</si>
  <si>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</si>
  <si>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</si>
  <si>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</si>
  <si>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</si>
  <si>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</si>
  <si>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</si>
  <si>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</si>
  <si>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</si>
  <si>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</si>
  <si>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</si>
  <si>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</si>
  <si>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</si>
  <si>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</si>
  <si>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</si>
  <si>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</si>
  <si>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</si>
  <si>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</si>
  <si>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</si>
  <si>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</si>
  <si>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</si>
  <si>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</si>
  <si>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</si>
  <si>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</si>
  <si>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</si>
  <si>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</si>
  <si>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</si>
  <si>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</si>
  <si>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</si>
  <si>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</si>
  <si>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</si>
  <si>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</si>
  <si>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</si>
  <si>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</si>
  <si>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</si>
  <si>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</si>
  <si>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</si>
  <si>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</si>
  <si>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</si>
  <si>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</si>
  <si>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</si>
  <si>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</si>
  <si>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</si>
  <si>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</si>
  <si>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</si>
  <si>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</si>
  <si>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</si>
  <si>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</si>
  <si>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</si>
  <si>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</si>
  <si>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</si>
  <si>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</si>
  <si>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</si>
  <si>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</si>
  <si>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</si>
  <si>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</si>
  <si>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</si>
  <si>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</si>
  <si>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</si>
  <si>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</si>
  <si>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</si>
  <si>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</si>
  <si>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</si>
  <si>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</si>
  <si>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</si>
  <si>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</si>
  <si>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</si>
  <si>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</si>
  <si>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</si>
  <si>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</si>
  <si>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</si>
  <si>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</si>
  <si>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</si>
  <si>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</si>
  <si>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</si>
  <si>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</si>
  <si>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</si>
  <si>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</si>
  <si>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</si>
  <si>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</si>
  <si>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</si>
  <si>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</si>
  <si>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</si>
  <si>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</si>
  <si>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</si>
  <si>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</si>
  <si>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</si>
  <si>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</si>
  <si>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</si>
  <si>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</si>
  <si>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</si>
  <si>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</si>
  <si>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</si>
  <si>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</si>
  <si>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</si>
  <si>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</si>
  <si>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</si>
  <si>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</si>
  <si>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</si>
  <si>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</si>
  <si>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</si>
  <si>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</si>
  <si>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</si>
  <si>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</si>
  <si>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</si>
  <si>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</si>
  <si>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</si>
  <si>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</si>
  <si>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</si>
  <si>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</si>
  <si>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</si>
  <si>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</si>
  <si>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</si>
  <si>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</si>
  <si>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</si>
  <si>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</si>
  <si>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</si>
  <si>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</si>
  <si>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</si>
  <si>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</si>
  <si>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</si>
  <si>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</si>
  <si>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</si>
  <si>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</si>
  <si>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</si>
  <si>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</si>
  <si>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</si>
  <si>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</si>
  <si>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</si>
  <si>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</si>
  <si>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</si>
  <si>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</si>
  <si>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</si>
  <si>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</si>
  <si>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</si>
  <si>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</si>
  <si>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</si>
  <si>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</si>
  <si>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</si>
  <si>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</si>
  <si>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</si>
  <si>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</si>
  <si>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</si>
  <si>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</si>
  <si>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</si>
  <si>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</si>
  <si>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</si>
  <si>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</si>
  <si>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</si>
  <si>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</si>
  <si>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</si>
  <si>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</si>
  <si>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</si>
  <si>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</si>
  <si>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</si>
  <si>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</si>
  <si>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</si>
  <si>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</si>
  <si>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</si>
  <si>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</si>
  <si>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</si>
  <si>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</si>
  <si>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</si>
  <si>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</si>
  <si>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</si>
  <si>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</si>
  <si>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</si>
  <si>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</si>
  <si>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</si>
  <si>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</si>
  <si>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</si>
  <si>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</si>
  <si>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</si>
  <si>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</si>
  <si>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</si>
  <si>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</si>
  <si>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</si>
  <si>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</si>
  <si>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</si>
  <si>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</si>
  <si>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</si>
  <si>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</si>
  <si>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</si>
  <si>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</si>
  <si>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</si>
  <si>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</si>
  <si>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</si>
  <si>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</si>
  <si>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</si>
  <si>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</si>
  <si>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</si>
  <si>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</si>
  <si>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</si>
  <si>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</si>
  <si>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</si>
  <si>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</si>
  <si>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</si>
  <si>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</si>
  <si>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</si>
  <si>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</si>
  <si>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</si>
  <si>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</si>
  <si>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</si>
  <si>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</si>
  <si>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</si>
  <si>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</si>
  <si>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</si>
  <si>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</si>
  <si>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</si>
  <si>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</si>
  <si>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</si>
  <si>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</si>
  <si>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</si>
  <si>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</si>
  <si>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</si>
  <si>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</si>
  <si>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</si>
  <si>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</si>
  <si>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</si>
  <si>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</si>
  <si>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</si>
  <si>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</si>
  <si>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</si>
  <si>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</si>
  <si>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</si>
  <si>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</si>
  <si>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</si>
  <si>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</si>
  <si>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</si>
  <si>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</si>
  <si>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</si>
  <si>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</si>
  <si>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</si>
  <si>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</si>
  <si>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</si>
  <si>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</si>
  <si>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</si>
  <si>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</si>
  <si>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</si>
  <si>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</si>
  <si>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</si>
  <si>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</si>
  <si>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</si>
  <si>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</si>
  <si>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</si>
  <si>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</si>
  <si>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</si>
  <si>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</si>
  <si>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</si>
  <si>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</si>
  <si>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</si>
  <si>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</si>
  <si>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</si>
  <si>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</si>
  <si>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</si>
  <si>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</si>
  <si>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</si>
  <si>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</si>
  <si>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</si>
  <si>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</si>
  <si>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</si>
  <si>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</si>
  <si>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</si>
  <si>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</si>
  <si>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</si>
  <si>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</si>
  <si>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</si>
  <si>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</si>
  <si>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</si>
  <si>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</si>
  <si>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</si>
  <si>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</si>
  <si>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</si>
  <si>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</si>
  <si>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</si>
  <si>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</si>
  <si>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</si>
  <si>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</si>
  <si>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</si>
  <si>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</si>
  <si>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</si>
  <si>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</si>
  <si>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</si>
  <si>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</si>
  <si>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</si>
  <si>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</si>
  <si>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</si>
  <si>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</si>
  <si>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</si>
  <si>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</si>
  <si>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</si>
  <si>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</si>
  <si>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</si>
  <si>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</si>
  <si>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</si>
  <si>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</si>
  <si>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</si>
  <si>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</si>
  <si>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</si>
  <si>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</si>
  <si>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</si>
  <si>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</si>
  <si>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</si>
  <si>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</si>
  <si>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</si>
  <si>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</si>
  <si>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</si>
  <si>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</si>
  <si>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</si>
  <si>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</si>
  <si>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</si>
  <si>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</si>
  <si>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</si>
  <si>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</si>
  <si>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</si>
  <si>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</si>
  <si>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</si>
  <si>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</si>
  <si>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</si>
  <si>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</si>
  <si>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</si>
  <si>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</si>
  <si>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</si>
  <si>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</si>
  <si>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</si>
  <si>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</si>
  <si>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</si>
  <si>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</si>
  <si>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</si>
  <si>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</si>
  <si>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</si>
  <si>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</si>
  <si>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</si>
  <si>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</si>
  <si>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</si>
  <si>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</si>
  <si>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</si>
  <si>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</si>
  <si>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</si>
  <si>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</si>
  <si>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</si>
  <si>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</si>
  <si>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</si>
  <si>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</si>
  <si>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</si>
  <si>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</si>
  <si>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</si>
  <si>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</si>
  <si>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</si>
  <si>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</si>
  <si>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</si>
  <si>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</si>
  <si>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</si>
  <si>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</si>
  <si>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</si>
  <si>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</si>
  <si>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</si>
  <si>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</si>
  <si>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</si>
  <si>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</si>
  <si>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</si>
  <si>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</si>
  <si>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</si>
  <si>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</si>
  <si>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</si>
  <si>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</si>
  <si>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</si>
  <si>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</si>
  <si>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</si>
  <si>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</si>
  <si>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</si>
  <si>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</si>
  <si>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</si>
  <si>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</si>
  <si>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</si>
  <si>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</si>
  <si>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</si>
  <si>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</si>
  <si>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</si>
  <si>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</si>
  <si>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</si>
  <si>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</si>
  <si>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</si>
  <si>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</si>
  <si>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</si>
  <si>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</si>
  <si>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</si>
  <si>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</si>
  <si>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</si>
  <si>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</si>
  <si>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</si>
  <si>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</si>
  <si>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</si>
  <si>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</si>
  <si>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</si>
  <si>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</si>
  <si>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</si>
  <si>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</si>
  <si>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</si>
  <si>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</si>
  <si>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</si>
  <si>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</si>
  <si>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</si>
  <si>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</si>
  <si>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</si>
  <si>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</si>
  <si>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</si>
  <si>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</si>
  <si>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</si>
  <si>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</si>
  <si>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</si>
  <si>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</si>
  <si>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</si>
  <si>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</si>
  <si>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</si>
  <si>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</si>
  <si>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</si>
  <si>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</si>
  <si>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</si>
  <si>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</si>
  <si>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</si>
  <si>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</si>
  <si>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</si>
  <si>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</si>
  <si>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</si>
  <si>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</si>
  <si>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</si>
  <si>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</si>
  <si>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</si>
  <si>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</si>
  <si>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</si>
  <si>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</si>
  <si>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</si>
  <si>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</si>
  <si>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</si>
  <si>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</si>
  <si>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</si>
  <si>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</si>
  <si>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</si>
  <si>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</si>
  <si>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</si>
  <si>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</si>
  <si>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</si>
  <si>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</si>
  <si>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</si>
  <si>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</si>
  <si>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</si>
  <si>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</si>
  <si>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</si>
  <si>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</si>
  <si>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</si>
  <si>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</si>
  <si>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</si>
  <si>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</si>
  <si>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</si>
  <si>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</si>
  <si>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</si>
  <si>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</si>
  <si>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</si>
  <si>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</si>
  <si>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</si>
  <si>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</si>
  <si>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</si>
  <si>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</si>
  <si>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</si>
  <si>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</si>
  <si>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</si>
  <si>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</si>
  <si>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</si>
  <si>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</si>
  <si>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</si>
  <si>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</si>
  <si>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</si>
  <si>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</si>
  <si>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</si>
  <si>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</si>
  <si>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</si>
  <si>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</si>
  <si>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</si>
  <si>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</si>
  <si>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</si>
  <si>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</si>
  <si>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</si>
  <si>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</si>
  <si>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</si>
  <si>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</si>
  <si>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</si>
  <si>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</si>
  <si>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</si>
  <si>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</si>
  <si>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</si>
  <si>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</si>
  <si>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</si>
  <si>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</si>
  <si>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</si>
  <si>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</si>
  <si>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</si>
  <si>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</si>
  <si>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</si>
  <si>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</si>
  <si>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</si>
  <si>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</si>
  <si>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</si>
  <si>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</si>
  <si>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</si>
  <si>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</si>
  <si>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</si>
  <si>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</si>
  <si>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</si>
  <si>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</si>
  <si>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</si>
  <si>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</si>
  <si>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</si>
  <si>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</si>
  <si>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</si>
  <si>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</si>
  <si>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</si>
  <si>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</si>
  <si>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</si>
  <si>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</si>
  <si>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</si>
  <si>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</si>
  <si>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</si>
  <si>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</si>
  <si>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</si>
  <si>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</si>
  <si>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</si>
  <si>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</si>
  <si>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</si>
  <si>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</si>
  <si>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</si>
  <si>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</si>
  <si>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</si>
  <si>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</si>
  <si>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</si>
  <si>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</si>
  <si>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</si>
  <si>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</si>
  <si>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</si>
  <si>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</si>
  <si>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</si>
  <si>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</si>
  <si>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</si>
  <si>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</si>
  <si>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</si>
  <si>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</si>
  <si>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</si>
  <si>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</si>
  <si>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</si>
  <si>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</si>
  <si>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</si>
  <si>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</si>
  <si>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</si>
  <si>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</si>
  <si>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</si>
  <si>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</si>
  <si>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</si>
  <si>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</si>
  <si>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</si>
  <si>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</si>
  <si>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</si>
  <si>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</si>
  <si>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</si>
  <si>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</si>
  <si>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</si>
  <si>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</si>
  <si>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</si>
  <si>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</si>
  <si>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</si>
  <si>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</si>
  <si>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</si>
  <si>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</si>
  <si>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</si>
  <si>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</si>
  <si>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</si>
  <si>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</si>
  <si>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</si>
  <si>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</si>
  <si>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</si>
  <si>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</si>
  <si>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</si>
  <si>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</si>
  <si>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</si>
  <si>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</si>
  <si>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</si>
  <si>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</si>
  <si>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</si>
  <si>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</si>
  <si>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</si>
  <si>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</si>
  <si>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</si>
  <si>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</si>
  <si>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</si>
  <si>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</si>
  <si>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</si>
  <si>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</si>
  <si>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</si>
  <si>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</si>
  <si>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</si>
  <si>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</si>
  <si>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</si>
  <si>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</si>
  <si>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</si>
  <si>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</si>
  <si>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</si>
  <si>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</si>
  <si>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</si>
  <si>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</si>
  <si>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</si>
  <si>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</si>
  <si>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</si>
  <si>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</si>
  <si>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</si>
  <si>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</si>
  <si>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</si>
  <si>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</si>
  <si>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</si>
  <si>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</si>
  <si>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</si>
  <si>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</si>
  <si>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</si>
  <si>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</si>
  <si>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</si>
  <si>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</si>
  <si>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</si>
  <si>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</si>
  <si>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</si>
  <si>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</si>
  <si>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</si>
  <si>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</si>
  <si>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</si>
  <si>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</si>
  <si>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</si>
  <si>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</si>
  <si>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</si>
  <si>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</si>
  <si>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</si>
  <si>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</si>
  <si>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</si>
  <si>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</si>
  <si>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</si>
  <si>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</si>
  <si>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</si>
  <si>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</si>
  <si>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</si>
  <si>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</si>
  <si>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</si>
  <si>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</si>
  <si>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</si>
  <si>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</si>
  <si>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</si>
  <si>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</si>
  <si>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</si>
  <si>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</si>
  <si>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</si>
  <si>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</si>
  <si>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</si>
  <si>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</si>
  <si>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</si>
  <si>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</si>
  <si>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</si>
  <si>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</si>
  <si>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</si>
  <si>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</si>
  <si>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</si>
  <si>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</si>
  <si>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</si>
  <si>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</si>
  <si>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</si>
  <si>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</si>
  <si>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</si>
  <si>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</si>
  <si>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</si>
  <si>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</si>
  <si>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</si>
  <si>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</si>
  <si>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</si>
  <si>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</si>
  <si>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</si>
  <si>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</si>
  <si>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</si>
  <si>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</si>
  <si>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</si>
  <si>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</si>
  <si>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</si>
  <si>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</si>
  <si>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</si>
  <si>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</si>
  <si>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</si>
  <si>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</si>
  <si>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</si>
  <si>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</si>
  <si>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</si>
  <si>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</si>
  <si>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</si>
  <si>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</si>
  <si>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</si>
  <si>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</si>
  <si>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</si>
  <si>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</si>
  <si>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</si>
  <si>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</si>
  <si>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</si>
  <si>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</si>
  <si>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</si>
  <si>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</si>
  <si>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</si>
  <si>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</si>
  <si>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</si>
  <si>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</si>
  <si>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</si>
  <si>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</si>
  <si>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</si>
  <si>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</si>
  <si>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</si>
  <si>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</si>
  <si>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</si>
  <si>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</si>
  <si>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</si>
  <si>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</si>
  <si>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</si>
  <si>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</si>
  <si>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</si>
  <si>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</si>
  <si>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</si>
  <si>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</si>
  <si>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</si>
  <si>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</si>
  <si>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</si>
  <si>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</si>
  <si>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</si>
  <si>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</si>
  <si>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</si>
  <si>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</si>
  <si>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</si>
  <si>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</si>
  <si>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</si>
  <si>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</si>
  <si>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</si>
  <si>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</si>
  <si>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</si>
  <si>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</si>
  <si>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</si>
  <si>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</si>
  <si>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</si>
  <si>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</si>
  <si>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</si>
  <si>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</si>
  <si>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</si>
  <si>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</si>
  <si>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</si>
  <si>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</si>
  <si>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</si>
  <si>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</si>
  <si>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</si>
  <si>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</si>
  <si>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</si>
  <si>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</si>
  <si>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</si>
  <si>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</si>
  <si>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</si>
  <si>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</si>
  <si>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</si>
  <si>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</si>
  <si>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</si>
  <si>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</si>
  <si>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</si>
  <si>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</si>
  <si>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</si>
  <si>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</si>
  <si>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</si>
  <si>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</si>
  <si>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</si>
  <si>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</si>
  <si>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</si>
  <si>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</si>
  <si>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</si>
  <si>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</si>
  <si>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</si>
  <si>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</si>
  <si>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</si>
  <si>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</si>
  <si>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</si>
  <si>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</si>
  <si>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</si>
  <si>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</si>
  <si>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</si>
  <si>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</si>
  <si>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</si>
  <si>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</si>
  <si>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</si>
  <si>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</si>
  <si>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</si>
  <si>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</si>
  <si>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</si>
  <si>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</si>
  <si>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</si>
  <si>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</si>
  <si>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</si>
  <si>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</si>
  <si>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</si>
  <si>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</si>
  <si>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</si>
  <si>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</si>
  <si>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</si>
  <si>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</si>
  <si>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</si>
  <si>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</si>
  <si>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</si>
  <si>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</si>
  <si>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</si>
  <si>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</si>
  <si>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</si>
  <si>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</si>
  <si>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</si>
  <si>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</si>
  <si>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</si>
  <si>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</si>
  <si>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</si>
  <si>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</si>
  <si>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</si>
  <si>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</si>
  <si>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</si>
  <si>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</si>
  <si>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</si>
  <si>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</si>
  <si>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</si>
  <si>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</si>
  <si>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</si>
  <si>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</si>
  <si>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</si>
  <si>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</si>
  <si>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</si>
  <si>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</si>
  <si>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</si>
  <si>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</si>
  <si>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</si>
  <si>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</si>
  <si>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</si>
  <si>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</si>
  <si>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</si>
  <si>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</si>
  <si>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</si>
  <si>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核定资产</t>
  </si>
  <si>
    <t>北京市</t>
  </si>
  <si>
    <t>现房</t>
  </si>
  <si>
    <t>是</t>
  </si>
  <si>
    <t>地上</t>
  </si>
  <si>
    <t>成新度</t>
  </si>
  <si>
    <t>建成年代</t>
    <phoneticPr fontId="3" type="noConversion"/>
  </si>
  <si>
    <t>办公</t>
    <phoneticPr fontId="7" type="noConversion"/>
  </si>
  <si>
    <t>单套模式</t>
  </si>
  <si>
    <t>租金</t>
  </si>
  <si>
    <t>正常</t>
  </si>
  <si>
    <t>中兴通大厦</t>
    <phoneticPr fontId="3" type="noConversion"/>
  </si>
  <si>
    <t>中兴通大厦</t>
    <phoneticPr fontId="134" type="noConversion"/>
  </si>
  <si>
    <t>含税、物业、制冷、取暖</t>
    <phoneticPr fontId="134" type="noConversion"/>
  </si>
  <si>
    <t>低楼层</t>
  </si>
  <si>
    <t>精装修</t>
  </si>
  <si>
    <t>精装修</t>
    <phoneticPr fontId="134" type="noConversion"/>
  </si>
  <si>
    <t>中楼层</t>
  </si>
  <si>
    <t>中楼层</t>
    <phoneticPr fontId="134" type="noConversion"/>
  </si>
  <si>
    <t>楼层</t>
    <phoneticPr fontId="134" type="noConversion"/>
  </si>
  <si>
    <t>和协科技大厦</t>
    <phoneticPr fontId="134" type="noConversion"/>
  </si>
  <si>
    <t>挂牌价</t>
  </si>
  <si>
    <t>挂牌价</t>
    <phoneticPr fontId="31" type="noConversion"/>
  </si>
  <si>
    <t>办公</t>
    <phoneticPr fontId="31" type="noConversion"/>
  </si>
  <si>
    <t>较好</t>
  </si>
  <si>
    <t>七通</t>
  </si>
  <si>
    <t>钢混</t>
  </si>
  <si>
    <t>钢混</t>
    <phoneticPr fontId="31" type="noConversion"/>
  </si>
  <si>
    <t>高楼层</t>
    <phoneticPr fontId="31" type="noConversion"/>
  </si>
  <si>
    <t>中楼层</t>
    <phoneticPr fontId="31" type="noConversion"/>
  </si>
  <si>
    <t>低楼层</t>
    <phoneticPr fontId="31" type="noConversion"/>
  </si>
  <si>
    <t>标准层高</t>
  </si>
  <si>
    <t>标准层高</t>
    <phoneticPr fontId="31" type="noConversion"/>
  </si>
  <si>
    <t>精装修</t>
    <phoneticPr fontId="31" type="noConversion"/>
  </si>
  <si>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</si>
  <si>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</si>
  <si>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</si>
  <si>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</si>
  <si>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</si>
  <si>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</si>
  <si>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含税、物业、取暖</t>
    <phoneticPr fontId="31" type="noConversion"/>
  </si>
  <si>
    <t>新兴产业联盟大厦</t>
    <phoneticPr fontId="134" type="noConversion"/>
  </si>
  <si>
    <t>中指查询</t>
    <phoneticPr fontId="31" type="noConversion"/>
  </si>
  <si>
    <t>研发楼</t>
  </si>
  <si>
    <t>研发楼</t>
    <phoneticPr fontId="31" type="noConversion"/>
  </si>
  <si>
    <r>
      <rPr>
        <sz val="10"/>
        <color theme="9" tint="-0.249977111117893"/>
        <rFont val="宋体"/>
        <family val="3"/>
        <charset val="134"/>
      </rPr>
      <t>海淀区西北旺东路</t>
    </r>
    <r>
      <rPr>
        <sz val="10"/>
        <color theme="9" tint="-0.249977111117893"/>
        <rFont val="Arial"/>
        <family val="2"/>
      </rPr>
      <t>10</t>
    </r>
    <r>
      <rPr>
        <sz val="10"/>
        <color theme="9" tint="-0.249977111117893"/>
        <rFont val="宋体"/>
        <family val="3"/>
        <charset val="134"/>
      </rPr>
      <t>号院</t>
    </r>
    <r>
      <rPr>
        <sz val="10"/>
        <color theme="9" tint="-0.249977111117893"/>
        <rFont val="Arial"/>
        <family val="2"/>
      </rPr>
      <t>21</t>
    </r>
    <r>
      <rPr>
        <sz val="10"/>
        <color theme="9" tint="-0.249977111117893"/>
        <rFont val="宋体"/>
        <family val="3"/>
        <charset val="134"/>
      </rPr>
      <t>号楼</t>
    </r>
    <r>
      <rPr>
        <sz val="10"/>
        <color theme="9" tint="-0.249977111117893"/>
        <rFont val="Arial"/>
        <family val="2"/>
      </rPr>
      <t>102</t>
    </r>
    <phoneticPr fontId="6" type="noConversion"/>
  </si>
  <si>
    <t>价值时点租金</t>
    <phoneticPr fontId="31" type="noConversion"/>
  </si>
  <si>
    <t>日租金</t>
    <phoneticPr fontId="31" type="noConversion"/>
  </si>
  <si>
    <t>产权证</t>
    <phoneticPr fontId="31" type="noConversion"/>
  </si>
  <si>
    <t>中指</t>
    <phoneticPr fontId="3" type="noConversion"/>
  </si>
  <si>
    <t>区间</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</si>
</sst>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1"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6" fontId="128" fillId="0" borderId="23" xfId="0" applyNumberFormat="1"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12" borderId="0" xfId="0" applyFont="1" applyFill="1" applyAlignment="1" applyProtection="1">
      <alignment horizontal="center" vertical="center"/>
      <protection locked="0"/>
    </xf>
    <xf numFmtId="0" fontId="94" fillId="12" borderId="0" xfId="0" applyFont="1" applyFill="1" applyAlignment="1" applyProtection="1">
      <alignment horizontal="center" vertical="center"/>
      <protection locked="0"/>
    </xf>
    <xf numFmtId="0" fontId="128" fillId="0" borderId="12" xfId="0" applyFont="1" applyBorder="1" applyAlignment="1" applyProtection="1">
      <alignment horizontal="center" vertical="center" wrapText="1"/>
      <protection locked="0"/>
    </xf>
    <xf numFmtId="0" fontId="272" fillId="12"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441261</xdr:colOff>
      <xdr:row>42</xdr:row>
      <xdr:rowOff>76200</xdr:rowOff>
    </xdr:to>
    <xdr:pic>
      <xdr:nvPicPr>
        <xdr:cNvPr id="2" name="图片 1">
          <a:extLst>
            <a:ext uri="{FF2B5EF4-FFF2-40B4-BE49-F238E27FC236}">
              <a16:creationId xmlns:a16="http://schemas.microsoft.com/office/drawing/2014/main" id="{E5E7E5DA-2E5E-9D32-76A3-C0C45337186F}"/>
            </a:ext>
          </a:extLst>
        </xdr:cNvPr>
        <xdr:cNvPicPr>
          <a:picLocks noChangeAspect="1"/>
        </xdr:cNvPicPr>
      </xdr:nvPicPr>
      <xdr:blipFill>
        <a:blip xmlns:r="http://schemas.openxmlformats.org/officeDocument/2006/relationships" r:embed="rId1"/>
        <a:stretch>
          <a:fillRect/>
        </a:stretch>
      </xdr:blipFill>
      <xdr:spPr>
        <a:xfrm>
          <a:off x="0" y="0"/>
          <a:ext cx="10728261" cy="7277100"/>
        </a:xfrm>
        <a:prstGeom prst="rect">
          <a:avLst/>
        </a:prstGeom>
      </xdr:spPr>
    </xdr:pic>
    <xdr:clientData/>
  </xdr:twoCellAnchor>
  <xdr:twoCellAnchor editAs="oneCell">
    <xdr:from>
      <xdr:col>0</xdr:col>
      <xdr:colOff>0</xdr:colOff>
      <xdr:row>41</xdr:row>
      <xdr:rowOff>72238</xdr:rowOff>
    </xdr:from>
    <xdr:to>
      <xdr:col>15</xdr:col>
      <xdr:colOff>600075</xdr:colOff>
      <xdr:row>86</xdr:row>
      <xdr:rowOff>93968</xdr:rowOff>
    </xdr:to>
    <xdr:pic>
      <xdr:nvPicPr>
        <xdr:cNvPr id="6" name="图片 5">
          <a:extLst>
            <a:ext uri="{FF2B5EF4-FFF2-40B4-BE49-F238E27FC236}">
              <a16:creationId xmlns:a16="http://schemas.microsoft.com/office/drawing/2014/main" id="{4DE32AD1-ECF4-0EC5-B5DF-239ACD7032F2}"/>
            </a:ext>
          </a:extLst>
        </xdr:cNvPr>
        <xdr:cNvPicPr>
          <a:picLocks noChangeAspect="1"/>
        </xdr:cNvPicPr>
      </xdr:nvPicPr>
      <xdr:blipFill>
        <a:blip xmlns:r="http://schemas.openxmlformats.org/officeDocument/2006/relationships" r:embed="rId2"/>
        <a:stretch>
          <a:fillRect/>
        </a:stretch>
      </xdr:blipFill>
      <xdr:spPr>
        <a:xfrm>
          <a:off x="0" y="7101688"/>
          <a:ext cx="10887075" cy="7736980"/>
        </a:xfrm>
        <a:prstGeom prst="rect">
          <a:avLst/>
        </a:prstGeom>
      </xdr:spPr>
    </xdr:pic>
    <xdr:clientData/>
  </xdr:twoCellAnchor>
  <xdr:twoCellAnchor editAs="oneCell">
    <xdr:from>
      <xdr:col>0</xdr:col>
      <xdr:colOff>0</xdr:colOff>
      <xdr:row>86</xdr:row>
      <xdr:rowOff>95250</xdr:rowOff>
    </xdr:from>
    <xdr:to>
      <xdr:col>15</xdr:col>
      <xdr:colOff>276241</xdr:colOff>
      <xdr:row>128</xdr:row>
      <xdr:rowOff>84507</xdr:rowOff>
    </xdr:to>
    <xdr:pic>
      <xdr:nvPicPr>
        <xdr:cNvPr id="7" name="图片 6">
          <a:extLst>
            <a:ext uri="{FF2B5EF4-FFF2-40B4-BE49-F238E27FC236}">
              <a16:creationId xmlns:a16="http://schemas.microsoft.com/office/drawing/2014/main" id="{3407E18E-D3BB-F673-BD57-6F992566DC81}"/>
            </a:ext>
          </a:extLst>
        </xdr:cNvPr>
        <xdr:cNvPicPr>
          <a:picLocks noChangeAspect="1"/>
        </xdr:cNvPicPr>
      </xdr:nvPicPr>
      <xdr:blipFill>
        <a:blip xmlns:r="http://schemas.openxmlformats.org/officeDocument/2006/relationships" r:embed="rId3"/>
        <a:stretch>
          <a:fillRect/>
        </a:stretch>
      </xdr:blipFill>
      <xdr:spPr>
        <a:xfrm>
          <a:off x="0" y="14839950"/>
          <a:ext cx="10563241" cy="7190157"/>
        </a:xfrm>
        <a:prstGeom prst="rect">
          <a:avLst/>
        </a:prstGeom>
      </xdr:spPr>
    </xdr:pic>
    <xdr:clientData/>
  </xdr:twoCellAnchor>
  <xdr:twoCellAnchor editAs="oneCell">
    <xdr:from>
      <xdr:col>20</xdr:col>
      <xdr:colOff>0</xdr:colOff>
      <xdr:row>14</xdr:row>
      <xdr:rowOff>0</xdr:rowOff>
    </xdr:from>
    <xdr:to>
      <xdr:col>41</xdr:col>
      <xdr:colOff>430028</xdr:colOff>
      <xdr:row>68</xdr:row>
      <xdr:rowOff>27371</xdr:rowOff>
    </xdr:to>
    <xdr:pic>
      <xdr:nvPicPr>
        <xdr:cNvPr id="8" name="图片 7">
          <a:extLst>
            <a:ext uri="{FF2B5EF4-FFF2-40B4-BE49-F238E27FC236}">
              <a16:creationId xmlns:a16="http://schemas.microsoft.com/office/drawing/2014/main" id="{321D2E68-BD5A-7621-FF6A-A80657DC01EF}"/>
            </a:ext>
          </a:extLst>
        </xdr:cNvPr>
        <xdr:cNvPicPr>
          <a:picLocks noChangeAspect="1"/>
        </xdr:cNvPicPr>
      </xdr:nvPicPr>
      <xdr:blipFill>
        <a:blip xmlns:r="http://schemas.openxmlformats.org/officeDocument/2006/relationships" r:embed="rId4"/>
        <a:stretch>
          <a:fillRect/>
        </a:stretch>
      </xdr:blipFill>
      <xdr:spPr>
        <a:xfrm>
          <a:off x="12192000" y="2489200"/>
          <a:ext cx="14171428" cy="9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北京市海淀区西北旺东路10号院21号楼102预评估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受贵公司委托，我公司对北京市海淀区西北旺东路10号院21号楼102进行了预评估。</v>
      </c>
    </row>
    <row r="7" spans="1:2">
      <c r="A7" s="1119" t="s">
        <v>566</v>
      </c>
      <c r="B7" s="1120" t="str">
        <f>'预评函-1'!A7</f>
        <v>估价对象为北京市海淀区西北旺东路10号院21号楼102房地产，为所有。根据《国有土地使用证》[]，估价对象（分摊）出让国有建设用地使用权面积为0平方米，建筑面积为960平方米。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西北旺东路10号院21号楼102房地产,属开发建设的，该项目尚在开发建设中。根据《国有土地使用证》[]，估价对象（分摊）出让国有建设用地使用权面积为0平方米，规划建筑面积为960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2025年11月6日</v>
      </c>
    </row>
    <row r="13" spans="1:2">
      <c r="A13" s="1119" t="s">
        <v>529</v>
      </c>
      <c r="B13" s="1120" t="str">
        <f>'预评函-1'!A18</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本次评估采用的主估价方法为基准地价系数修正法和基准地价系数修正法。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北京市海淀区西北旺东路10号院21号楼102房地产</v>
      </c>
    </row>
    <row r="42" spans="1:2" ht="30">
      <c r="A42" s="1119" t="s">
        <v>590</v>
      </c>
      <c r="B42" s="1120" t="str">
        <f>'预评函-3'!B2</f>
        <v>建筑面积</v>
      </c>
    </row>
    <row r="43" spans="1:2">
      <c r="A43" s="1119" t="s">
        <v>591</v>
      </c>
      <c r="B43" s="1120">
        <f>'预评函-3'!B4</f>
        <v>960</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西北旺东路10号院21号楼102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5"/>
      <c r="B54" s="1447" t="s">
        <v>385</v>
      </c>
      <c r="C54" s="1445" t="s">
        <v>583</v>
      </c>
    </row>
    <row r="55" spans="1:4">
      <c r="A55" s="3225"/>
      <c r="B55" s="1447" t="s">
        <v>386</v>
      </c>
      <c r="C55" s="1445" t="s">
        <v>584</v>
      </c>
    </row>
    <row r="56" spans="1:4">
      <c r="A56" s="3225"/>
      <c r="B56" s="1447" t="s">
        <v>387</v>
      </c>
      <c r="C56" s="1445" t="s">
        <v>588</v>
      </c>
    </row>
    <row r="57" spans="1:4">
      <c r="A57" s="322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8"/>
    <col min="8" max="8" width="5.453125" style="2758" customWidth="1"/>
    <col min="9" max="13" width="9.453125" style="2799" customWidth="1"/>
    <col min="14" max="18" width="9.453125" style="2758" customWidth="1"/>
    <col min="19" max="16384" width="15.269531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26" t="s">
        <v>2580</v>
      </c>
      <c r="J2" s="3226"/>
      <c r="K2" s="3226"/>
      <c r="L2" s="3226"/>
      <c r="M2" s="3226"/>
      <c r="N2" s="3226"/>
      <c r="O2" s="3226"/>
      <c r="P2" s="3226"/>
      <c r="Q2" s="3226"/>
      <c r="R2" s="3226"/>
    </row>
    <row r="3" spans="1:18">
      <c r="A3" s="2762" t="s">
        <v>2501</v>
      </c>
      <c r="B3" s="2763">
        <f>项目基本情况!D3</f>
        <v>45967</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1.1100000000000001</v>
      </c>
      <c r="D5" s="2767">
        <f>IF(ISERROR(ROUND(POWER(1+E5,A5-C5)*(POWER(1+E5,C5)-1)/(POWER(1+E5,A5)-1),3)),0,ROUND(POWER(1+E5,A5-C5)*(POWER(1+E5,C5)-1)/(POWER(1+E5,A5)-1),4))</f>
        <v>5.3800000000000001E-2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11.12</v>
      </c>
      <c r="D6" s="2767">
        <f>IF(ISERROR(ROUND(POWER(1+E6,A6-C6)*(POWER(1+E6,C6)-1)/(POWER(1+E6,A6)-1),3)),0,ROUND(POWER(1+E6,A6-C6)*(POWER(1+E6,C6)-1)/(POWER(1+E6,A6)-1),4))</f>
        <v>0.41139999999999999</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31.13</v>
      </c>
      <c r="D7" s="2767">
        <f>IF(ISERROR(ROUND(POWER(1+E7,A7-C7)*(POWER(1+E7,C7)-1)/(POWER(1+E7,A7)-1),3)),0,ROUND(POWER(1+E7,A7-C7)*(POWER(1+E7,C7)-1)/(POWER(1+E7,A7)-1),4))</f>
        <v>0.75339999999999996</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5" thickBot="1">
      <c r="A18" s="2772" t="s">
        <v>2516</v>
      </c>
      <c r="B18" s="2773">
        <f>ROUND(B17*F11/F12,2)</f>
        <v>5541.87</v>
      </c>
      <c r="C18" s="2773">
        <f>ROUND(F11/F12,4)</f>
        <v>1.1521999999999999</v>
      </c>
      <c r="D18" s="2774"/>
      <c r="E18" s="2774"/>
      <c r="F18" s="2775"/>
    </row>
    <row r="19" spans="1:14" ht="14.5" thickBot="1"/>
    <row r="20" spans="1:14" s="2808" customFormat="1" ht="14.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3" zoomScaleNormal="100" zoomScaleSheetLayoutView="100" workbookViewId="0">
      <selection activeCell="C28" sqref="C28"/>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4" t="str">
        <f>IF(B10="北京市","北京市",C10)&amp;F10&amp;IF(结果表!G1="在建","出让国有建设用地使用权及在建建筑物",IF(结果表!G1="土地","出让国有建设用地使用权",))&amp;B9&amp;"预评估"</f>
        <v>北京市海淀区西北旺东路10号院21号楼102预评估</v>
      </c>
      <c r="C1" s="3235"/>
      <c r="D1" s="3235"/>
      <c r="E1" s="3235"/>
      <c r="F1" s="3235"/>
      <c r="G1" s="3235"/>
      <c r="H1" s="3235"/>
      <c r="I1" s="323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北京市海淀区西北旺东路10号院21号楼102</v>
      </c>
      <c r="T1" s="1618"/>
      <c r="U1" s="1618"/>
      <c r="V1" s="1618"/>
      <c r="W1" s="1618"/>
      <c r="X1" s="1618"/>
      <c r="Y1" s="1618"/>
      <c r="Z1" s="1618"/>
      <c r="AA1" s="1618"/>
      <c r="AB1" s="1618"/>
    </row>
    <row r="2" spans="1:30" ht="13">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北京市海淀区西北旺东路10号院21号楼102房地产</v>
      </c>
      <c r="T2" s="1618"/>
      <c r="U2" s="1618"/>
      <c r="V2" s="1618"/>
      <c r="W2" s="1618"/>
      <c r="X2" s="1618"/>
      <c r="Y2" s="1618"/>
      <c r="Z2" s="1618"/>
      <c r="AA2" s="1618"/>
      <c r="AB2" s="1618"/>
    </row>
    <row r="3" spans="1:30" ht="13">
      <c r="A3" s="294" t="s">
        <v>2170</v>
      </c>
      <c r="B3" s="2185"/>
      <c r="C3" s="2186" t="s">
        <v>2171</v>
      </c>
      <c r="D3" s="2185">
        <v>45967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3417</v>
      </c>
      <c r="C8" s="2201"/>
      <c r="D8" s="3237" t="s">
        <v>2177</v>
      </c>
      <c r="E8" s="2202"/>
      <c r="F8" s="2203"/>
      <c r="G8" s="2442"/>
      <c r="H8" s="2442"/>
      <c r="I8" s="2442"/>
      <c r="J8" s="2245"/>
      <c r="K8" s="2400"/>
      <c r="L8" s="2399"/>
      <c r="M8" s="2399"/>
      <c r="N8" s="2245"/>
      <c r="O8" s="1670"/>
      <c r="P8" s="2245"/>
      <c r="Q8" s="2245"/>
      <c r="R8" s="2245"/>
    </row>
    <row r="9" spans="1:30" ht="13.5" thickBot="1">
      <c r="A9" s="2204" t="s">
        <v>2178</v>
      </c>
      <c r="B9" s="2205"/>
      <c r="C9" s="2206"/>
      <c r="D9" s="3238"/>
      <c r="E9" s="2205"/>
      <c r="F9" s="2207"/>
      <c r="G9" s="2443"/>
      <c r="H9" s="2443"/>
      <c r="I9" s="2443"/>
      <c r="J9" s="2245"/>
      <c r="K9" s="2402"/>
      <c r="L9" s="2399"/>
      <c r="M9" s="2399"/>
      <c r="N9" s="2245"/>
      <c r="O9" s="1670"/>
      <c r="P9" s="2245"/>
      <c r="Q9" s="2245"/>
      <c r="R9" s="2245"/>
    </row>
    <row r="10" spans="1:30" ht="13.5" thickTop="1">
      <c r="A10" s="2208" t="s">
        <v>2179</v>
      </c>
      <c r="B10" s="2209" t="s">
        <v>3418</v>
      </c>
      <c r="C10" s="2210"/>
      <c r="D10" s="2193"/>
      <c r="E10" s="2211" t="s">
        <v>2180</v>
      </c>
      <c r="F10" s="3169" t="s">
        <v>3462</v>
      </c>
      <c r="G10" s="2444"/>
      <c r="H10" s="2445"/>
      <c r="I10" s="2446"/>
      <c r="J10" s="2245"/>
      <c r="K10" s="2402"/>
      <c r="L10" s="2399"/>
      <c r="M10" s="2399"/>
      <c r="N10" s="2245"/>
      <c r="O10" s="1670"/>
      <c r="P10" s="2245"/>
      <c r="Q10" s="2245"/>
      <c r="R10" s="2245"/>
    </row>
    <row r="11" spans="1:30" ht="13">
      <c r="A11" s="2212" t="s">
        <v>2181</v>
      </c>
      <c r="B11" s="2213"/>
      <c r="C11" s="2214"/>
      <c r="D11" s="2215"/>
      <c r="E11" s="2182"/>
      <c r="F11" s="2182"/>
      <c r="G11" s="2182"/>
      <c r="H11" s="2182"/>
      <c r="I11" s="2182"/>
      <c r="J11" s="2801"/>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ht="13">
      <c r="A13" s="3121" t="s">
        <v>3330</v>
      </c>
      <c r="B13" s="2218" t="s">
        <v>2190</v>
      </c>
      <c r="C13" s="803"/>
      <c r="D13" s="803"/>
      <c r="E13" s="803"/>
      <c r="F13" s="803"/>
      <c r="G13" s="803"/>
      <c r="H13" s="803"/>
      <c r="I13" s="803"/>
      <c r="J13" s="2802"/>
      <c r="K13" s="2399"/>
      <c r="L13" s="2399"/>
      <c r="M13" s="2245"/>
      <c r="N13" s="1670"/>
      <c r="O13" s="2245"/>
      <c r="P13" s="2245"/>
      <c r="Q13" s="2245"/>
      <c r="AD13" s="1618"/>
    </row>
    <row r="14" spans="1:30" ht="13">
      <c r="A14" s="1018"/>
      <c r="B14" s="2218" t="s">
        <v>2191</v>
      </c>
      <c r="C14" s="2219"/>
      <c r="D14" s="2219"/>
      <c r="E14" s="2219">
        <v>50</v>
      </c>
      <c r="F14" s="2219"/>
      <c r="G14" s="2219"/>
      <c r="H14" s="2219"/>
      <c r="I14" s="2219"/>
      <c r="J14" s="2803"/>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ht="13">
      <c r="A16" s="2211" t="s">
        <v>2193</v>
      </c>
      <c r="B16" s="3244"/>
      <c r="C16" s="3245"/>
      <c r="D16" s="3246"/>
      <c r="E16" s="2222" t="s">
        <v>2194</v>
      </c>
      <c r="F16" s="3247"/>
      <c r="G16" s="3248"/>
      <c r="H16" s="3248"/>
      <c r="I16" s="3249"/>
      <c r="J16" s="2245"/>
      <c r="K16" s="2403"/>
      <c r="L16" s="1670"/>
      <c r="M16" s="1670"/>
      <c r="N16" s="2245"/>
      <c r="O16" s="1670"/>
      <c r="P16" s="2245"/>
      <c r="Q16" s="2245"/>
      <c r="R16" s="2245"/>
    </row>
    <row r="17" spans="1:28" ht="13">
      <c r="A17" s="305" t="s">
        <v>2195</v>
      </c>
      <c r="B17" s="294" t="s">
        <v>2196</v>
      </c>
      <c r="C17" s="8">
        <f>'数据-汇总表'!E3</f>
        <v>960</v>
      </c>
      <c r="D17" s="1256" t="s">
        <v>2197</v>
      </c>
      <c r="E17" s="3250" t="s">
        <v>2198</v>
      </c>
      <c r="F17" s="3251"/>
      <c r="G17" s="3251"/>
      <c r="H17" s="3251"/>
      <c r="I17" s="3252"/>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53" t="s">
        <v>2202</v>
      </c>
      <c r="F18" s="3254"/>
      <c r="G18" s="3254"/>
      <c r="H18" s="3254"/>
      <c r="I18" s="3255"/>
      <c r="J18" s="2245"/>
      <c r="K18" s="2404"/>
      <c r="L18" s="1670"/>
      <c r="M18" s="1670"/>
      <c r="N18" s="2245"/>
      <c r="O18" s="1670"/>
      <c r="P18" s="2245"/>
      <c r="Q18" s="2245"/>
      <c r="R18" s="2245"/>
      <c r="S18" s="2245"/>
      <c r="T18" s="2245"/>
      <c r="U18" s="2245"/>
      <c r="V18" s="2245"/>
    </row>
    <row r="19" spans="1:28" ht="40"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40" t="s">
        <v>2206</v>
      </c>
      <c r="C20" s="3241"/>
      <c r="D20" s="3242" t="s">
        <v>2207</v>
      </c>
      <c r="E20" s="3243"/>
      <c r="F20" s="2430" t="s">
        <v>1056</v>
      </c>
      <c r="G20" s="2442"/>
      <c r="H20" s="2442"/>
      <c r="I20" s="2442"/>
      <c r="J20" s="2245"/>
      <c r="K20" s="323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3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3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2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2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29"/>
      <c r="B30" s="294" t="s">
        <v>2218</v>
      </c>
      <c r="C30" s="3230"/>
      <c r="D30" s="3231"/>
      <c r="E30" s="2442"/>
      <c r="F30" s="2442"/>
      <c r="G30" s="2442"/>
      <c r="H30" s="2442"/>
      <c r="I30" s="2442"/>
      <c r="J30" s="2245"/>
      <c r="K30" s="2402"/>
      <c r="L30" s="2399"/>
      <c r="M30" s="2399"/>
      <c r="N30" s="2245"/>
      <c r="O30" s="1670"/>
      <c r="P30" s="2245"/>
      <c r="Q30" s="2245"/>
      <c r="R30" s="2245"/>
      <c r="S30" s="2245"/>
      <c r="T30" s="2245"/>
      <c r="U30" s="2245"/>
      <c r="V30" s="2245"/>
    </row>
    <row r="31" spans="1:28">
      <c r="A31" s="3232" t="s">
        <v>2219</v>
      </c>
      <c r="B31" s="2231" t="s">
        <v>3419</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7" t="s">
        <v>2228</v>
      </c>
      <c r="T34" s="315" t="str">
        <f>NUMBERSTRING(7-K34,1)&amp;"通"</f>
        <v>七通</v>
      </c>
      <c r="U34" s="2245"/>
      <c r="V34" s="2245"/>
    </row>
    <row r="35" spans="1:30">
      <c r="A35" s="2236"/>
      <c r="B35" s="3227" t="s">
        <v>2229</v>
      </c>
      <c r="C35" s="3227"/>
      <c r="D35" s="3227"/>
      <c r="E35" s="322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5"/>
      <c r="V35" s="2245"/>
    </row>
    <row r="36" spans="1:30" ht="13">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960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960</v>
      </c>
      <c r="H5" s="13">
        <f t="shared" ref="H5:AT5" si="0">SUM(H13:H656)</f>
        <v>960</v>
      </c>
      <c r="I5" s="13">
        <f t="shared" si="0"/>
        <v>960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960</v>
      </c>
      <c r="BA5" s="15">
        <f t="shared" si="1"/>
        <v>960</v>
      </c>
      <c r="BB5" s="15">
        <f t="shared" si="1"/>
        <v>960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t="s">
        <v>3420</v>
      </c>
      <c r="E13" s="13">
        <f>IF($C$3="是",ROUND($A$3*G13/$B$3,2),ROUND($A$3*(G13-AT13)/$B$3,2))</f>
        <v>0</v>
      </c>
      <c r="F13" s="29"/>
      <c r="G13" s="30">
        <f>H13+AC13+AT13</f>
        <v>960</v>
      </c>
      <c r="H13" s="17">
        <f>SUMIF(I$12:AB$12,"总值",I13:AB13)</f>
        <v>960</v>
      </c>
      <c r="I13" s="1514">
        <v>960</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960</v>
      </c>
      <c r="BA13" s="13">
        <f>SUM(BB13:BK13)</f>
        <v>960</v>
      </c>
      <c r="BB13" s="13">
        <f>IF($D13="是",I13-J13,0)</f>
        <v>960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65" t="s">
        <v>1131</v>
      </c>
      <c r="B2" s="3265"/>
      <c r="C2" s="3265"/>
      <c r="D2" s="748" t="s">
        <v>1107</v>
      </c>
      <c r="E2" s="1523" t="s">
        <v>1108</v>
      </c>
      <c r="F2" s="2439"/>
      <c r="G2" s="2432"/>
      <c r="H2" s="2433"/>
      <c r="I2" s="2146" t="s">
        <v>1132</v>
      </c>
      <c r="J2" s="2439"/>
      <c r="K2" s="2439"/>
      <c r="L2" s="2439"/>
      <c r="M2" s="2439"/>
      <c r="N2" s="2440"/>
      <c r="O2" s="2439"/>
      <c r="P2" s="2439"/>
    </row>
    <row r="3" spans="1:16" ht="14.5" thickBot="1">
      <c r="A3" s="3266" t="s">
        <v>1105</v>
      </c>
      <c r="B3" s="3266"/>
      <c r="C3" s="3266"/>
      <c r="D3" s="41">
        <f>'数据-基础表'!AY6</f>
        <v>0</v>
      </c>
      <c r="E3" s="41">
        <f>'数据-基础表'!AZ5</f>
        <v>960</v>
      </c>
      <c r="F3" s="2439"/>
      <c r="G3" s="42"/>
      <c r="H3" s="43" t="s">
        <v>1106</v>
      </c>
      <c r="I3" s="802" t="e">
        <f>ROUND('数据-基础表'!B3/'数据-基础表'!A3,2)</f>
        <v>#DIV/0!</v>
      </c>
      <c r="J3" s="2439"/>
      <c r="K3" s="2439"/>
      <c r="L3" s="2439"/>
      <c r="M3" s="2439"/>
      <c r="N3" s="2440"/>
      <c r="O3" s="2439"/>
      <c r="P3" s="2439"/>
    </row>
    <row r="4" spans="1:16">
      <c r="A4" s="3267"/>
      <c r="B4" s="3268"/>
      <c r="C4" s="326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70" t="s">
        <v>1110</v>
      </c>
      <c r="C5" s="3270"/>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70" t="s">
        <v>1111</v>
      </c>
      <c r="C6" s="3270"/>
      <c r="D6" s="43">
        <f>ROUND($D$3*E6/$E$3,2)</f>
        <v>0</v>
      </c>
      <c r="E6" s="44">
        <f>E3-E5</f>
        <v>960</v>
      </c>
      <c r="F6" s="2439"/>
      <c r="G6" s="1529" t="s">
        <v>1112</v>
      </c>
      <c r="H6" s="45" t="s">
        <v>1113</v>
      </c>
      <c r="I6" s="2435" t="e">
        <f>ROUND(F31/D31,2)</f>
        <v>#DIV/0!</v>
      </c>
      <c r="J6" s="2439"/>
      <c r="K6" s="2439"/>
      <c r="L6" s="2439"/>
      <c r="M6" s="2439"/>
      <c r="N6" s="2439"/>
      <c r="O6" s="2439"/>
      <c r="P6" s="2439"/>
    </row>
    <row r="7" spans="1:16" ht="14.5" thickBot="1">
      <c r="A7" s="3262"/>
      <c r="B7" s="3263"/>
      <c r="C7" s="326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960</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960</v>
      </c>
      <c r="F16" s="2439"/>
      <c r="G16" s="2439"/>
      <c r="H16" s="1531" t="s">
        <v>1135</v>
      </c>
      <c r="I16" s="1532"/>
      <c r="J16" s="1071"/>
      <c r="K16" s="3259" t="s">
        <v>1135</v>
      </c>
      <c r="L16" s="3260"/>
      <c r="M16" s="3260"/>
      <c r="N16" s="3260"/>
      <c r="O16" s="3260"/>
      <c r="P16" s="3261"/>
    </row>
    <row r="17" spans="1:19">
      <c r="A17" s="1533" t="s">
        <v>1136</v>
      </c>
      <c r="B17" s="1534" t="s">
        <v>1137</v>
      </c>
      <c r="C17" s="1535" t="s">
        <v>1138</v>
      </c>
      <c r="D17" s="1536" t="s">
        <v>1126</v>
      </c>
      <c r="E17" s="1537" t="s">
        <v>1127</v>
      </c>
      <c r="F17" s="1538"/>
      <c r="G17" s="1539"/>
      <c r="H17" s="1540" t="s">
        <v>1139</v>
      </c>
      <c r="I17" s="1541" t="s">
        <v>1124</v>
      </c>
      <c r="J17" s="1071"/>
      <c r="K17" s="3256" t="s">
        <v>1140</v>
      </c>
      <c r="L17" s="3257"/>
      <c r="M17" s="3258"/>
      <c r="N17" s="3256" t="s">
        <v>1141</v>
      </c>
      <c r="O17" s="3257"/>
      <c r="P17" s="3258"/>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3424</v>
      </c>
      <c r="D19" s="43">
        <f>ROUND($D$3*E19/$E$3,2)</f>
        <v>0</v>
      </c>
      <c r="E19" s="51">
        <f t="shared" ref="E19:E26" si="1">SUM(F19:G19)</f>
        <v>960</v>
      </c>
      <c r="F19" s="2557">
        <f>'数据-基础表'!G13</f>
        <v>960</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960</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960</v>
      </c>
      <c r="F27" s="1072">
        <f>IF(SUM(F19:F26)=E8,SUM(F19:F26),"地上面积有误")</f>
        <v>960</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960</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960</v>
      </c>
      <c r="F31" s="644">
        <f>F27+F30</f>
        <v>960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O19" sqref="O19"/>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45967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办公</v>
      </c>
      <c r="B6" s="1587" t="str">
        <f>IF(A6=0,"","经营性")</f>
        <v>经营性</v>
      </c>
      <c r="C6" s="1588" t="s">
        <v>21</v>
      </c>
      <c r="D6" s="805">
        <f>SUMIF(项目基本情况!C$12:I$12,C6,项目基本情况!C$14:I$14)</f>
        <v>50</v>
      </c>
      <c r="E6" s="804">
        <f>IF(B6="","",SUMIF(项目基本情况!C$12:I$12,C6,项目基本情况!C$13:I$13))</f>
        <v>0</v>
      </c>
      <c r="F6" s="61">
        <f>SUMIF(项目基本情况!C$12:I$12,C6,项目基本情况!C$15:I$15)</f>
        <v>0</v>
      </c>
      <c r="G6" s="62">
        <f>IF(ISERROR(ROUND(POWER(1+H6,D6-F6)*(POWER(1+H6,F6)-1)/(POWER(1+H6,D6)-1),3)),0,ROUND(POWER(1+H6,D6-F6)*(POWER(1+H6,F6)-1)/(POWER(1+H6,D6)-1),3))</f>
        <v>0</v>
      </c>
      <c r="H6" s="691">
        <v>0.05</v>
      </c>
      <c r="I6" s="691">
        <v>5.5E-2</v>
      </c>
      <c r="J6" s="63">
        <v>7.0000000000000007E-2</v>
      </c>
      <c r="K6" s="970">
        <f>SUMIF('数据-汇总表'!C$19:C$33,A6,'数据-汇总表'!E$19:E$33)</f>
        <v>960</v>
      </c>
      <c r="L6" s="692"/>
      <c r="M6" s="64">
        <f t="shared" ref="M6:M14" si="0">ROUND(K6*L6/10000,0)</f>
        <v>0</v>
      </c>
      <c r="N6" s="690">
        <f>N19</f>
        <v>0.82</v>
      </c>
      <c r="O6" s="64" t="str">
        <f>IF($N$5="成新度","——",ROUND(M6*N6,0))</f>
        <v>——</v>
      </c>
      <c r="P6" s="65" t="str">
        <f>IF($N$5="成新度","——",M6-O6)</f>
        <v>——</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960</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7" t="s">
        <v>1210</v>
      </c>
      <c r="B18" s="2460"/>
      <c r="C18" s="2439"/>
      <c r="D18" s="2451"/>
      <c r="E18" s="2439"/>
      <c r="F18" s="2439"/>
      <c r="G18" s="2439"/>
      <c r="H18" s="2439"/>
      <c r="I18" s="2439"/>
      <c r="J18" s="2439"/>
      <c r="K18" s="2449"/>
      <c r="L18" s="2449"/>
      <c r="M18" s="3170" t="s">
        <v>3423</v>
      </c>
      <c r="N18" s="2448">
        <v>2014</v>
      </c>
      <c r="O18" s="3170" t="s">
        <v>3466</v>
      </c>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6" t="s">
        <v>1211</v>
      </c>
      <c r="B19" s="97">
        <v>0</v>
      </c>
      <c r="C19" s="2560" t="s">
        <v>2302</v>
      </c>
      <c r="D19" s="2451"/>
      <c r="E19" s="2439"/>
      <c r="F19" s="2439"/>
      <c r="G19" s="2439"/>
      <c r="H19" s="2439"/>
      <c r="I19" s="2439"/>
      <c r="J19" s="2439"/>
      <c r="K19" s="2449"/>
      <c r="L19" s="2449"/>
      <c r="M19" s="2448"/>
      <c r="N19" s="2448">
        <f>ROUND(1-(1-0)*(2025-N18)/60,2)</f>
        <v>0.82</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7" t="s">
        <v>1212</v>
      </c>
      <c r="B20" s="98">
        <v>2</v>
      </c>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8" t="s">
        <v>1213</v>
      </c>
      <c r="B21" s="98">
        <f>B20</f>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7" t="s">
        <v>1214</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1" t="s">
        <v>1220</v>
      </c>
      <c r="B27" s="101">
        <v>160</v>
      </c>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1" t="s">
        <v>1226</v>
      </c>
      <c r="B33" s="640">
        <v>0.05</v>
      </c>
      <c r="C33" s="2564" t="s">
        <v>3381</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2" t="s">
        <v>1227</v>
      </c>
      <c r="B34" s="106">
        <v>0</v>
      </c>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3" t="s">
        <v>1229</v>
      </c>
      <c r="B36" s="107">
        <v>0.02</v>
      </c>
      <c r="C36" s="2564" t="s">
        <v>3399</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4" t="s">
        <v>1230</v>
      </c>
      <c r="B37" s="108">
        <v>0.02</v>
      </c>
      <c r="C37" s="2564" t="s">
        <v>3382</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2" t="s">
        <v>1231</v>
      </c>
      <c r="B38" s="106">
        <v>0.02</v>
      </c>
      <c r="C38" s="2564" t="s">
        <v>3383</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3" t="s">
        <v>2310</v>
      </c>
      <c r="B40" s="1015">
        <f ca="1">IF(A40="利息：取LPR",存贷款利率!G1,存贷款利率!G1+C40)</f>
        <v>3.1300000000000001E-2</v>
      </c>
      <c r="C40" s="2572"/>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1" t="s">
        <v>1233</v>
      </c>
      <c r="B41" s="109">
        <f>B42+B43</f>
        <v>0.05</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6" t="s">
        <v>1235</v>
      </c>
      <c r="B43" s="111">
        <f>B42*(B44+B45+B46)+B47</f>
        <v>0</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7" t="s">
        <v>1236</v>
      </c>
      <c r="B44" s="112"/>
      <c r="C44" s="2564" t="s">
        <v>3384</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7" t="s">
        <v>1237</v>
      </c>
      <c r="B45" s="110"/>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7" t="s">
        <v>1238</v>
      </c>
      <c r="B46" s="110"/>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9" t="s">
        <v>1240</v>
      </c>
      <c r="B48" s="114"/>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5" t="s">
        <v>1241</v>
      </c>
      <c r="B49" s="110"/>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71" t="s">
        <v>2286</v>
      </c>
      <c r="B1" s="3272"/>
      <c r="C1" s="3272"/>
      <c r="D1" s="3272"/>
      <c r="E1" s="3272"/>
      <c r="F1" s="3272"/>
      <c r="G1" s="327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1" sqref="G11"/>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960</v>
      </c>
      <c r="C1" s="2461"/>
      <c r="D1" s="2461"/>
      <c r="E1" s="2461"/>
      <c r="F1" s="2461"/>
      <c r="G1" s="2462"/>
      <c r="H1" s="2462"/>
      <c r="I1" s="2462"/>
      <c r="J1" s="2462"/>
      <c r="K1" s="2462"/>
    </row>
    <row r="2" spans="1:11" ht="16.5">
      <c r="A2" s="2300" t="s">
        <v>653</v>
      </c>
      <c r="B2" s="2300">
        <f>SUM(C14:C23)</f>
        <v>0</v>
      </c>
      <c r="C2" s="2461"/>
      <c r="D2" s="2461"/>
      <c r="E2" s="2461"/>
      <c r="F2" s="2461"/>
      <c r="G2" s="2462"/>
      <c r="H2" s="2462"/>
      <c r="I2" s="2462"/>
      <c r="J2" s="2462"/>
      <c r="K2" s="2462"/>
    </row>
    <row r="3" spans="1:11" ht="16.5">
      <c r="A3" s="2300" t="s">
        <v>662</v>
      </c>
      <c r="B3" s="2302">
        <f>项目基本情况!D3</f>
        <v>45967</v>
      </c>
      <c r="C3" s="2461"/>
      <c r="D3" s="2461"/>
      <c r="E3" s="2461"/>
      <c r="F3" s="2461"/>
      <c r="G3" s="2462"/>
      <c r="H3" s="2462"/>
      <c r="I3" s="2462"/>
      <c r="J3" s="2462"/>
      <c r="K3" s="2462"/>
    </row>
    <row r="4" spans="1:11" ht="33">
      <c r="A4" s="2300" t="s">
        <v>661</v>
      </c>
      <c r="B4" s="2300" t="s">
        <v>660</v>
      </c>
      <c r="C4" s="2300" t="s">
        <v>659</v>
      </c>
      <c r="D4" s="2300" t="s">
        <v>658</v>
      </c>
      <c r="E4" s="2461"/>
      <c r="F4" s="2462"/>
      <c r="G4" s="2462"/>
      <c r="H4" s="2462"/>
      <c r="I4" s="2462"/>
      <c r="J4" s="2462"/>
      <c r="K4" s="2462"/>
    </row>
    <row r="5" spans="1:11" ht="16.5">
      <c r="A5" s="2300" t="s">
        <v>657</v>
      </c>
      <c r="B5" s="2300">
        <f>SUM(D14:D23)</f>
        <v>0</v>
      </c>
      <c r="C5" s="2300">
        <f ca="1">IF(B5=D14,结果表!H102,ROUND(B5*10000/$B$1,0))</f>
        <v>0</v>
      </c>
      <c r="D5" s="2300" t="e">
        <f>ROUND(B5*10000/$B$2,0)</f>
        <v>#DIV/0!</v>
      </c>
      <c r="E5" s="2461"/>
      <c r="F5" s="2462"/>
      <c r="G5" s="2462"/>
      <c r="H5" s="2462"/>
      <c r="I5" s="2462"/>
      <c r="J5" s="2462"/>
      <c r="K5" s="2462"/>
    </row>
    <row r="6" spans="1:11" ht="16.5">
      <c r="A6" s="2300" t="s">
        <v>656</v>
      </c>
      <c r="B6" s="2300">
        <f>SUM(G14:G23)</f>
        <v>0</v>
      </c>
      <c r="C6" s="2300">
        <f ca="1">IF(B6=G14,结果表!H108,ROUND(B6*10000/$B$1,0))</f>
        <v>0</v>
      </c>
      <c r="D6" s="2300" t="e">
        <f>ROUND(B6*10000/$B$2,0)</f>
        <v>#DIV/0!</v>
      </c>
      <c r="E6" s="2461"/>
      <c r="F6" s="2462"/>
      <c r="G6" s="2462"/>
      <c r="H6" s="2462"/>
      <c r="I6" s="2462"/>
      <c r="J6" s="2462"/>
      <c r="K6" s="2462"/>
    </row>
    <row r="7" spans="1:11" ht="16.5">
      <c r="A7" s="2300" t="s">
        <v>664</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1847</v>
      </c>
      <c r="C10" s="2300" t="s">
        <v>3354</v>
      </c>
      <c r="D10" s="2300" t="s">
        <v>3355</v>
      </c>
      <c r="E10" s="3136">
        <f>'比较法-办公'!C50</f>
        <v>3.69</v>
      </c>
      <c r="F10" s="3140" t="s">
        <v>3356</v>
      </c>
      <c r="G10" s="3137">
        <v>7.0000000000000007E-2</v>
      </c>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f>'数据-汇总表'!E19</f>
        <v>960</v>
      </c>
      <c r="C14" s="2306"/>
      <c r="D14" s="2306"/>
      <c r="E14" s="2306">
        <f>ROUND(D14*10000/B14,0)</f>
        <v>0</v>
      </c>
      <c r="F14" s="2306" t="e">
        <f>ROUND(D14*10000/C14,0)</f>
        <v>#DIV/0!</v>
      </c>
      <c r="G14" s="2306"/>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7" t="str">
        <f>项目基本情况!S2</f>
        <v>北京市海淀区西北旺东路10号院21号楼102房地产</v>
      </c>
      <c r="B2" s="3308"/>
      <c r="C2" s="3308"/>
      <c r="D2" s="3308"/>
      <c r="E2" s="3308"/>
      <c r="F2" s="3308"/>
      <c r="G2" s="3308"/>
      <c r="H2" s="3308"/>
      <c r="I2" s="3309"/>
    </row>
    <row r="3" spans="1:12" ht="13">
      <c r="A3" s="3311" t="s">
        <v>1264</v>
      </c>
      <c r="B3" s="3312"/>
      <c r="C3" s="3312"/>
      <c r="D3" s="3312"/>
      <c r="E3" s="3312"/>
      <c r="F3" s="3312"/>
      <c r="G3" s="3312"/>
      <c r="H3" s="3312"/>
      <c r="I3" s="3312"/>
    </row>
    <row r="4" spans="1:12" ht="14">
      <c r="A4" s="1624" t="s">
        <v>1265</v>
      </c>
      <c r="B4" s="1625" t="s">
        <v>1266</v>
      </c>
      <c r="C4" s="1626"/>
      <c r="D4" s="1626"/>
      <c r="E4" s="3313" t="s">
        <v>1267</v>
      </c>
      <c r="F4" s="3314"/>
      <c r="G4" s="3314"/>
      <c r="H4" s="3314"/>
      <c r="I4" s="3315"/>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287" t="s">
        <v>1268</v>
      </c>
      <c r="B5" s="3274">
        <v>25</v>
      </c>
      <c r="C5" s="3290"/>
      <c r="D5" s="3310"/>
      <c r="E5" s="123" t="s">
        <v>1269</v>
      </c>
      <c r="F5" s="1627"/>
      <c r="G5" s="1627"/>
      <c r="H5" s="1627"/>
      <c r="I5" s="1281"/>
    </row>
    <row r="6" spans="1:12" ht="13">
      <c r="A6" s="3287"/>
      <c r="B6" s="3274"/>
      <c r="C6" s="3291"/>
      <c r="D6" s="3310"/>
      <c r="E6" s="123" t="s">
        <v>1270</v>
      </c>
      <c r="F6" s="1627"/>
      <c r="G6" s="1627"/>
      <c r="H6" s="1627"/>
      <c r="I6" s="1281"/>
    </row>
    <row r="7" spans="1:12" ht="13">
      <c r="A7" s="3287"/>
      <c r="B7" s="3274"/>
      <c r="C7" s="3292"/>
      <c r="D7" s="3310"/>
      <c r="E7" s="123" t="s">
        <v>1271</v>
      </c>
      <c r="F7" s="1627"/>
      <c r="G7" s="1627"/>
      <c r="H7" s="1627"/>
      <c r="I7" s="1281"/>
    </row>
    <row r="8" spans="1:12" ht="13">
      <c r="A8" s="3287" t="s">
        <v>1272</v>
      </c>
      <c r="B8" s="3274">
        <v>15</v>
      </c>
      <c r="C8" s="3290"/>
      <c r="D8" s="3310"/>
      <c r="E8" s="123" t="s">
        <v>1273</v>
      </c>
      <c r="F8" s="1627"/>
      <c r="G8" s="1627"/>
      <c r="H8" s="1627"/>
      <c r="I8" s="1281"/>
    </row>
    <row r="9" spans="1:12" ht="13">
      <c r="A9" s="3287"/>
      <c r="B9" s="3274"/>
      <c r="C9" s="3292"/>
      <c r="D9" s="3310"/>
      <c r="E9" s="123" t="s">
        <v>1274</v>
      </c>
      <c r="F9" s="1627"/>
      <c r="G9" s="1627"/>
      <c r="H9" s="1627"/>
      <c r="I9" s="1281"/>
    </row>
    <row r="10" spans="1:12" ht="13">
      <c r="A10" s="3287" t="s">
        <v>1275</v>
      </c>
      <c r="B10" s="3274">
        <v>15</v>
      </c>
      <c r="C10" s="3290"/>
      <c r="D10" s="3310"/>
      <c r="E10" s="123" t="s">
        <v>1276</v>
      </c>
      <c r="F10" s="1627"/>
      <c r="G10" s="1627"/>
      <c r="H10" s="1627"/>
      <c r="I10" s="1281"/>
    </row>
    <row r="11" spans="1:12" ht="13">
      <c r="A11" s="3287"/>
      <c r="B11" s="3274"/>
      <c r="C11" s="3292"/>
      <c r="D11" s="3310"/>
      <c r="E11" s="123" t="s">
        <v>1277</v>
      </c>
      <c r="F11" s="1627"/>
      <c r="G11" s="1627"/>
      <c r="H11" s="1627"/>
      <c r="I11" s="1281"/>
    </row>
    <row r="12" spans="1:12" ht="13">
      <c r="A12" s="3287" t="s">
        <v>1278</v>
      </c>
      <c r="B12" s="3274">
        <v>15</v>
      </c>
      <c r="C12" s="3290"/>
      <c r="D12" s="3310"/>
      <c r="E12" s="123" t="s">
        <v>1279</v>
      </c>
      <c r="F12" s="1627"/>
      <c r="G12" s="1627"/>
      <c r="H12" s="1627"/>
      <c r="I12" s="1281"/>
    </row>
    <row r="13" spans="1:12" ht="13">
      <c r="A13" s="3287"/>
      <c r="B13" s="3274"/>
      <c r="C13" s="3292"/>
      <c r="D13" s="3310"/>
      <c r="E13" s="123" t="s">
        <v>1280</v>
      </c>
      <c r="F13" s="1627"/>
      <c r="G13" s="1627"/>
      <c r="H13" s="1627"/>
      <c r="I13" s="1281"/>
    </row>
    <row r="14" spans="1:12" ht="13">
      <c r="A14" s="3287" t="s">
        <v>1281</v>
      </c>
      <c r="B14" s="3274">
        <v>30</v>
      </c>
      <c r="C14" s="3290"/>
      <c r="D14" s="3310"/>
      <c r="E14" s="123" t="s">
        <v>1282</v>
      </c>
      <c r="F14" s="1627"/>
      <c r="G14" s="1627"/>
      <c r="H14" s="1627"/>
      <c r="I14" s="1281"/>
    </row>
    <row r="15" spans="1:12" ht="13">
      <c r="A15" s="3287"/>
      <c r="B15" s="3274"/>
      <c r="C15" s="3291"/>
      <c r="D15" s="3310"/>
      <c r="E15" s="123" t="s">
        <v>1283</v>
      </c>
      <c r="F15" s="1627"/>
      <c r="G15" s="1627"/>
      <c r="H15" s="1627"/>
      <c r="I15" s="1281"/>
    </row>
    <row r="16" spans="1:12" ht="13">
      <c r="A16" s="3287"/>
      <c r="B16" s="3274"/>
      <c r="C16" s="3292"/>
      <c r="D16" s="3310"/>
      <c r="E16" s="123" t="s">
        <v>1284</v>
      </c>
      <c r="F16" s="1627"/>
      <c r="G16" s="1627"/>
      <c r="H16" s="1627"/>
      <c r="I16" s="1281"/>
    </row>
    <row r="17" spans="1:36" ht="14">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97" t="s">
        <v>2131</v>
      </c>
      <c r="F18" s="3298"/>
      <c r="G18" s="3298"/>
      <c r="H18" s="3298"/>
      <c r="I18" s="3298"/>
      <c r="K18" s="294" t="s">
        <v>1289</v>
      </c>
      <c r="L18" s="294">
        <f>IF(C1="",'数据-汇总表'!E3,SUMIF(项目类型,C1,'数据-汇总表'!E17:E26)+SUMIF(项目类型,C1,'数据-汇总表'!I17:I26))</f>
        <v>960</v>
      </c>
      <c r="M18" s="294">
        <f>IF(C1="",'数据-汇总表'!E3,SUMIF(项目类型,C1,'数据-汇总表'!E17:E26))</f>
        <v>960</v>
      </c>
    </row>
    <row r="19" spans="1:36" ht="1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4.5" thickBot="1">
      <c r="A22" s="1564" t="s">
        <v>1298</v>
      </c>
      <c r="B22" s="1635"/>
      <c r="C22" s="1636"/>
      <c r="D22" s="680" t="e">
        <f ca="1">IF(C19&lt;D19,D19/C19-1,C19/D19-1)</f>
        <v>#REF!</v>
      </c>
      <c r="E22" s="121"/>
      <c r="F22" s="121"/>
      <c r="G22" s="121"/>
      <c r="H22" s="121"/>
      <c r="I22" s="121"/>
    </row>
    <row r="23" spans="1:36" ht="13" thickBot="1">
      <c r="A23" s="646"/>
      <c r="B23" s="646"/>
      <c r="C23" s="646"/>
      <c r="D23" s="646"/>
      <c r="E23" s="121"/>
      <c r="F23" s="121"/>
      <c r="G23" s="121"/>
      <c r="H23" s="121"/>
      <c r="I23" s="121"/>
    </row>
    <row r="24" spans="1:36" ht="14">
      <c r="A24" s="3281" t="s">
        <v>1299</v>
      </c>
      <c r="B24" s="1631" t="s">
        <v>1291</v>
      </c>
      <c r="C24" s="128">
        <f>IF(B30=0,0,D30)</f>
        <v>0</v>
      </c>
      <c r="D24" s="1637"/>
      <c r="E24" s="121"/>
      <c r="F24" s="121"/>
      <c r="G24" s="121"/>
      <c r="H24" s="121"/>
      <c r="I24" s="121"/>
    </row>
    <row r="25" spans="1:36" ht="14">
      <c r="A25" s="328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t="e">
        <f ca="1">IF(D32="总价",G19-C24,G20-C25)</f>
        <v>#REF!</v>
      </c>
      <c r="D32" s="1641"/>
      <c r="E32" s="121"/>
      <c r="F32" s="121"/>
      <c r="G32" s="121"/>
      <c r="H32" s="121"/>
      <c r="I32" s="121"/>
    </row>
    <row r="33" spans="1:15" ht="14">
      <c r="A33" s="740" t="s">
        <v>1306</v>
      </c>
      <c r="B33" s="123"/>
      <c r="C33" s="1642"/>
      <c r="D33" s="1643"/>
      <c r="E33" s="1644" t="s">
        <v>1307</v>
      </c>
      <c r="F33" s="1645" t="str">
        <f>IF(D32="楼面单价","取值（单价）","取值（总价）")</f>
        <v>取值（总价）</v>
      </c>
      <c r="G33" s="121"/>
      <c r="H33" s="121"/>
      <c r="I33" s="121"/>
    </row>
    <row r="34" spans="1:15" ht="1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4.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4.5" thickBot="1">
      <c r="A36" s="3301" t="s">
        <v>1312</v>
      </c>
      <c r="B36" s="1652" t="s">
        <v>1313</v>
      </c>
      <c r="C36" s="137"/>
      <c r="D36" s="1653"/>
      <c r="E36" s="1567"/>
      <c r="F36" s="1654"/>
      <c r="G36" s="121"/>
      <c r="H36" s="121"/>
      <c r="I36" s="121"/>
    </row>
    <row r="37" spans="1:15" ht="14.5" thickBot="1">
      <c r="A37" s="3302"/>
      <c r="B37" s="1555" t="s">
        <v>1314</v>
      </c>
      <c r="C37" s="139"/>
      <c r="D37" s="1071"/>
      <c r="E37" s="1071"/>
      <c r="F37" s="1654"/>
      <c r="G37" s="121"/>
      <c r="H37" s="121"/>
      <c r="I37" s="121"/>
    </row>
    <row r="38" spans="1:15" ht="14.5" thickBot="1">
      <c r="A38" s="3303"/>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78" t="s">
        <v>1326</v>
      </c>
      <c r="B45" s="3279"/>
      <c r="C45" s="3280"/>
      <c r="D45" s="147" t="e">
        <f ca="1">ROUND(H101*F45,0)</f>
        <v>#REF!</v>
      </c>
      <c r="E45" s="148" t="s">
        <v>1327</v>
      </c>
      <c r="F45" s="149">
        <v>1</v>
      </c>
      <c r="G45" s="150" t="s">
        <v>1328</v>
      </c>
      <c r="H45" s="121"/>
      <c r="I45" s="121"/>
      <c r="J45" s="3356" t="s">
        <v>1329</v>
      </c>
      <c r="K45" s="3356"/>
      <c r="L45" s="3356"/>
      <c r="M45" s="3356"/>
      <c r="N45" s="3356"/>
      <c r="O45" s="3356"/>
    </row>
    <row r="46" spans="1:15" ht="14.25" customHeight="1">
      <c r="A46" s="3275" t="s">
        <v>1330</v>
      </c>
      <c r="B46" s="3276"/>
      <c r="C46" s="3276"/>
      <c r="D46" s="3276"/>
      <c r="E46" s="3276"/>
      <c r="F46" s="3276"/>
      <c r="G46" s="3277"/>
      <c r="H46" s="1668"/>
      <c r="I46" s="151"/>
      <c r="J46" s="2310">
        <v>1</v>
      </c>
      <c r="K46" s="3337" t="s">
        <v>1331</v>
      </c>
      <c r="L46" s="3337"/>
      <c r="M46" s="3357"/>
      <c r="N46" s="3357"/>
      <c r="O46" s="3357"/>
    </row>
    <row r="47" spans="1:15" ht="12" customHeight="1">
      <c r="A47" s="152" t="s">
        <v>1332</v>
      </c>
      <c r="B47" s="153"/>
      <c r="C47" s="154"/>
      <c r="D47" s="1024" t="s">
        <v>1333</v>
      </c>
      <c r="E47" s="294" t="s">
        <v>1334</v>
      </c>
      <c r="F47" s="155" t="s">
        <v>1335</v>
      </c>
      <c r="G47" s="2333" t="s">
        <v>1336</v>
      </c>
      <c r="H47" s="2334"/>
      <c r="I47" s="151"/>
      <c r="J47" s="2310">
        <v>2</v>
      </c>
      <c r="K47" s="3337" t="s">
        <v>1337</v>
      </c>
      <c r="L47" s="3337"/>
      <c r="M47" s="3358">
        <f>'数据-取费表'!B2</f>
        <v>45967</v>
      </c>
      <c r="N47" s="3358"/>
      <c r="O47" s="3358"/>
    </row>
    <row r="48" spans="1:15" ht="26">
      <c r="A48" s="3306" t="s">
        <v>1338</v>
      </c>
      <c r="B48" s="3289"/>
      <c r="C48" s="3289"/>
      <c r="D48" s="12" t="b">
        <f>IF(H48="情况1",0,IF(H48="情况2",D52,IF(H48="情况3",D53,IF(H48="情况4",D54))))</f>
        <v>0</v>
      </c>
      <c r="E48" s="1256" t="str">
        <f>IF(H48="情况4","(销售额-原购置价)×税（费）率","销售额×税（费）率")</f>
        <v>销售额×税（费）率</v>
      </c>
      <c r="F48" s="2335">
        <f>IF(H48="情况1","免征",'数据-取费表'!B41)</f>
        <v>0.05</v>
      </c>
      <c r="G48" s="2336" t="s">
        <v>1339</v>
      </c>
      <c r="H48" s="2337"/>
      <c r="I48" s="1668"/>
      <c r="J48" s="2310">
        <v>3</v>
      </c>
      <c r="K48" s="3337" t="s">
        <v>1340</v>
      </c>
      <c r="L48" s="3337"/>
      <c r="M48" s="3359" t="e">
        <f ca="1">H101</f>
        <v>#REF!</v>
      </c>
      <c r="N48" s="3359"/>
      <c r="O48" s="3359"/>
    </row>
    <row r="49" spans="1:35" ht="25.5" customHeight="1">
      <c r="A49" s="2152" t="s">
        <v>1341</v>
      </c>
      <c r="B49" s="3273" t="s">
        <v>1342</v>
      </c>
      <c r="C49" s="3273"/>
      <c r="D49" s="1478">
        <v>0</v>
      </c>
      <c r="E49" s="316" t="s">
        <v>1343</v>
      </c>
      <c r="F49" s="2233" t="s">
        <v>28</v>
      </c>
      <c r="G49" s="3343"/>
      <c r="H49" s="2134" t="s">
        <v>2134</v>
      </c>
      <c r="I49" s="2135"/>
      <c r="J49" s="2310">
        <v>4</v>
      </c>
      <c r="K49" s="3337" t="str">
        <f>IF(项目基本情况!E8="房地产抵押价值","房地产抵押价值","抵押担保权已注销时的房地产抵押价值")</f>
        <v>抵押担保权已注销时的房地产抵押价值</v>
      </c>
      <c r="L49" s="3337"/>
      <c r="M49" s="3359" t="str">
        <f>IF(项目基本情况!E8="房地产抵押价值",H107,H109)</f>
        <v>——</v>
      </c>
      <c r="N49" s="3359"/>
      <c r="O49" s="3359"/>
    </row>
    <row r="50" spans="1:35" ht="25.5" customHeight="1">
      <c r="A50" s="2338"/>
      <c r="B50" s="3273" t="s">
        <v>1344</v>
      </c>
      <c r="C50" s="3273"/>
      <c r="D50" s="2189"/>
      <c r="E50" s="323"/>
      <c r="F50" s="2233"/>
      <c r="G50" s="3344"/>
      <c r="H50" s="2136" t="s">
        <v>2135</v>
      </c>
      <c r="I50" s="2135"/>
      <c r="J50" s="3356" t="s">
        <v>1345</v>
      </c>
      <c r="K50" s="3356"/>
      <c r="L50" s="3356"/>
      <c r="M50" s="3356"/>
      <c r="N50" s="3356"/>
      <c r="O50" s="3356"/>
    </row>
    <row r="51" spans="1:35" ht="20.5" customHeight="1">
      <c r="A51" s="2339"/>
      <c r="B51" s="3273" t="s">
        <v>1346</v>
      </c>
      <c r="C51" s="3273"/>
      <c r="D51" s="1024"/>
      <c r="E51" s="319"/>
      <c r="F51" s="2233"/>
      <c r="G51" s="3345"/>
      <c r="H51" s="2136" t="s">
        <v>2136</v>
      </c>
      <c r="I51" s="2135"/>
      <c r="J51" s="2311" t="s">
        <v>1347</v>
      </c>
      <c r="K51" s="3337" t="s">
        <v>1348</v>
      </c>
      <c r="L51" s="3337"/>
      <c r="M51" s="2311" t="s">
        <v>1349</v>
      </c>
      <c r="N51" s="2311" t="s">
        <v>1350</v>
      </c>
      <c r="O51" s="2311" t="s">
        <v>1351</v>
      </c>
    </row>
    <row r="52" spans="1:35" ht="24" customHeight="1">
      <c r="A52" s="2153" t="s">
        <v>1352</v>
      </c>
      <c r="B52" s="3273" t="s">
        <v>1353</v>
      </c>
      <c r="C52" s="3273"/>
      <c r="D52" s="1024" t="e">
        <f ca="1">ROUND(D45*'数据-取费表'!B41/(1+'数据-取费表'!C42),0)</f>
        <v>#REF!</v>
      </c>
      <c r="E52" s="1256" t="s">
        <v>1354</v>
      </c>
      <c r="F52" s="2340">
        <f>'数据-取费表'!B41</f>
        <v>0.05</v>
      </c>
      <c r="G52" s="2341"/>
      <c r="H52" s="2331"/>
      <c r="I52" s="1669"/>
      <c r="J52" s="2310">
        <v>1</v>
      </c>
      <c r="K52" s="3338" t="s">
        <v>1355</v>
      </c>
      <c r="L52" s="3338"/>
      <c r="M52" s="2312" t="b">
        <f>D48</f>
        <v>0</v>
      </c>
      <c r="N52" s="2310" t="str">
        <f>E48</f>
        <v>销售额×税（费）率</v>
      </c>
      <c r="O52" s="2313">
        <f>F48</f>
        <v>0.05</v>
      </c>
    </row>
    <row r="53" spans="1:35" ht="12" customHeight="1">
      <c r="A53" s="2153" t="s">
        <v>1356</v>
      </c>
      <c r="B53" s="3299" t="s">
        <v>2291</v>
      </c>
      <c r="C53" s="3300"/>
      <c r="D53" s="1024" t="e">
        <f ca="1">ROUND(D45*'数据-取费表'!B41/(1+'数据-取费表'!C42),0)</f>
        <v>#REF!</v>
      </c>
      <c r="E53" s="1256" t="s">
        <v>1354</v>
      </c>
      <c r="F53" s="2340">
        <f>'数据-取费表'!B41</f>
        <v>0.05</v>
      </c>
      <c r="G53" s="2341"/>
      <c r="H53" s="2331"/>
      <c r="I53" s="1669"/>
      <c r="J53" s="2310">
        <v>2</v>
      </c>
      <c r="K53" s="3338" t="s">
        <v>1357</v>
      </c>
      <c r="L53" s="3338"/>
      <c r="M53" s="2312" t="e">
        <f t="shared" ref="M53:O54" ca="1" si="0">D55</f>
        <v>#REF!</v>
      </c>
      <c r="N53" s="2310" t="str">
        <f t="shared" si="0"/>
        <v>销售额×税（费）率</v>
      </c>
      <c r="O53" s="2313" t="str">
        <f t="shared" si="0"/>
        <v>免征</v>
      </c>
    </row>
    <row r="54" spans="1:35" ht="12" customHeight="1">
      <c r="A54" s="2153" t="s">
        <v>1358</v>
      </c>
      <c r="B54" s="3299" t="s">
        <v>2292</v>
      </c>
      <c r="C54" s="3300"/>
      <c r="D54" s="1024" t="e">
        <f ca="1">C68</f>
        <v>#REF!</v>
      </c>
      <c r="E54" s="319" t="s">
        <v>1359</v>
      </c>
      <c r="F54" s="2340">
        <f>'数据-取费表'!B41</f>
        <v>0.05</v>
      </c>
      <c r="G54" s="2341"/>
      <c r="H54" s="2342"/>
      <c r="I54" s="1669"/>
      <c r="J54" s="2310">
        <v>3</v>
      </c>
      <c r="K54" s="3338" t="s">
        <v>1360</v>
      </c>
      <c r="L54" s="3338"/>
      <c r="M54" s="2312" t="e">
        <f t="shared" ca="1" si="0"/>
        <v>#REF!</v>
      </c>
      <c r="N54" s="2310" t="str">
        <f t="shared" si="0"/>
        <v>增值额×税（费）率</v>
      </c>
      <c r="O54" s="2314" t="str">
        <f t="shared" si="0"/>
        <v>免征</v>
      </c>
    </row>
    <row r="55" spans="1:35" ht="24" customHeight="1">
      <c r="A55" s="3288" t="s">
        <v>1361</v>
      </c>
      <c r="B55" s="3289"/>
      <c r="C55" s="3289"/>
      <c r="D55" s="12" t="e">
        <f ca="1">IF(H55="个人住宅",0,ROUND(D45*I55,0))</f>
        <v>#REF!</v>
      </c>
      <c r="E55" s="1256" t="s">
        <v>1362</v>
      </c>
      <c r="F55" s="2340" t="str">
        <f>IF(H55="正常",I55,"免征")</f>
        <v>免征</v>
      </c>
      <c r="G55" s="2341"/>
      <c r="H55" s="2337"/>
      <c r="I55" s="157">
        <f>'数据-取费表'!B49</f>
        <v>0</v>
      </c>
      <c r="J55" s="2310">
        <f>IF(H59="非个人房产","",4)</f>
        <v>4</v>
      </c>
      <c r="K55" s="3338" t="str">
        <f>IF(H59="非个人房产","——","个人所得税")</f>
        <v>个人所得税</v>
      </c>
      <c r="L55" s="3338"/>
      <c r="M55" s="2315" t="e">
        <f ca="1">D59</f>
        <v>#REF!</v>
      </c>
      <c r="N55" s="1883" t="str">
        <f>E59</f>
        <v>差额计税</v>
      </c>
      <c r="O55" s="2316">
        <f>F59</f>
        <v>0.01</v>
      </c>
    </row>
    <row r="56" spans="1:35" ht="26">
      <c r="A56" s="3288" t="s">
        <v>1363</v>
      </c>
      <c r="B56" s="3289"/>
      <c r="C56" s="3289"/>
      <c r="D56" s="12" t="e">
        <f ca="1">IF(H56="个人住宅",D57,D58)</f>
        <v>#REF!</v>
      </c>
      <c r="E56" s="1256" t="s">
        <v>1364</v>
      </c>
      <c r="F56" s="2340" t="str">
        <f>IF(H56="正常",F58,"免征")</f>
        <v>免征</v>
      </c>
      <c r="G56" s="2343" t="s">
        <v>1365</v>
      </c>
      <c r="H56" s="2344"/>
      <c r="I56" s="1670"/>
      <c r="J56" s="2310" t="str">
        <f>IF(项目基本情况!K6="上海银行",IF(J55="",4,J55+1),"")</f>
        <v/>
      </c>
      <c r="K56" s="3361" t="str">
        <f>IF(项目基本情况!K6="上海银行","其他处置费用","")</f>
        <v/>
      </c>
      <c r="L56" s="3362"/>
      <c r="M56" s="2312" t="str">
        <f>IF(项目基本情况!K6="上海银行",M69,"")</f>
        <v/>
      </c>
      <c r="N56" s="3361" t="str">
        <f>IF(项目基本情况!K6="上海银行","包含处置中涉及的律师、诉讼、拍卖、评估等费用","")</f>
        <v/>
      </c>
      <c r="O56" s="3364"/>
    </row>
    <row r="57" spans="1:35" ht="13">
      <c r="A57" s="2153" t="s">
        <v>1341</v>
      </c>
      <c r="B57" s="3299" t="s">
        <v>1366</v>
      </c>
      <c r="C57" s="3300"/>
      <c r="D57" s="1478">
        <v>0</v>
      </c>
      <c r="E57" s="316" t="s">
        <v>1343</v>
      </c>
      <c r="F57" s="294"/>
      <c r="G57" s="2341"/>
      <c r="H57" s="2345"/>
      <c r="I57" s="1670"/>
      <c r="J57" s="3338">
        <f>IF(AND(J55="",J56=""),4,IF(项目基本情况!K6="上海银行",结果表!J56+1,结果表!J55+1))</f>
        <v>5</v>
      </c>
      <c r="K57" s="3338" t="s">
        <v>1367</v>
      </c>
      <c r="L57" s="2317" t="s">
        <v>1368</v>
      </c>
      <c r="M57" s="2318"/>
      <c r="N57" s="2319">
        <f ca="1">SUMIF(M52:M56,"&lt;9e307")</f>
        <v>0</v>
      </c>
      <c r="O57" s="2320"/>
      <c r="P57" s="2464" t="e">
        <f ca="1">N57/M49</f>
        <v>#VALUE!</v>
      </c>
    </row>
    <row r="58" spans="1:35" ht="26">
      <c r="A58" s="2153" t="s">
        <v>1352</v>
      </c>
      <c r="B58" s="3299" t="s">
        <v>1369</v>
      </c>
      <c r="C58" s="3273"/>
      <c r="D58" s="12" t="e">
        <f ca="1">IF(H58="转让取得",C81,C97)</f>
        <v>#REF!</v>
      </c>
      <c r="E58" s="1256" t="s">
        <v>1364</v>
      </c>
      <c r="F58" s="294" t="s">
        <v>28</v>
      </c>
      <c r="G58" s="2341"/>
      <c r="H58" s="2344"/>
      <c r="I58" s="1670"/>
      <c r="J58" s="3338"/>
      <c r="K58" s="3338"/>
      <c r="L58" s="2317" t="s">
        <v>1370</v>
      </c>
      <c r="M58" s="2321"/>
      <c r="N58" s="2322" t="str">
        <f ca="1">NUMBERSTRING(INT(N57*10000),2)&amp;"元整"</f>
        <v>零元整</v>
      </c>
      <c r="O58" s="2323"/>
    </row>
    <row r="59" spans="1:35" ht="26.5" thickBot="1">
      <c r="A59" s="3341" t="s">
        <v>1371</v>
      </c>
      <c r="B59" s="3342"/>
      <c r="C59" s="3342"/>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39">
        <f>J57+1</f>
        <v>6</v>
      </c>
      <c r="K59" s="3338" t="s">
        <v>1372</v>
      </c>
      <c r="L59" s="2310" t="s">
        <v>1368</v>
      </c>
      <c r="M59" s="2324"/>
      <c r="N59" s="2325" t="e">
        <f ca="1">M49-N57</f>
        <v>#VALUE!</v>
      </c>
      <c r="O59" s="2326"/>
    </row>
    <row r="60" spans="1:35" ht="12" customHeight="1">
      <c r="A60" s="1671"/>
      <c r="B60" s="646"/>
      <c r="C60" s="646"/>
      <c r="D60" s="646"/>
      <c r="E60" s="1466"/>
      <c r="F60" s="1670"/>
      <c r="G60" s="1670"/>
      <c r="H60" s="151"/>
      <c r="I60" s="121"/>
      <c r="J60" s="3340"/>
      <c r="K60" s="3338"/>
      <c r="L60" s="2317" t="s">
        <v>1370</v>
      </c>
      <c r="M60" s="2321"/>
      <c r="N60" s="2322" t="e">
        <f ca="1">NUMBERSTRING(INT(N59*10000),2)&amp;"元整"</f>
        <v>#VALUE!</v>
      </c>
      <c r="O60" s="2323"/>
    </row>
    <row r="61" spans="1:35" ht="13.5" thickBot="1">
      <c r="A61" s="3286" t="s">
        <v>1373</v>
      </c>
      <c r="B61" s="3286"/>
      <c r="C61" s="3286"/>
      <c r="D61" s="3286"/>
      <c r="E61" s="3286"/>
      <c r="F61" s="1670"/>
      <c r="G61" s="1670"/>
      <c r="H61" s="151"/>
      <c r="I61" s="121"/>
      <c r="J61" s="2310">
        <f>J59+1</f>
        <v>7</v>
      </c>
      <c r="K61" s="3338" t="s">
        <v>1374</v>
      </c>
      <c r="L61" s="3338"/>
      <c r="M61" s="2327"/>
      <c r="N61" s="2328" t="e">
        <f ca="1">ROUND(N59*10000/'数据-汇总表'!E3,0)</f>
        <v>#VALUE!</v>
      </c>
      <c r="O61" s="2329"/>
    </row>
    <row r="62" spans="1:35" ht="13">
      <c r="A62" s="3304" t="s">
        <v>1375</v>
      </c>
      <c r="B62" s="3305"/>
      <c r="C62" s="1865"/>
      <c r="D62" s="1865" t="s">
        <v>1376</v>
      </c>
      <c r="E62" s="158" t="s">
        <v>1377</v>
      </c>
      <c r="F62" s="1670"/>
      <c r="G62" s="1670"/>
      <c r="H62" s="151"/>
      <c r="I62" s="121"/>
    </row>
    <row r="63" spans="1:35" ht="13">
      <c r="A63" s="165" t="s">
        <v>330</v>
      </c>
      <c r="B63" s="159" t="s">
        <v>1378</v>
      </c>
      <c r="C63" s="2350" t="e">
        <f ca="1">ROUND((C64+C65)/(1+'数据-取费表'!C42),0)</f>
        <v>#REF!</v>
      </c>
      <c r="D63" s="159"/>
      <c r="E63" s="160"/>
      <c r="F63" s="1670"/>
      <c r="G63" s="1670"/>
      <c r="H63" s="151"/>
      <c r="I63" s="121"/>
      <c r="J63" s="3363"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6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63"/>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63"/>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6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0.05</v>
      </c>
      <c r="E68" s="170"/>
      <c r="F68" s="1670"/>
      <c r="G68" s="1670"/>
      <c r="H68" s="151"/>
      <c r="I68" s="121"/>
      <c r="J68" s="3363"/>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63"/>
      <c r="K69" s="1245" t="s">
        <v>1393</v>
      </c>
      <c r="L69" s="1245"/>
      <c r="M69" s="294" t="e">
        <f>ROUND(SUM(M63:M68),0)</f>
        <v>#VALUE!</v>
      </c>
      <c r="N69" s="2332" t="e">
        <f>M69/M49</f>
        <v>#VALUE!</v>
      </c>
      <c r="Z69" s="1623"/>
      <c r="AI69" s="1561"/>
    </row>
    <row r="70" spans="1:35" s="642" customFormat="1" ht="14.5" thickBot="1">
      <c r="A70" s="3325" t="s">
        <v>1394</v>
      </c>
      <c r="B70" s="3326"/>
      <c r="C70" s="3326"/>
      <c r="D70" s="3326"/>
      <c r="E70" s="3326"/>
      <c r="F70" s="3326"/>
      <c r="G70" s="3326"/>
      <c r="H70" s="332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04" t="s">
        <v>1375</v>
      </c>
      <c r="B71" s="330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9" t="s">
        <v>1402</v>
      </c>
      <c r="F76" s="3273"/>
      <c r="G76" s="3273"/>
      <c r="H76" s="332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83" t="s">
        <v>1406</v>
      </c>
      <c r="F78" s="3284"/>
      <c r="G78" s="3284"/>
      <c r="H78" s="329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5" t="s">
        <v>1410</v>
      </c>
      <c r="B83" s="3326"/>
      <c r="C83" s="3326"/>
      <c r="D83" s="3326"/>
      <c r="E83" s="3326"/>
      <c r="F83" s="3326"/>
      <c r="G83" s="3326"/>
      <c r="H83" s="332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04" t="s">
        <v>1375</v>
      </c>
      <c r="B84" s="330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365" t="s">
        <v>2129</v>
      </c>
      <c r="H90" s="3366"/>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83" t="s">
        <v>1419</v>
      </c>
      <c r="F91" s="3284"/>
      <c r="G91" s="328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83" t="s">
        <v>1422</v>
      </c>
      <c r="F92" s="3284"/>
      <c r="G92" s="3284"/>
      <c r="H92" s="3293"/>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83" t="s">
        <v>1406</v>
      </c>
      <c r="F93" s="3284"/>
      <c r="G93" s="3284"/>
      <c r="H93" s="329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94" t="s">
        <v>1426</v>
      </c>
      <c r="F94" s="3295"/>
      <c r="G94" s="3295"/>
      <c r="H94" s="329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7" t="s">
        <v>1428</v>
      </c>
      <c r="B100" s="3268"/>
      <c r="C100" s="3268"/>
      <c r="D100" s="3285"/>
      <c r="E100" s="3268" t="s">
        <v>1429</v>
      </c>
      <c r="F100" s="3268"/>
      <c r="G100" s="3268"/>
      <c r="H100" s="3285"/>
      <c r="I100" s="121"/>
    </row>
    <row r="101" spans="1:35" ht="18.75" customHeight="1">
      <c r="A101" s="3346" t="s">
        <v>1430</v>
      </c>
      <c r="B101" s="3347"/>
      <c r="C101" s="2371">
        <f>C4</f>
        <v>0</v>
      </c>
      <c r="D101" s="2372">
        <f>D4</f>
        <v>0</v>
      </c>
      <c r="E101" s="3360" t="s">
        <v>1431</v>
      </c>
      <c r="F101" s="3317"/>
      <c r="G101" s="1687" t="s">
        <v>1432</v>
      </c>
      <c r="H101" s="2381" t="e">
        <f ca="1">H118</f>
        <v>#REF!</v>
      </c>
      <c r="I101" s="121"/>
    </row>
    <row r="102" spans="1:35" ht="18.75" customHeight="1">
      <c r="A102" s="3319" t="s">
        <v>1433</v>
      </c>
      <c r="B102" s="2370" t="s">
        <v>1432</v>
      </c>
      <c r="C102" s="2371" t="e">
        <f ca="1">IF(D32="楼面单价",ROUND(C19,0),C19)</f>
        <v>#REF!</v>
      </c>
      <c r="D102" s="2372" t="e">
        <f ca="1">IF(D32="楼面单价",ROUND(D19,0),D19)</f>
        <v>#REF!</v>
      </c>
      <c r="E102" s="3360"/>
      <c r="F102" s="3317"/>
      <c r="G102" s="1687" t="s">
        <v>1434</v>
      </c>
      <c r="H102" s="2341" t="e">
        <f ca="1">I118</f>
        <v>#REF!</v>
      </c>
      <c r="I102" s="121"/>
    </row>
    <row r="103" spans="1:35" ht="42.75" customHeight="1">
      <c r="A103" s="3319"/>
      <c r="B103" s="2370" t="s">
        <v>1434</v>
      </c>
      <c r="C103" s="2373" t="e">
        <f ca="1">C20</f>
        <v>#REF!</v>
      </c>
      <c r="D103" s="2374" t="e">
        <f ca="1">D20</f>
        <v>#REF!</v>
      </c>
      <c r="E103" s="3354" t="s">
        <v>1435</v>
      </c>
      <c r="F103" s="3355"/>
      <c r="G103" s="1688" t="s">
        <v>1436</v>
      </c>
      <c r="H103" s="2381">
        <f>IF(D36="正常操作",H104+H105+H106,H105+H106)</f>
        <v>0</v>
      </c>
      <c r="I103" s="121"/>
    </row>
    <row r="104" spans="1:35" ht="18.75" customHeight="1">
      <c r="A104" s="3319"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20"/>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16" t="str">
        <f>IF(项目基本情况!E8="已注销","——","3.房地产抵押价值")</f>
        <v>3.房地产抵押价值</v>
      </c>
      <c r="F107" s="3317"/>
      <c r="G107" s="1687" t="s">
        <v>1432</v>
      </c>
      <c r="H107" s="2381" t="e">
        <f ca="1">IF(E107="——","——",H101-H103)</f>
        <v>#REF!</v>
      </c>
      <c r="I107" s="121"/>
    </row>
    <row r="108" spans="1:35" ht="18.75" customHeight="1">
      <c r="A108" s="121"/>
      <c r="B108" s="121"/>
      <c r="C108" s="121"/>
      <c r="D108" s="121"/>
      <c r="E108" s="3316"/>
      <c r="F108" s="3317"/>
      <c r="G108" s="1687" t="s">
        <v>1434</v>
      </c>
      <c r="H108" s="2341">
        <f ca="1">IF(H107=H101,H102,ROUND(H107*10000/'数据-汇总表'!E3,0))</f>
        <v>0</v>
      </c>
      <c r="I108" s="121"/>
    </row>
    <row r="109" spans="1:35" ht="18.75" customHeight="1">
      <c r="A109" s="121"/>
      <c r="B109" s="121"/>
      <c r="C109" s="121"/>
      <c r="D109" s="121"/>
      <c r="E109" s="3316" t="str">
        <f>IF(项目基本情况!E8="已注销及未注销","4.抵押担保权已注销时的房地产抵押价值",IF(项目基本情况!E8="已注销","3.抵押担保权已注销时的房地产抵押价值","——"))</f>
        <v>——</v>
      </c>
      <c r="F109" s="3317"/>
      <c r="G109" s="1687" t="s">
        <v>1432</v>
      </c>
      <c r="H109" s="2384" t="str">
        <f>IF(E109="——","——",H101-H105-H106)</f>
        <v>——</v>
      </c>
      <c r="I109" s="121"/>
    </row>
    <row r="110" spans="1:35" ht="18.75" customHeight="1">
      <c r="A110" s="121"/>
      <c r="B110" s="121"/>
      <c r="C110" s="121"/>
      <c r="D110" s="121"/>
      <c r="E110" s="3316"/>
      <c r="F110" s="3317"/>
      <c r="G110" s="1687" t="s">
        <v>1434</v>
      </c>
      <c r="H110" s="2341" t="str">
        <f>IF(H109="——","——",ROUND(H109*10000/'数据-汇总表'!E3,0))</f>
        <v>——</v>
      </c>
      <c r="I110" s="121"/>
    </row>
    <row r="111" spans="1:35" ht="18.75" customHeight="1">
      <c r="A111" s="121"/>
      <c r="B111" s="121"/>
      <c r="C111" s="121"/>
      <c r="D111" s="121"/>
      <c r="E111" s="3348" t="str">
        <f>IF(项目基本情况!E9="抵押净值",IF(OR(项目基本情况!E8="已注销",项目基本情况!E8="房地产抵押价值"),"4.抵押净值","5.抵押净值"),"——")</f>
        <v>——</v>
      </c>
      <c r="F111" s="3318"/>
      <c r="G111" s="1687" t="s">
        <v>1432</v>
      </c>
      <c r="H111" s="2381" t="str">
        <f>IF(E111="——","——",N59)</f>
        <v>——</v>
      </c>
      <c r="I111" s="121"/>
    </row>
    <row r="112" spans="1:35" ht="18.75" customHeight="1" thickBot="1">
      <c r="A112" s="121"/>
      <c r="B112" s="121"/>
      <c r="C112" s="121"/>
      <c r="D112" s="121"/>
      <c r="E112" s="3349"/>
      <c r="F112" s="3350"/>
      <c r="G112" s="1690" t="s">
        <v>1434</v>
      </c>
      <c r="H112" s="2385" t="str">
        <f>IF(E111="——","——",N61)</f>
        <v>——</v>
      </c>
      <c r="I112" s="121"/>
    </row>
    <row r="113" spans="1:27" ht="18.75" customHeight="1">
      <c r="A113" s="121"/>
      <c r="B113" s="121"/>
      <c r="C113" s="121"/>
      <c r="D113" s="121"/>
      <c r="E113" s="3321" t="s">
        <v>1440</v>
      </c>
      <c r="F113" s="3321"/>
      <c r="G113" s="3321"/>
      <c r="H113" s="3321"/>
      <c r="I113" s="121"/>
    </row>
    <row r="114" spans="1:27" ht="3.75" customHeight="1">
      <c r="A114" s="646"/>
      <c r="B114" s="646"/>
      <c r="C114" s="646"/>
      <c r="D114" s="646"/>
      <c r="E114" s="1671"/>
      <c r="F114" s="1671"/>
      <c r="G114" s="1671"/>
      <c r="H114" s="1671"/>
      <c r="I114" s="646"/>
    </row>
    <row r="115" spans="1:27" ht="18.75" customHeight="1">
      <c r="A115" s="3331" t="s">
        <v>1442</v>
      </c>
      <c r="B115" s="3332"/>
      <c r="C115" s="3332"/>
      <c r="D115" s="3332"/>
      <c r="E115" s="3332"/>
      <c r="F115" s="3332"/>
      <c r="G115" s="3332"/>
      <c r="H115" s="3332"/>
      <c r="I115" s="3333"/>
    </row>
    <row r="116" spans="1:27" ht="27" customHeight="1">
      <c r="A116" s="3287" t="s">
        <v>1443</v>
      </c>
      <c r="B116" s="3322" t="s">
        <v>1444</v>
      </c>
      <c r="C116" s="3322" t="s">
        <v>1445</v>
      </c>
      <c r="D116" s="3335" t="s">
        <v>1446</v>
      </c>
      <c r="E116" s="3336"/>
      <c r="F116" s="3330" t="s">
        <v>1447</v>
      </c>
      <c r="G116" s="3330"/>
      <c r="H116" s="3287" t="s">
        <v>1448</v>
      </c>
      <c r="I116" s="3287"/>
    </row>
    <row r="117" spans="1:27" ht="18.75" customHeight="1">
      <c r="A117" s="3287"/>
      <c r="B117" s="3323"/>
      <c r="C117" s="3323"/>
      <c r="D117" s="2150" t="s">
        <v>1449</v>
      </c>
      <c r="E117" s="2150" t="s">
        <v>1450</v>
      </c>
      <c r="F117" s="2150" t="s">
        <v>1449</v>
      </c>
      <c r="G117" s="2150" t="s">
        <v>1451</v>
      </c>
      <c r="H117" s="2150" t="s">
        <v>1449</v>
      </c>
      <c r="I117" s="2150" t="s">
        <v>1451</v>
      </c>
    </row>
    <row r="118" spans="1:27" ht="24.75" customHeight="1">
      <c r="A118" s="2386" t="str">
        <f>项目基本情况!S2</f>
        <v>北京市海淀区西北旺东路10号院21号楼102房地产</v>
      </c>
      <c r="B118" s="2150">
        <f>M18</f>
        <v>960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87" t="s">
        <v>1452</v>
      </c>
      <c r="B119" s="3287"/>
      <c r="C119" s="3287"/>
      <c r="D119" s="3327" t="e">
        <f ca="1">NUMBERSTRING(INT(D118*10000),2)&amp;"元整"</f>
        <v>#REF!</v>
      </c>
      <c r="E119" s="3329"/>
      <c r="F119" s="3327" t="e">
        <f ca="1">NUMBERSTRING(INT(F118*10000),2)&amp;"元整"</f>
        <v>#REF!</v>
      </c>
      <c r="G119" s="3329"/>
      <c r="H119" s="3327" t="e">
        <f ca="1">NUMBERSTRING(INT(H118*10000),2)&amp;"元整"</f>
        <v>#REF!</v>
      </c>
      <c r="I119" s="3329"/>
    </row>
    <row r="120" spans="1:27" ht="18.75" customHeight="1">
      <c r="A120" s="3351" t="str">
        <f>IF(项目基本情况!B9="房地产市场价值","",MID(E103,3,LEN(E103)-2))</f>
        <v>估价师知悉的法定优先受偿款</v>
      </c>
      <c r="B120" s="3352"/>
      <c r="C120" s="3353"/>
      <c r="D120" s="3351">
        <f>H103</f>
        <v>0</v>
      </c>
      <c r="E120" s="3352"/>
      <c r="F120" s="3352"/>
      <c r="G120" s="3352"/>
      <c r="H120" s="3352"/>
      <c r="I120" s="335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7" t="s">
        <v>1452</v>
      </c>
      <c r="B121" s="3328"/>
      <c r="C121" s="3329"/>
      <c r="D121" s="3327" t="str">
        <f>IF(D120=0,"零元整",NUMBERSTRING(INT(D120*10000),2)&amp;"元整")</f>
        <v>零元整</v>
      </c>
      <c r="E121" s="3328"/>
      <c r="F121" s="3328"/>
      <c r="G121" s="3328"/>
      <c r="H121" s="3328"/>
      <c r="I121" s="3329"/>
      <c r="AA121" s="684"/>
    </row>
    <row r="122" spans="1:27" ht="18.75" customHeight="1">
      <c r="A122" s="3318" t="str">
        <f>IF(项目基本情况!B9="房地产市场价值","",MID(E107,3,LEN(E107)-2))</f>
        <v>房地产抵押价值</v>
      </c>
      <c r="B122" s="3318"/>
      <c r="C122" s="3318"/>
      <c r="D122" s="3351" t="e">
        <f ca="1">H107</f>
        <v>#REF!</v>
      </c>
      <c r="E122" s="3352"/>
      <c r="F122" s="3352"/>
      <c r="G122" s="3352"/>
      <c r="H122" s="3352"/>
      <c r="I122" s="3353"/>
      <c r="AA122" s="684"/>
    </row>
    <row r="123" spans="1:27" ht="18.75" customHeight="1">
      <c r="A123" s="3287" t="s">
        <v>1452</v>
      </c>
      <c r="B123" s="3287"/>
      <c r="C123" s="3287"/>
      <c r="D123" s="3327" t="e">
        <f ca="1">NUMBERSTRING(INT(D122*10000),2)&amp;"元整"</f>
        <v>#REF!</v>
      </c>
      <c r="E123" s="3328"/>
      <c r="F123" s="3328"/>
      <c r="G123" s="3328"/>
      <c r="H123" s="3328"/>
      <c r="I123" s="3329"/>
      <c r="AA123" s="684"/>
    </row>
    <row r="124" spans="1:27" ht="18.75" customHeight="1">
      <c r="A124" s="3318" t="str">
        <f>IF(项目基本情况!B9="房地产市场价值","",MID(E109,3,LEN(E109)-2))</f>
        <v/>
      </c>
      <c r="B124" s="3318"/>
      <c r="C124" s="3318"/>
      <c r="D124" s="3351" t="str">
        <f>H109</f>
        <v>——</v>
      </c>
      <c r="E124" s="3352"/>
      <c r="F124" s="3352"/>
      <c r="G124" s="3352"/>
      <c r="H124" s="3352"/>
      <c r="I124" s="3353"/>
      <c r="AA124" s="684"/>
    </row>
    <row r="125" spans="1:27" ht="18.75" customHeight="1">
      <c r="A125" s="3287" t="s">
        <v>1452</v>
      </c>
      <c r="B125" s="3287"/>
      <c r="C125" s="3287"/>
      <c r="D125" s="3327" t="e">
        <f>NUMBERSTRING(INT(D124*10000),2)&amp;"元整"</f>
        <v>#VALUE!</v>
      </c>
      <c r="E125" s="3328"/>
      <c r="F125" s="3328"/>
      <c r="G125" s="3328"/>
      <c r="H125" s="3328"/>
      <c r="I125" s="3329"/>
      <c r="AA125" s="684"/>
    </row>
    <row r="126" spans="1:27" ht="18.75" customHeight="1">
      <c r="A126" s="3318" t="str">
        <f>IF(项目基本情况!B9="房地产市场价值","",MID(E111,3,LEN(E111)-2))</f>
        <v/>
      </c>
      <c r="B126" s="3318"/>
      <c r="C126" s="3318"/>
      <c r="D126" s="3351" t="str">
        <f>H111</f>
        <v>——</v>
      </c>
      <c r="E126" s="3352"/>
      <c r="F126" s="3352"/>
      <c r="G126" s="3352"/>
      <c r="H126" s="3352"/>
      <c r="I126" s="3353"/>
      <c r="AA126" s="684"/>
    </row>
    <row r="127" spans="1:27" ht="18.75" customHeight="1">
      <c r="A127" s="3287" t="s">
        <v>1452</v>
      </c>
      <c r="B127" s="3287"/>
      <c r="C127" s="3287"/>
      <c r="D127" s="3327" t="e">
        <f>NUMBERSTRING(INT(D126*10000),2)&amp;"元整"</f>
        <v>#VALUE!</v>
      </c>
      <c r="E127" s="3328"/>
      <c r="F127" s="3328"/>
      <c r="G127" s="3328"/>
      <c r="H127" s="3328"/>
      <c r="I127" s="3329"/>
      <c r="AA127" s="684"/>
    </row>
    <row r="128" spans="1:27" ht="21.75" customHeight="1">
      <c r="A128" s="3334" t="s">
        <v>1453</v>
      </c>
      <c r="B128" s="3334"/>
      <c r="C128" s="3334"/>
      <c r="D128" s="3334"/>
      <c r="E128" s="3334"/>
      <c r="F128" s="3334"/>
      <c r="G128" s="3334"/>
      <c r="H128" s="3334"/>
      <c r="I128" s="333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t="e">
        <f ca="1">IF(D2="——",C52,C52-E2)</f>
        <v>#DIV/0!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19</v>
      </c>
      <c r="D10" s="795">
        <f ca="1">IF(B1="",'数据-汇总表'!E6,IF(INDIRECT("'数据-取费表'!c"&amp;$G$1)="住宅",INDIRECT("'数据-取费表'!s"&amp;$G$1),INDIRECT("'数据-取费表'!k"&amp;$G$1)+INDIRECT("'数据-取费表'!s"&amp;$G$1)))</f>
        <v>960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19</v>
      </c>
      <c r="D19" s="204">
        <f ca="1">D9+D10</f>
        <v>960</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4.7600000000000003E-2</v>
      </c>
      <c r="D30" s="228" t="s">
        <v>1514</v>
      </c>
      <c r="E30" s="233"/>
      <c r="F30" s="229">
        <f>'数据-取费表'!B41</f>
        <v>0.05</v>
      </c>
      <c r="G30" s="226" t="s">
        <v>1520</v>
      </c>
    </row>
    <row r="31" spans="1:7" ht="16.5" customHeight="1">
      <c r="A31" s="201">
        <v>1</v>
      </c>
      <c r="B31" s="202" t="s">
        <v>1521</v>
      </c>
      <c r="C31" s="203" t="e">
        <f ca="1">ROUND((C5+C19+C20+C22+C27)/(1-C21-D22-D27-C30),0)</f>
        <v>#DIV/0!</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19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19</v>
      </c>
      <c r="D37" s="209">
        <f ca="1">D19</f>
        <v>960</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7" t="s">
        <v>1544</v>
      </c>
    </row>
    <row r="43" spans="1:7" ht="13.5" customHeight="1">
      <c r="A43" s="734" t="s">
        <v>347</v>
      </c>
      <c r="B43" s="207" t="s">
        <v>1545</v>
      </c>
      <c r="C43" s="230">
        <f ca="1">ROUND(IF('数据-取费表'!B22&lt;=1,C39*F22*'数据-取费表'!B21/2,C39*(POWER((1+F22),'数据-取费表'!B21/2)-1)),0)</f>
        <v>0</v>
      </c>
      <c r="D43" s="230"/>
      <c r="E43" s="230"/>
      <c r="F43" s="231"/>
      <c r="G43" s="3368"/>
    </row>
    <row r="44" spans="1:7" ht="13.5" customHeight="1">
      <c r="A44" s="734" t="s">
        <v>348</v>
      </c>
      <c r="B44" s="207" t="s">
        <v>1546</v>
      </c>
      <c r="C44" s="230">
        <f ca="1">ROUND(IF('数据-取费表'!B22&lt;=1,C40*F22*'数据-取费表'!B21/2,C40*(POWER((1+F22),'数据-取费表'!B21/2)-1)),4)</f>
        <v>5.9999999999999995E-4</v>
      </c>
      <c r="D44" s="230"/>
      <c r="E44" s="230"/>
      <c r="F44" s="231"/>
      <c r="G44" s="336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4.7600000000000003E-2</v>
      </c>
      <c r="D48" s="228" t="s">
        <v>1539</v>
      </c>
      <c r="E48" s="224"/>
      <c r="F48" s="229">
        <f>F30</f>
        <v>0.05</v>
      </c>
      <c r="G48" s="226" t="s">
        <v>1552</v>
      </c>
    </row>
    <row r="49" spans="1:7" ht="16.5" customHeight="1">
      <c r="A49" s="247" t="s">
        <v>1518</v>
      </c>
      <c r="B49" s="202" t="s">
        <v>1553</v>
      </c>
      <c r="C49" s="224" t="e">
        <f ca="1">ROUND((C33+C39+C41+C45)/(1-C40-D41-D45-C48),0)</f>
        <v>#DIV/0!</v>
      </c>
      <c r="D49" s="224"/>
      <c r="E49" s="224"/>
      <c r="F49" s="256"/>
      <c r="G49" s="226" t="s">
        <v>1554</v>
      </c>
    </row>
    <row r="50" spans="1:7" s="250" customFormat="1" ht="26">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5">
      <c r="B55" s="262" t="s">
        <v>1562</v>
      </c>
      <c r="C55" s="263"/>
    </row>
    <row r="56" spans="1:7" ht="13">
      <c r="B56" s="265" t="s">
        <v>802</v>
      </c>
      <c r="C56" s="267" t="e">
        <f ca="1">1-C57</f>
        <v>#DIV/0!</v>
      </c>
    </row>
    <row r="57" spans="1:7" ht="13">
      <c r="B57" s="265" t="s">
        <v>803</v>
      </c>
      <c r="C57" s="266"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5" t="str">
        <f>项目基本情况!B1</f>
        <v>北京市海淀区西北旺东路10号院21号楼102预评估</v>
      </c>
      <c r="C37" s="3185"/>
      <c r="D37" s="3185"/>
      <c r="E37" s="3185"/>
      <c r="F37" s="3185"/>
      <c r="G37" s="3185"/>
      <c r="H37" s="3185"/>
      <c r="I37" s="318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t="e">
        <f ca="1">ROUND(IF(D2="——",C52/10000,C52/10000-E2),4)</f>
        <v>#DIV/0!</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192000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ht="13">
      <c r="A8" s="732" t="s">
        <v>1476</v>
      </c>
      <c r="B8" s="207" t="s">
        <v>1477</v>
      </c>
      <c r="C8" s="212">
        <f ca="1">IF(G8="已包含在土地购买价格中",0,C9+C10)</f>
        <v>192000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192000</v>
      </c>
      <c r="D10" s="795">
        <f ca="1">IF(B1="",'数据-汇总表'!E6,IF(INDIRECT("'数据-取费表'!c"&amp;$G$1)="住宅",INDIRECT("'数据-取费表'!s"&amp;$G$1),INDIRECT("'数据-取费表'!k"&amp;$G$1)+INDIRECT("'数据-取费表'!s"&amp;$G$1)))</f>
        <v>960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192000</v>
      </c>
      <c r="D19" s="204">
        <f ca="1">D9+D10</f>
        <v>960</v>
      </c>
      <c r="E19" s="203">
        <f>'数据-取费表'!B31</f>
        <v>200</v>
      </c>
      <c r="F19" s="223"/>
      <c r="G19" s="1714"/>
    </row>
    <row r="20" spans="1:7" s="206" customFormat="1" ht="13.5" customHeight="1">
      <c r="A20" s="247" t="s">
        <v>1574</v>
      </c>
      <c r="B20" s="202" t="s">
        <v>1575</v>
      </c>
      <c r="C20" s="224">
        <f ca="1">ROUND((C5+C19)*F20,0)</f>
        <v>7680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24654</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12207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12207</v>
      </c>
      <c r="D24" s="230"/>
      <c r="E24" s="230"/>
      <c r="F24" s="231"/>
      <c r="G24" s="232" t="s">
        <v>1586</v>
      </c>
    </row>
    <row r="25" spans="1:7" s="206" customFormat="1" ht="26">
      <c r="A25" s="734" t="s">
        <v>1476</v>
      </c>
      <c r="B25" s="207" t="s">
        <v>1587</v>
      </c>
      <c r="C25" s="230">
        <f ca="1">ROUND(IF('数据-取费表'!B22&lt;=1,C20*F22*'数据-取费表'!B22/2,C20*(POWER((1+F22),'数据-取费表'!B22/2)-1)),0)</f>
        <v>240</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4.7600000000000003E-2</v>
      </c>
      <c r="D30" s="228" t="s">
        <v>1514</v>
      </c>
      <c r="E30" s="233"/>
      <c r="F30" s="229">
        <f>'数据-取费表'!B41</f>
        <v>0.05</v>
      </c>
      <c r="G30" s="226" t="s">
        <v>1520</v>
      </c>
    </row>
    <row r="31" spans="1:7" ht="16.5" customHeight="1">
      <c r="A31" s="201">
        <v>1</v>
      </c>
      <c r="B31" s="202" t="s">
        <v>1521</v>
      </c>
      <c r="C31" s="203" t="e">
        <f ca="1">ROUND((C5+C19+C20+C22+C27)/(1-C21-D22-D27-C30),0)</f>
        <v>#DIV/0!</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192000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192000</v>
      </c>
      <c r="D37" s="209">
        <f ca="1">D19</f>
        <v>960</v>
      </c>
      <c r="E37" s="241">
        <f>'数据-取费表'!B35</f>
        <v>200</v>
      </c>
      <c r="F37" s="251"/>
      <c r="G37" s="253"/>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3840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6130</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6010</v>
      </c>
      <c r="D42" s="230"/>
      <c r="E42" s="230"/>
      <c r="F42" s="231"/>
      <c r="G42" s="3367" t="s">
        <v>1591</v>
      </c>
    </row>
    <row r="43" spans="1:7" ht="13.5" customHeight="1">
      <c r="A43" s="734" t="s">
        <v>347</v>
      </c>
      <c r="B43" s="207" t="s">
        <v>1545</v>
      </c>
      <c r="C43" s="230">
        <f ca="1">ROUND(IF('数据-取费表'!B22&lt;=1,C39*F22*'数据-取费表'!B20/2,C39*(POWER((1+F22),'数据-取费表'!B20/2)-1)),0)</f>
        <v>120</v>
      </c>
      <c r="D43" s="230"/>
      <c r="E43" s="230"/>
      <c r="F43" s="231"/>
      <c r="G43" s="3368"/>
    </row>
    <row r="44" spans="1:7" ht="13.5" customHeight="1">
      <c r="A44" s="734" t="s">
        <v>348</v>
      </c>
      <c r="B44" s="207" t="s">
        <v>1546</v>
      </c>
      <c r="C44" s="230">
        <f ca="1">ROUND(IF('数据-取费表'!B22&lt;=1,C40*F22*'数据-取费表'!B20/2,C40*(POWER((1+F22),'数据-取费表'!B20/2)-1)),4)</f>
        <v>5.9999999999999995E-4</v>
      </c>
      <c r="D44" s="230"/>
      <c r="E44" s="230"/>
      <c r="F44" s="231"/>
      <c r="G44" s="336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4.7600000000000003E-2</v>
      </c>
      <c r="D48" s="228" t="s">
        <v>1539</v>
      </c>
      <c r="E48" s="224"/>
      <c r="F48" s="229">
        <f>F30</f>
        <v>0.05</v>
      </c>
      <c r="G48" s="226" t="s">
        <v>1552</v>
      </c>
    </row>
    <row r="49" spans="1:7" ht="16.5" customHeight="1">
      <c r="A49" s="247" t="s">
        <v>1518</v>
      </c>
      <c r="B49" s="202" t="s">
        <v>1592</v>
      </c>
      <c r="C49" s="224" t="e">
        <f ca="1">ROUND((C33+C39+C41+C45)/(1-C40-D41-D45-C48),0)</f>
        <v>#DIV/0!</v>
      </c>
      <c r="D49" s="224"/>
      <c r="E49" s="224"/>
      <c r="F49" s="256"/>
      <c r="G49" s="226" t="s">
        <v>1554</v>
      </c>
    </row>
    <row r="50" spans="1:7" s="250" customFormat="1" ht="13.5">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5">
      <c r="B55" s="262" t="s">
        <v>1562</v>
      </c>
      <c r="C55" s="263"/>
    </row>
    <row r="56" spans="1:7" ht="13">
      <c r="B56" s="265" t="s">
        <v>802</v>
      </c>
      <c r="C56" s="267" t="e">
        <f ca="1">1-C57</f>
        <v>#DIV/0!</v>
      </c>
    </row>
    <row r="57" spans="1:7" ht="13">
      <c r="B57" s="265" t="s">
        <v>803</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t="e">
        <f ca="1">C32</f>
        <v>#DIV/0!</v>
      </c>
      <c r="C2" s="268" t="s">
        <v>1595</v>
      </c>
      <c r="D2" s="268"/>
      <c r="E2" s="2567"/>
      <c r="F2" s="2567"/>
      <c r="G2" s="2567"/>
      <c r="H2" s="2567"/>
      <c r="I2" s="2567"/>
      <c r="J2" s="2567"/>
      <c r="K2" s="2567"/>
    </row>
    <row r="3" spans="1:33" ht="18" customHeight="1" thickBot="1">
      <c r="A3" s="195" t="s">
        <v>1464</v>
      </c>
      <c r="B3" s="196" t="e">
        <f ca="1">ROUND(B2*10000/IF(C1="",'数据-汇总表'!E3,INDIRECT("'数据-取费表'!K"&amp;$K$1)),0)</f>
        <v>#DIV/0!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960</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960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19</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19</v>
      </c>
      <c r="D20" s="796">
        <f ca="1">IF(C1="",'数据-汇总表'!E6,IF(INDIRECT("'数据-取费表'!c"&amp;$K$1)="住宅",INDIRECT("'数据-取费表'!s"&amp;$K$1),INDIRECT("'数据-取费表'!k"&amp;$K$1)+INDIRECT("'数据-取费表'!s"&amp;$K$1)))</f>
        <v>960</v>
      </c>
      <c r="E20" s="21">
        <f>'数据-取费表'!B28</f>
        <v>200</v>
      </c>
      <c r="F20" s="756"/>
      <c r="G20" s="12"/>
      <c r="H20" s="761"/>
      <c r="I20" s="761"/>
      <c r="J20" s="761"/>
      <c r="K20" s="762"/>
    </row>
    <row r="21" spans="1:33" s="755" customFormat="1" ht="13.5" customHeight="1">
      <c r="A21" s="744" t="s">
        <v>357</v>
      </c>
      <c r="B21" s="765" t="s">
        <v>1628</v>
      </c>
      <c r="C21" s="766">
        <f ca="1">C16+C17+C18</f>
        <v>19</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0.05</v>
      </c>
      <c r="G31" s="788" t="s">
        <v>1648</v>
      </c>
      <c r="H31" s="789"/>
      <c r="I31" s="789"/>
      <c r="J31" s="789"/>
      <c r="K31" s="790"/>
    </row>
    <row r="32" spans="1:33" s="751" customFormat="1" ht="13.5" customHeight="1" thickBot="1">
      <c r="A32" s="449" t="s">
        <v>1649</v>
      </c>
      <c r="B32" s="779"/>
      <c r="C32" s="780" t="e">
        <f ca="1">ROUND((C4-C21-C22-C23-C25-C28-C31)/(1+C24+D25+D28),0)</f>
        <v>#DIV/0!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2" t="s">
        <v>694</v>
      </c>
      <c r="C6" s="1011">
        <f ca="1">ROUND(F6*F8*F7*(1-F9)/10000,0)</f>
        <v>0</v>
      </c>
      <c r="D6" s="147" t="s">
        <v>2109</v>
      </c>
      <c r="E6" s="294" t="s">
        <v>696</v>
      </c>
      <c r="F6" s="295">
        <f ca="1">INDIRECT("'数据-取费表'!u"&amp;$G$1)</f>
        <v>0</v>
      </c>
      <c r="G6" s="1292"/>
      <c r="H6" s="1006" t="s">
        <v>398</v>
      </c>
      <c r="I6" s="3372" t="s">
        <v>694</v>
      </c>
      <c r="J6" s="293">
        <f ca="1">ROUND(M6*M8*M7*(1-M9)/10000,0)</f>
        <v>0</v>
      </c>
      <c r="K6" s="147" t="s">
        <v>2108</v>
      </c>
      <c r="L6" s="294" t="s">
        <v>696</v>
      </c>
      <c r="M6" s="295">
        <f ca="1">INDIRECT("'数据-取费表'!z"&amp;$G$1)</f>
        <v>0</v>
      </c>
    </row>
    <row r="7" spans="1:37" ht="18" customHeight="1">
      <c r="A7" s="1010"/>
      <c r="B7" s="3373"/>
      <c r="C7" s="1012"/>
      <c r="D7" s="299"/>
      <c r="E7" s="1013" t="s">
        <v>697</v>
      </c>
      <c r="F7" s="295">
        <f ca="1">IF(INDIRECT("'数据-取费表'!ah"&amp;$G$1)="",INDIRECT("'数据-取费表'!k"&amp;$G$1),INDIRECT("'数据-取费表'!ah"&amp;$G$1))</f>
        <v>0</v>
      </c>
      <c r="G7" s="1292"/>
      <c r="H7" s="296"/>
      <c r="I7" s="3373"/>
      <c r="J7" s="298"/>
      <c r="K7" s="299"/>
      <c r="L7" s="294" t="s">
        <v>697</v>
      </c>
      <c r="M7" s="295">
        <f ca="1">F7</f>
        <v>0</v>
      </c>
    </row>
    <row r="8" spans="1:37" ht="18" customHeight="1">
      <c r="A8" s="296"/>
      <c r="B8" s="3373"/>
      <c r="C8" s="298"/>
      <c r="D8" s="299"/>
      <c r="E8" s="294" t="s">
        <v>698</v>
      </c>
      <c r="F8" s="295">
        <f ca="1">INDIRECT("'数据-取费表'!ai"&amp;$G$1)</f>
        <v>0</v>
      </c>
      <c r="G8" s="1292"/>
      <c r="H8" s="296"/>
      <c r="I8" s="3373"/>
      <c r="J8" s="298"/>
      <c r="K8" s="299"/>
      <c r="L8" s="294" t="s">
        <v>698</v>
      </c>
      <c r="M8" s="295">
        <f ca="1">INDIRECT("'数据-取费表'!ai"&amp;$G$1)</f>
        <v>0</v>
      </c>
    </row>
    <row r="9" spans="1:37" ht="18" customHeight="1">
      <c r="A9" s="296"/>
      <c r="B9" s="3374"/>
      <c r="C9" s="298"/>
      <c r="D9" s="299"/>
      <c r="E9" s="294" t="s">
        <v>699</v>
      </c>
      <c r="F9" s="304">
        <f ca="1">INDIRECT("'数据-取费表'!w"&amp;$G$1)</f>
        <v>0</v>
      </c>
      <c r="G9" s="1292"/>
      <c r="H9" s="296"/>
      <c r="I9" s="33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0.05</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4.7600000000000003E-2</v>
      </c>
      <c r="D28" s="315" t="s">
        <v>765</v>
      </c>
      <c r="E28" s="294" t="s">
        <v>712</v>
      </c>
      <c r="F28" s="314">
        <f>'数据-取费表'!B41</f>
        <v>0.05</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0.05</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70" t="s">
        <v>837</v>
      </c>
      <c r="L53" s="3371"/>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0.05</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72" t="s">
        <v>694</v>
      </c>
      <c r="C6" s="1011">
        <f ca="1">ROUND(F6*F8*F7*(1-F9),0)</f>
        <v>0</v>
      </c>
      <c r="D6" s="147" t="s">
        <v>2106</v>
      </c>
      <c r="E6" s="294" t="s">
        <v>696</v>
      </c>
      <c r="F6" s="295">
        <f ca="1">INDIRECT("'数据-取费表'!u"&amp;$G$1)</f>
        <v>0</v>
      </c>
      <c r="G6" s="1292"/>
      <c r="H6" s="1006" t="s">
        <v>398</v>
      </c>
      <c r="I6" s="3372" t="s">
        <v>694</v>
      </c>
      <c r="J6" s="293">
        <f ca="1">ROUND(M6*M8*M7*(1-M9),0)</f>
        <v>0</v>
      </c>
      <c r="K6" s="1284" t="s">
        <v>2107</v>
      </c>
      <c r="L6" s="294" t="s">
        <v>696</v>
      </c>
      <c r="M6" s="295">
        <f ca="1">INDIRECT("'数据-取费表'!z"&amp;$G$1)</f>
        <v>0</v>
      </c>
    </row>
    <row r="7" spans="1:37" ht="18" customHeight="1">
      <c r="A7" s="1010"/>
      <c r="B7" s="3373"/>
      <c r="C7" s="1012"/>
      <c r="D7" s="299"/>
      <c r="E7" s="1013" t="s">
        <v>697</v>
      </c>
      <c r="F7" s="295">
        <f ca="1">IF(INDIRECT("'数据-取费表'!ah"&amp;$G$1)="",INDIRECT("'数据-取费表'!k"&amp;$G$1),INDIRECT("'数据-取费表'!ah"&amp;$G$1))</f>
        <v>0</v>
      </c>
      <c r="G7" s="1292"/>
      <c r="H7" s="296"/>
      <c r="I7" s="3373"/>
      <c r="J7" s="298"/>
      <c r="K7" s="299"/>
      <c r="L7" s="294" t="s">
        <v>697</v>
      </c>
      <c r="M7" s="295">
        <f ca="1">F7</f>
        <v>0</v>
      </c>
    </row>
    <row r="8" spans="1:37" ht="18" customHeight="1">
      <c r="A8" s="296"/>
      <c r="B8" s="3373"/>
      <c r="C8" s="298"/>
      <c r="D8" s="299"/>
      <c r="E8" s="294" t="s">
        <v>698</v>
      </c>
      <c r="F8" s="295">
        <f ca="1">INDIRECT("'数据-取费表'!ai"&amp;$G$1)</f>
        <v>0</v>
      </c>
      <c r="G8" s="1292"/>
      <c r="H8" s="296"/>
      <c r="I8" s="3373"/>
      <c r="J8" s="298"/>
      <c r="K8" s="299"/>
      <c r="L8" s="294" t="s">
        <v>698</v>
      </c>
      <c r="M8" s="295">
        <f ca="1">INDIRECT("'数据-取费表'!ai"&amp;$G$1)</f>
        <v>0</v>
      </c>
    </row>
    <row r="9" spans="1:37" ht="18" customHeight="1">
      <c r="A9" s="296"/>
      <c r="B9" s="3374"/>
      <c r="C9" s="298"/>
      <c r="D9" s="299"/>
      <c r="E9" s="294" t="s">
        <v>699</v>
      </c>
      <c r="F9" s="304">
        <f ca="1">INDIRECT("'数据-取费表'!w"&amp;$G$1)</f>
        <v>0</v>
      </c>
      <c r="G9" s="1292"/>
      <c r="H9" s="296"/>
      <c r="I9" s="33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0.05</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4.7600000000000003E-2</v>
      </c>
      <c r="D28" s="315" t="s">
        <v>765</v>
      </c>
      <c r="E28" s="294" t="s">
        <v>712</v>
      </c>
      <c r="F28" s="314">
        <f>'数据-取费表'!B41</f>
        <v>0.05</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0.05</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t="e">
        <f ca="1">ROUND((C68-C40)/10000,4)</f>
        <v>#DIV/0!</v>
      </c>
      <c r="D45" s="3130" t="s">
        <v>3351</v>
      </c>
      <c r="E45" s="1307"/>
      <c r="F45" s="1307"/>
      <c r="O45" s="1310" t="s">
        <v>808</v>
      </c>
      <c r="P45" s="1366"/>
      <c r="Q45" s="1366"/>
      <c r="R45" s="1366"/>
    </row>
    <row r="46" spans="1:18" s="1292" customFormat="1" ht="14"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70" t="s">
        <v>837</v>
      </c>
      <c r="L53" s="337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0.05</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3" customWidth="1"/>
    <col min="2" max="2" width="8.90625" style="2593"/>
    <col min="3" max="5" width="12.90625" style="2593" customWidth="1"/>
    <col min="6" max="6" width="47.453125" style="2593" customWidth="1"/>
    <col min="7" max="7" width="13" style="2587" customWidth="1"/>
    <col min="8" max="8" width="8.90625" style="2587"/>
    <col min="9" max="9" width="8.90625" style="2588"/>
    <col min="10" max="10" width="5.7265625" style="2747" customWidth="1"/>
    <col min="11" max="11" width="11.7265625" style="2747" customWidth="1"/>
    <col min="12" max="13" width="10.7265625" style="2747" customWidth="1"/>
    <col min="14" max="14" width="10" style="2747" customWidth="1"/>
    <col min="15" max="16" width="10.453125" style="2747" bestFit="1" customWidth="1"/>
    <col min="17" max="17" width="10" style="2747" customWidth="1"/>
    <col min="18" max="18" width="10.08984375" style="2747" customWidth="1"/>
    <col min="19" max="19" width="10" style="2747" customWidth="1"/>
    <col min="20" max="20" width="26.08984375" style="2747" customWidth="1"/>
    <col min="21" max="21" width="8.90625" style="2747"/>
    <col min="22" max="22" width="8.90625" style="2588"/>
    <col min="23" max="256" width="8.90625" style="2593"/>
    <col min="257" max="257" width="9.453125" style="2593" customWidth="1"/>
    <col min="258" max="258" width="8.90625" style="2593"/>
    <col min="259" max="261" width="12.90625" style="2593" customWidth="1"/>
    <col min="262" max="262" width="47.453125" style="2593" customWidth="1"/>
    <col min="263" max="263" width="13" style="2593" customWidth="1"/>
    <col min="264" max="265" width="8.90625" style="2593"/>
    <col min="266" max="266" width="5.7265625" style="2593" customWidth="1"/>
    <col min="267" max="267" width="11.7265625" style="2593" customWidth="1"/>
    <col min="268" max="269" width="10.7265625" style="2593" customWidth="1"/>
    <col min="270" max="270" width="10" style="2593" customWidth="1"/>
    <col min="271" max="272" width="10.453125" style="2593" bestFit="1" customWidth="1"/>
    <col min="273" max="273" width="10" style="2593" customWidth="1"/>
    <col min="274" max="274" width="10.08984375" style="2593" customWidth="1"/>
    <col min="275" max="275" width="10" style="2593" customWidth="1"/>
    <col min="276" max="276" width="26.08984375" style="2593" customWidth="1"/>
    <col min="277" max="512" width="8.90625" style="2593"/>
    <col min="513" max="513" width="9.453125" style="2593" customWidth="1"/>
    <col min="514" max="514" width="8.90625" style="2593"/>
    <col min="515" max="517" width="12.90625" style="2593" customWidth="1"/>
    <col min="518" max="518" width="47.453125" style="2593" customWidth="1"/>
    <col min="519" max="519" width="13" style="2593" customWidth="1"/>
    <col min="520" max="521" width="8.90625" style="2593"/>
    <col min="522" max="522" width="5.7265625" style="2593" customWidth="1"/>
    <col min="523" max="523" width="11.7265625" style="2593" customWidth="1"/>
    <col min="524" max="525" width="10.7265625" style="2593" customWidth="1"/>
    <col min="526" max="526" width="10" style="2593" customWidth="1"/>
    <col min="527" max="528" width="10.453125" style="2593" bestFit="1" customWidth="1"/>
    <col min="529" max="529" width="10" style="2593" customWidth="1"/>
    <col min="530" max="530" width="10.08984375" style="2593" customWidth="1"/>
    <col min="531" max="531" width="10" style="2593" customWidth="1"/>
    <col min="532" max="532" width="26.08984375" style="2593" customWidth="1"/>
    <col min="533" max="768" width="8.90625" style="2593"/>
    <col min="769" max="769" width="9.453125" style="2593" customWidth="1"/>
    <col min="770" max="770" width="8.90625" style="2593"/>
    <col min="771" max="773" width="12.90625" style="2593" customWidth="1"/>
    <col min="774" max="774" width="47.453125" style="2593" customWidth="1"/>
    <col min="775" max="775" width="13" style="2593" customWidth="1"/>
    <col min="776" max="777" width="8.90625" style="2593"/>
    <col min="778" max="778" width="5.7265625" style="2593" customWidth="1"/>
    <col min="779" max="779" width="11.7265625" style="2593" customWidth="1"/>
    <col min="780" max="781" width="10.7265625" style="2593" customWidth="1"/>
    <col min="782" max="782" width="10" style="2593" customWidth="1"/>
    <col min="783" max="784" width="10.453125" style="2593" bestFit="1" customWidth="1"/>
    <col min="785" max="785" width="10" style="2593" customWidth="1"/>
    <col min="786" max="786" width="10.08984375" style="2593" customWidth="1"/>
    <col min="787" max="787" width="10" style="2593" customWidth="1"/>
    <col min="788" max="788" width="26.08984375" style="2593" customWidth="1"/>
    <col min="789" max="1024" width="8.90625" style="2593"/>
    <col min="1025" max="1025" width="9.453125" style="2593" customWidth="1"/>
    <col min="1026" max="1026" width="8.90625" style="2593"/>
    <col min="1027" max="1029" width="12.90625" style="2593" customWidth="1"/>
    <col min="1030" max="1030" width="47.453125" style="2593" customWidth="1"/>
    <col min="1031" max="1031" width="13" style="2593" customWidth="1"/>
    <col min="1032" max="1033" width="8.90625" style="2593"/>
    <col min="1034" max="1034" width="5.7265625" style="2593" customWidth="1"/>
    <col min="1035" max="1035" width="11.7265625" style="2593" customWidth="1"/>
    <col min="1036" max="1037" width="10.7265625" style="2593" customWidth="1"/>
    <col min="1038" max="1038" width="10" style="2593" customWidth="1"/>
    <col min="1039" max="1040" width="10.453125" style="2593" bestFit="1" customWidth="1"/>
    <col min="1041" max="1041" width="10" style="2593" customWidth="1"/>
    <col min="1042" max="1042" width="10.08984375" style="2593" customWidth="1"/>
    <col min="1043" max="1043" width="10" style="2593" customWidth="1"/>
    <col min="1044" max="1044" width="26.08984375" style="2593" customWidth="1"/>
    <col min="1045" max="1280" width="8.90625" style="2593"/>
    <col min="1281" max="1281" width="9.453125" style="2593" customWidth="1"/>
    <col min="1282" max="1282" width="8.90625" style="2593"/>
    <col min="1283" max="1285" width="12.90625" style="2593" customWidth="1"/>
    <col min="1286" max="1286" width="47.453125" style="2593" customWidth="1"/>
    <col min="1287" max="1287" width="13" style="2593" customWidth="1"/>
    <col min="1288" max="1289" width="8.90625" style="2593"/>
    <col min="1290" max="1290" width="5.7265625" style="2593" customWidth="1"/>
    <col min="1291" max="1291" width="11.7265625" style="2593" customWidth="1"/>
    <col min="1292" max="1293" width="10.7265625" style="2593" customWidth="1"/>
    <col min="1294" max="1294" width="10" style="2593" customWidth="1"/>
    <col min="1295" max="1296" width="10.453125" style="2593" bestFit="1" customWidth="1"/>
    <col min="1297" max="1297" width="10" style="2593" customWidth="1"/>
    <col min="1298" max="1298" width="10.08984375" style="2593" customWidth="1"/>
    <col min="1299" max="1299" width="10" style="2593" customWidth="1"/>
    <col min="1300" max="1300" width="26.08984375" style="2593" customWidth="1"/>
    <col min="1301" max="1536" width="8.90625" style="2593"/>
    <col min="1537" max="1537" width="9.453125" style="2593" customWidth="1"/>
    <col min="1538" max="1538" width="8.90625" style="2593"/>
    <col min="1539" max="1541" width="12.90625" style="2593" customWidth="1"/>
    <col min="1542" max="1542" width="47.453125" style="2593" customWidth="1"/>
    <col min="1543" max="1543" width="13" style="2593" customWidth="1"/>
    <col min="1544" max="1545" width="8.90625" style="2593"/>
    <col min="1546" max="1546" width="5.7265625" style="2593" customWidth="1"/>
    <col min="1547" max="1547" width="11.7265625" style="2593" customWidth="1"/>
    <col min="1548" max="1549" width="10.7265625" style="2593" customWidth="1"/>
    <col min="1550" max="1550" width="10" style="2593" customWidth="1"/>
    <col min="1551" max="1552" width="10.453125" style="2593" bestFit="1" customWidth="1"/>
    <col min="1553" max="1553" width="10" style="2593" customWidth="1"/>
    <col min="1554" max="1554" width="10.08984375" style="2593" customWidth="1"/>
    <col min="1555" max="1555" width="10" style="2593" customWidth="1"/>
    <col min="1556" max="1556" width="26.08984375" style="2593" customWidth="1"/>
    <col min="1557" max="1792" width="8.90625" style="2593"/>
    <col min="1793" max="1793" width="9.453125" style="2593" customWidth="1"/>
    <col min="1794" max="1794" width="8.90625" style="2593"/>
    <col min="1795" max="1797" width="12.90625" style="2593" customWidth="1"/>
    <col min="1798" max="1798" width="47.453125" style="2593" customWidth="1"/>
    <col min="1799" max="1799" width="13" style="2593" customWidth="1"/>
    <col min="1800" max="1801" width="8.90625" style="2593"/>
    <col min="1802" max="1802" width="5.7265625" style="2593" customWidth="1"/>
    <col min="1803" max="1803" width="11.7265625" style="2593" customWidth="1"/>
    <col min="1804" max="1805" width="10.7265625" style="2593" customWidth="1"/>
    <col min="1806" max="1806" width="10" style="2593" customWidth="1"/>
    <col min="1807" max="1808" width="10.453125" style="2593" bestFit="1" customWidth="1"/>
    <col min="1809" max="1809" width="10" style="2593" customWidth="1"/>
    <col min="1810" max="1810" width="10.08984375" style="2593" customWidth="1"/>
    <col min="1811" max="1811" width="10" style="2593" customWidth="1"/>
    <col min="1812" max="1812" width="26.08984375" style="2593" customWidth="1"/>
    <col min="1813" max="2048" width="8.90625" style="2593"/>
    <col min="2049" max="2049" width="9.453125" style="2593" customWidth="1"/>
    <col min="2050" max="2050" width="8.90625" style="2593"/>
    <col min="2051" max="2053" width="12.90625" style="2593" customWidth="1"/>
    <col min="2054" max="2054" width="47.453125" style="2593" customWidth="1"/>
    <col min="2055" max="2055" width="13" style="2593" customWidth="1"/>
    <col min="2056" max="2057" width="8.90625" style="2593"/>
    <col min="2058" max="2058" width="5.7265625" style="2593" customWidth="1"/>
    <col min="2059" max="2059" width="11.7265625" style="2593" customWidth="1"/>
    <col min="2060" max="2061" width="10.7265625" style="2593" customWidth="1"/>
    <col min="2062" max="2062" width="10" style="2593" customWidth="1"/>
    <col min="2063" max="2064" width="10.453125" style="2593" bestFit="1" customWidth="1"/>
    <col min="2065" max="2065" width="10" style="2593" customWidth="1"/>
    <col min="2066" max="2066" width="10.08984375" style="2593" customWidth="1"/>
    <col min="2067" max="2067" width="10" style="2593" customWidth="1"/>
    <col min="2068" max="2068" width="26.08984375" style="2593" customWidth="1"/>
    <col min="2069" max="2304" width="8.90625" style="2593"/>
    <col min="2305" max="2305" width="9.453125" style="2593" customWidth="1"/>
    <col min="2306" max="2306" width="8.90625" style="2593"/>
    <col min="2307" max="2309" width="12.90625" style="2593" customWidth="1"/>
    <col min="2310" max="2310" width="47.453125" style="2593" customWidth="1"/>
    <col min="2311" max="2311" width="13" style="2593" customWidth="1"/>
    <col min="2312" max="2313" width="8.90625" style="2593"/>
    <col min="2314" max="2314" width="5.7265625" style="2593" customWidth="1"/>
    <col min="2315" max="2315" width="11.7265625" style="2593" customWidth="1"/>
    <col min="2316" max="2317" width="10.7265625" style="2593" customWidth="1"/>
    <col min="2318" max="2318" width="10" style="2593" customWidth="1"/>
    <col min="2319" max="2320" width="10.453125" style="2593" bestFit="1" customWidth="1"/>
    <col min="2321" max="2321" width="10" style="2593" customWidth="1"/>
    <col min="2322" max="2322" width="10.08984375" style="2593" customWidth="1"/>
    <col min="2323" max="2323" width="10" style="2593" customWidth="1"/>
    <col min="2324" max="2324" width="26.08984375" style="2593" customWidth="1"/>
    <col min="2325" max="2560" width="8.90625" style="2593"/>
    <col min="2561" max="2561" width="9.453125" style="2593" customWidth="1"/>
    <col min="2562" max="2562" width="8.90625" style="2593"/>
    <col min="2563" max="2565" width="12.90625" style="2593" customWidth="1"/>
    <col min="2566" max="2566" width="47.453125" style="2593" customWidth="1"/>
    <col min="2567" max="2567" width="13" style="2593" customWidth="1"/>
    <col min="2568" max="2569" width="8.90625" style="2593"/>
    <col min="2570" max="2570" width="5.7265625" style="2593" customWidth="1"/>
    <col min="2571" max="2571" width="11.7265625" style="2593" customWidth="1"/>
    <col min="2572" max="2573" width="10.7265625" style="2593" customWidth="1"/>
    <col min="2574" max="2574" width="10" style="2593" customWidth="1"/>
    <col min="2575" max="2576" width="10.453125" style="2593" bestFit="1" customWidth="1"/>
    <col min="2577" max="2577" width="10" style="2593" customWidth="1"/>
    <col min="2578" max="2578" width="10.08984375" style="2593" customWidth="1"/>
    <col min="2579" max="2579" width="10" style="2593" customWidth="1"/>
    <col min="2580" max="2580" width="26.08984375" style="2593" customWidth="1"/>
    <col min="2581" max="2816" width="8.90625" style="2593"/>
    <col min="2817" max="2817" width="9.453125" style="2593" customWidth="1"/>
    <col min="2818" max="2818" width="8.90625" style="2593"/>
    <col min="2819" max="2821" width="12.90625" style="2593" customWidth="1"/>
    <col min="2822" max="2822" width="47.453125" style="2593" customWidth="1"/>
    <col min="2823" max="2823" width="13" style="2593" customWidth="1"/>
    <col min="2824" max="2825" width="8.90625" style="2593"/>
    <col min="2826" max="2826" width="5.7265625" style="2593" customWidth="1"/>
    <col min="2827" max="2827" width="11.7265625" style="2593" customWidth="1"/>
    <col min="2828" max="2829" width="10.7265625" style="2593" customWidth="1"/>
    <col min="2830" max="2830" width="10" style="2593" customWidth="1"/>
    <col min="2831" max="2832" width="10.453125" style="2593" bestFit="1" customWidth="1"/>
    <col min="2833" max="2833" width="10" style="2593" customWidth="1"/>
    <col min="2834" max="2834" width="10.08984375" style="2593" customWidth="1"/>
    <col min="2835" max="2835" width="10" style="2593" customWidth="1"/>
    <col min="2836" max="2836" width="26.08984375" style="2593" customWidth="1"/>
    <col min="2837" max="3072" width="8.90625" style="2593"/>
    <col min="3073" max="3073" width="9.453125" style="2593" customWidth="1"/>
    <col min="3074" max="3074" width="8.90625" style="2593"/>
    <col min="3075" max="3077" width="12.90625" style="2593" customWidth="1"/>
    <col min="3078" max="3078" width="47.453125" style="2593" customWidth="1"/>
    <col min="3079" max="3079" width="13" style="2593" customWidth="1"/>
    <col min="3080" max="3081" width="8.90625" style="2593"/>
    <col min="3082" max="3082" width="5.7265625" style="2593" customWidth="1"/>
    <col min="3083" max="3083" width="11.7265625" style="2593" customWidth="1"/>
    <col min="3084" max="3085" width="10.7265625" style="2593" customWidth="1"/>
    <col min="3086" max="3086" width="10" style="2593" customWidth="1"/>
    <col min="3087" max="3088" width="10.453125" style="2593" bestFit="1" customWidth="1"/>
    <col min="3089" max="3089" width="10" style="2593" customWidth="1"/>
    <col min="3090" max="3090" width="10.08984375" style="2593" customWidth="1"/>
    <col min="3091" max="3091" width="10" style="2593" customWidth="1"/>
    <col min="3092" max="3092" width="26.08984375" style="2593" customWidth="1"/>
    <col min="3093" max="3328" width="8.90625" style="2593"/>
    <col min="3329" max="3329" width="9.453125" style="2593" customWidth="1"/>
    <col min="3330" max="3330" width="8.90625" style="2593"/>
    <col min="3331" max="3333" width="12.90625" style="2593" customWidth="1"/>
    <col min="3334" max="3334" width="47.453125" style="2593" customWidth="1"/>
    <col min="3335" max="3335" width="13" style="2593" customWidth="1"/>
    <col min="3336" max="3337" width="8.90625" style="2593"/>
    <col min="3338" max="3338" width="5.7265625" style="2593" customWidth="1"/>
    <col min="3339" max="3339" width="11.7265625" style="2593" customWidth="1"/>
    <col min="3340" max="3341" width="10.7265625" style="2593" customWidth="1"/>
    <col min="3342" max="3342" width="10" style="2593" customWidth="1"/>
    <col min="3343" max="3344" width="10.453125" style="2593" bestFit="1" customWidth="1"/>
    <col min="3345" max="3345" width="10" style="2593" customWidth="1"/>
    <col min="3346" max="3346" width="10.08984375" style="2593" customWidth="1"/>
    <col min="3347" max="3347" width="10" style="2593" customWidth="1"/>
    <col min="3348" max="3348" width="26.08984375" style="2593" customWidth="1"/>
    <col min="3349" max="3584" width="8.90625" style="2593"/>
    <col min="3585" max="3585" width="9.453125" style="2593" customWidth="1"/>
    <col min="3586" max="3586" width="8.90625" style="2593"/>
    <col min="3587" max="3589" width="12.90625" style="2593" customWidth="1"/>
    <col min="3590" max="3590" width="47.453125" style="2593" customWidth="1"/>
    <col min="3591" max="3591" width="13" style="2593" customWidth="1"/>
    <col min="3592" max="3593" width="8.90625" style="2593"/>
    <col min="3594" max="3594" width="5.7265625" style="2593" customWidth="1"/>
    <col min="3595" max="3595" width="11.7265625" style="2593" customWidth="1"/>
    <col min="3596" max="3597" width="10.7265625" style="2593" customWidth="1"/>
    <col min="3598" max="3598" width="10" style="2593" customWidth="1"/>
    <col min="3599" max="3600" width="10.453125" style="2593" bestFit="1" customWidth="1"/>
    <col min="3601" max="3601" width="10" style="2593" customWidth="1"/>
    <col min="3602" max="3602" width="10.08984375" style="2593" customWidth="1"/>
    <col min="3603" max="3603" width="10" style="2593" customWidth="1"/>
    <col min="3604" max="3604" width="26.08984375" style="2593" customWidth="1"/>
    <col min="3605" max="3840" width="8.90625" style="2593"/>
    <col min="3841" max="3841" width="9.453125" style="2593" customWidth="1"/>
    <col min="3842" max="3842" width="8.90625" style="2593"/>
    <col min="3843" max="3845" width="12.90625" style="2593" customWidth="1"/>
    <col min="3846" max="3846" width="47.453125" style="2593" customWidth="1"/>
    <col min="3847" max="3847" width="13" style="2593" customWidth="1"/>
    <col min="3848" max="3849" width="8.90625" style="2593"/>
    <col min="3850" max="3850" width="5.7265625" style="2593" customWidth="1"/>
    <col min="3851" max="3851" width="11.7265625" style="2593" customWidth="1"/>
    <col min="3852" max="3853" width="10.7265625" style="2593" customWidth="1"/>
    <col min="3854" max="3854" width="10" style="2593" customWidth="1"/>
    <col min="3855" max="3856" width="10.453125" style="2593" bestFit="1" customWidth="1"/>
    <col min="3857" max="3857" width="10" style="2593" customWidth="1"/>
    <col min="3858" max="3858" width="10.08984375" style="2593" customWidth="1"/>
    <col min="3859" max="3859" width="10" style="2593" customWidth="1"/>
    <col min="3860" max="3860" width="26.08984375" style="2593" customWidth="1"/>
    <col min="3861" max="4096" width="8.90625" style="2593"/>
    <col min="4097" max="4097" width="9.453125" style="2593" customWidth="1"/>
    <col min="4098" max="4098" width="8.90625" style="2593"/>
    <col min="4099" max="4101" width="12.90625" style="2593" customWidth="1"/>
    <col min="4102" max="4102" width="47.453125" style="2593" customWidth="1"/>
    <col min="4103" max="4103" width="13" style="2593" customWidth="1"/>
    <col min="4104" max="4105" width="8.90625" style="2593"/>
    <col min="4106" max="4106" width="5.7265625" style="2593" customWidth="1"/>
    <col min="4107" max="4107" width="11.7265625" style="2593" customWidth="1"/>
    <col min="4108" max="4109" width="10.7265625" style="2593" customWidth="1"/>
    <col min="4110" max="4110" width="10" style="2593" customWidth="1"/>
    <col min="4111" max="4112" width="10.453125" style="2593" bestFit="1" customWidth="1"/>
    <col min="4113" max="4113" width="10" style="2593" customWidth="1"/>
    <col min="4114" max="4114" width="10.08984375" style="2593" customWidth="1"/>
    <col min="4115" max="4115" width="10" style="2593" customWidth="1"/>
    <col min="4116" max="4116" width="26.08984375" style="2593" customWidth="1"/>
    <col min="4117" max="4352" width="8.90625" style="2593"/>
    <col min="4353" max="4353" width="9.453125" style="2593" customWidth="1"/>
    <col min="4354" max="4354" width="8.90625" style="2593"/>
    <col min="4355" max="4357" width="12.90625" style="2593" customWidth="1"/>
    <col min="4358" max="4358" width="47.453125" style="2593" customWidth="1"/>
    <col min="4359" max="4359" width="13" style="2593" customWidth="1"/>
    <col min="4360" max="4361" width="8.90625" style="2593"/>
    <col min="4362" max="4362" width="5.7265625" style="2593" customWidth="1"/>
    <col min="4363" max="4363" width="11.7265625" style="2593" customWidth="1"/>
    <col min="4364" max="4365" width="10.7265625" style="2593" customWidth="1"/>
    <col min="4366" max="4366" width="10" style="2593" customWidth="1"/>
    <col min="4367" max="4368" width="10.453125" style="2593" bestFit="1" customWidth="1"/>
    <col min="4369" max="4369" width="10" style="2593" customWidth="1"/>
    <col min="4370" max="4370" width="10.08984375" style="2593" customWidth="1"/>
    <col min="4371" max="4371" width="10" style="2593" customWidth="1"/>
    <col min="4372" max="4372" width="26.08984375" style="2593" customWidth="1"/>
    <col min="4373" max="4608" width="8.90625" style="2593"/>
    <col min="4609" max="4609" width="9.453125" style="2593" customWidth="1"/>
    <col min="4610" max="4610" width="8.90625" style="2593"/>
    <col min="4611" max="4613" width="12.90625" style="2593" customWidth="1"/>
    <col min="4614" max="4614" width="47.453125" style="2593" customWidth="1"/>
    <col min="4615" max="4615" width="13" style="2593" customWidth="1"/>
    <col min="4616" max="4617" width="8.90625" style="2593"/>
    <col min="4618" max="4618" width="5.7265625" style="2593" customWidth="1"/>
    <col min="4619" max="4619" width="11.7265625" style="2593" customWidth="1"/>
    <col min="4620" max="4621" width="10.7265625" style="2593" customWidth="1"/>
    <col min="4622" max="4622" width="10" style="2593" customWidth="1"/>
    <col min="4623" max="4624" width="10.453125" style="2593" bestFit="1" customWidth="1"/>
    <col min="4625" max="4625" width="10" style="2593" customWidth="1"/>
    <col min="4626" max="4626" width="10.08984375" style="2593" customWidth="1"/>
    <col min="4627" max="4627" width="10" style="2593" customWidth="1"/>
    <col min="4628" max="4628" width="26.08984375" style="2593" customWidth="1"/>
    <col min="4629" max="4864" width="8.90625" style="2593"/>
    <col min="4865" max="4865" width="9.453125" style="2593" customWidth="1"/>
    <col min="4866" max="4866" width="8.90625" style="2593"/>
    <col min="4867" max="4869" width="12.90625" style="2593" customWidth="1"/>
    <col min="4870" max="4870" width="47.453125" style="2593" customWidth="1"/>
    <col min="4871" max="4871" width="13" style="2593" customWidth="1"/>
    <col min="4872" max="4873" width="8.90625" style="2593"/>
    <col min="4874" max="4874" width="5.7265625" style="2593" customWidth="1"/>
    <col min="4875" max="4875" width="11.7265625" style="2593" customWidth="1"/>
    <col min="4876" max="4877" width="10.7265625" style="2593" customWidth="1"/>
    <col min="4878" max="4878" width="10" style="2593" customWidth="1"/>
    <col min="4879" max="4880" width="10.453125" style="2593" bestFit="1" customWidth="1"/>
    <col min="4881" max="4881" width="10" style="2593" customWidth="1"/>
    <col min="4882" max="4882" width="10.08984375" style="2593" customWidth="1"/>
    <col min="4883" max="4883" width="10" style="2593" customWidth="1"/>
    <col min="4884" max="4884" width="26.08984375" style="2593" customWidth="1"/>
    <col min="4885" max="5120" width="8.90625" style="2593"/>
    <col min="5121" max="5121" width="9.453125" style="2593" customWidth="1"/>
    <col min="5122" max="5122" width="8.90625" style="2593"/>
    <col min="5123" max="5125" width="12.90625" style="2593" customWidth="1"/>
    <col min="5126" max="5126" width="47.453125" style="2593" customWidth="1"/>
    <col min="5127" max="5127" width="13" style="2593" customWidth="1"/>
    <col min="5128" max="5129" width="8.90625" style="2593"/>
    <col min="5130" max="5130" width="5.7265625" style="2593" customWidth="1"/>
    <col min="5131" max="5131" width="11.7265625" style="2593" customWidth="1"/>
    <col min="5132" max="5133" width="10.7265625" style="2593" customWidth="1"/>
    <col min="5134" max="5134" width="10" style="2593" customWidth="1"/>
    <col min="5135" max="5136" width="10.453125" style="2593" bestFit="1" customWidth="1"/>
    <col min="5137" max="5137" width="10" style="2593" customWidth="1"/>
    <col min="5138" max="5138" width="10.08984375" style="2593" customWidth="1"/>
    <col min="5139" max="5139" width="10" style="2593" customWidth="1"/>
    <col min="5140" max="5140" width="26.08984375" style="2593" customWidth="1"/>
    <col min="5141" max="5376" width="8.90625" style="2593"/>
    <col min="5377" max="5377" width="9.453125" style="2593" customWidth="1"/>
    <col min="5378" max="5378" width="8.90625" style="2593"/>
    <col min="5379" max="5381" width="12.90625" style="2593" customWidth="1"/>
    <col min="5382" max="5382" width="47.453125" style="2593" customWidth="1"/>
    <col min="5383" max="5383" width="13" style="2593" customWidth="1"/>
    <col min="5384" max="5385" width="8.90625" style="2593"/>
    <col min="5386" max="5386" width="5.7265625" style="2593" customWidth="1"/>
    <col min="5387" max="5387" width="11.7265625" style="2593" customWidth="1"/>
    <col min="5388" max="5389" width="10.7265625" style="2593" customWidth="1"/>
    <col min="5390" max="5390" width="10" style="2593" customWidth="1"/>
    <col min="5391" max="5392" width="10.453125" style="2593" bestFit="1" customWidth="1"/>
    <col min="5393" max="5393" width="10" style="2593" customWidth="1"/>
    <col min="5394" max="5394" width="10.08984375" style="2593" customWidth="1"/>
    <col min="5395" max="5395" width="10" style="2593" customWidth="1"/>
    <col min="5396" max="5396" width="26.08984375" style="2593" customWidth="1"/>
    <col min="5397" max="5632" width="8.90625" style="2593"/>
    <col min="5633" max="5633" width="9.453125" style="2593" customWidth="1"/>
    <col min="5634" max="5634" width="8.90625" style="2593"/>
    <col min="5635" max="5637" width="12.90625" style="2593" customWidth="1"/>
    <col min="5638" max="5638" width="47.453125" style="2593" customWidth="1"/>
    <col min="5639" max="5639" width="13" style="2593" customWidth="1"/>
    <col min="5640" max="5641" width="8.90625" style="2593"/>
    <col min="5642" max="5642" width="5.7265625" style="2593" customWidth="1"/>
    <col min="5643" max="5643" width="11.7265625" style="2593" customWidth="1"/>
    <col min="5644" max="5645" width="10.7265625" style="2593" customWidth="1"/>
    <col min="5646" max="5646" width="10" style="2593" customWidth="1"/>
    <col min="5647" max="5648" width="10.453125" style="2593" bestFit="1" customWidth="1"/>
    <col min="5649" max="5649" width="10" style="2593" customWidth="1"/>
    <col min="5650" max="5650" width="10.08984375" style="2593" customWidth="1"/>
    <col min="5651" max="5651" width="10" style="2593" customWidth="1"/>
    <col min="5652" max="5652" width="26.08984375" style="2593" customWidth="1"/>
    <col min="5653" max="5888" width="8.90625" style="2593"/>
    <col min="5889" max="5889" width="9.453125" style="2593" customWidth="1"/>
    <col min="5890" max="5890" width="8.90625" style="2593"/>
    <col min="5891" max="5893" width="12.90625" style="2593" customWidth="1"/>
    <col min="5894" max="5894" width="47.453125" style="2593" customWidth="1"/>
    <col min="5895" max="5895" width="13" style="2593" customWidth="1"/>
    <col min="5896" max="5897" width="8.90625" style="2593"/>
    <col min="5898" max="5898" width="5.7265625" style="2593" customWidth="1"/>
    <col min="5899" max="5899" width="11.7265625" style="2593" customWidth="1"/>
    <col min="5900" max="5901" width="10.7265625" style="2593" customWidth="1"/>
    <col min="5902" max="5902" width="10" style="2593" customWidth="1"/>
    <col min="5903" max="5904" width="10.453125" style="2593" bestFit="1" customWidth="1"/>
    <col min="5905" max="5905" width="10" style="2593" customWidth="1"/>
    <col min="5906" max="5906" width="10.08984375" style="2593" customWidth="1"/>
    <col min="5907" max="5907" width="10" style="2593" customWidth="1"/>
    <col min="5908" max="5908" width="26.08984375" style="2593" customWidth="1"/>
    <col min="5909" max="6144" width="8.90625" style="2593"/>
    <col min="6145" max="6145" width="9.453125" style="2593" customWidth="1"/>
    <col min="6146" max="6146" width="8.90625" style="2593"/>
    <col min="6147" max="6149" width="12.90625" style="2593" customWidth="1"/>
    <col min="6150" max="6150" width="47.453125" style="2593" customWidth="1"/>
    <col min="6151" max="6151" width="13" style="2593" customWidth="1"/>
    <col min="6152" max="6153" width="8.90625" style="2593"/>
    <col min="6154" max="6154" width="5.7265625" style="2593" customWidth="1"/>
    <col min="6155" max="6155" width="11.7265625" style="2593" customWidth="1"/>
    <col min="6156" max="6157" width="10.7265625" style="2593" customWidth="1"/>
    <col min="6158" max="6158" width="10" style="2593" customWidth="1"/>
    <col min="6159" max="6160" width="10.453125" style="2593" bestFit="1" customWidth="1"/>
    <col min="6161" max="6161" width="10" style="2593" customWidth="1"/>
    <col min="6162" max="6162" width="10.08984375" style="2593" customWidth="1"/>
    <col min="6163" max="6163" width="10" style="2593" customWidth="1"/>
    <col min="6164" max="6164" width="26.08984375" style="2593" customWidth="1"/>
    <col min="6165" max="6400" width="8.90625" style="2593"/>
    <col min="6401" max="6401" width="9.453125" style="2593" customWidth="1"/>
    <col min="6402" max="6402" width="8.90625" style="2593"/>
    <col min="6403" max="6405" width="12.90625" style="2593" customWidth="1"/>
    <col min="6406" max="6406" width="47.453125" style="2593" customWidth="1"/>
    <col min="6407" max="6407" width="13" style="2593" customWidth="1"/>
    <col min="6408" max="6409" width="8.90625" style="2593"/>
    <col min="6410" max="6410" width="5.7265625" style="2593" customWidth="1"/>
    <col min="6411" max="6411" width="11.7265625" style="2593" customWidth="1"/>
    <col min="6412" max="6413" width="10.7265625" style="2593" customWidth="1"/>
    <col min="6414" max="6414" width="10" style="2593" customWidth="1"/>
    <col min="6415" max="6416" width="10.453125" style="2593" bestFit="1" customWidth="1"/>
    <col min="6417" max="6417" width="10" style="2593" customWidth="1"/>
    <col min="6418" max="6418" width="10.08984375" style="2593" customWidth="1"/>
    <col min="6419" max="6419" width="10" style="2593" customWidth="1"/>
    <col min="6420" max="6420" width="26.08984375" style="2593" customWidth="1"/>
    <col min="6421" max="6656" width="8.90625" style="2593"/>
    <col min="6657" max="6657" width="9.453125" style="2593" customWidth="1"/>
    <col min="6658" max="6658" width="8.90625" style="2593"/>
    <col min="6659" max="6661" width="12.90625" style="2593" customWidth="1"/>
    <col min="6662" max="6662" width="47.453125" style="2593" customWidth="1"/>
    <col min="6663" max="6663" width="13" style="2593" customWidth="1"/>
    <col min="6664" max="6665" width="8.90625" style="2593"/>
    <col min="6666" max="6666" width="5.7265625" style="2593" customWidth="1"/>
    <col min="6667" max="6667" width="11.7265625" style="2593" customWidth="1"/>
    <col min="6668" max="6669" width="10.7265625" style="2593" customWidth="1"/>
    <col min="6670" max="6670" width="10" style="2593" customWidth="1"/>
    <col min="6671" max="6672" width="10.453125" style="2593" bestFit="1" customWidth="1"/>
    <col min="6673" max="6673" width="10" style="2593" customWidth="1"/>
    <col min="6674" max="6674" width="10.08984375" style="2593" customWidth="1"/>
    <col min="6675" max="6675" width="10" style="2593" customWidth="1"/>
    <col min="6676" max="6676" width="26.08984375" style="2593" customWidth="1"/>
    <col min="6677" max="6912" width="8.90625" style="2593"/>
    <col min="6913" max="6913" width="9.453125" style="2593" customWidth="1"/>
    <col min="6914" max="6914" width="8.90625" style="2593"/>
    <col min="6915" max="6917" width="12.90625" style="2593" customWidth="1"/>
    <col min="6918" max="6918" width="47.453125" style="2593" customWidth="1"/>
    <col min="6919" max="6919" width="13" style="2593" customWidth="1"/>
    <col min="6920" max="6921" width="8.90625" style="2593"/>
    <col min="6922" max="6922" width="5.7265625" style="2593" customWidth="1"/>
    <col min="6923" max="6923" width="11.7265625" style="2593" customWidth="1"/>
    <col min="6924" max="6925" width="10.7265625" style="2593" customWidth="1"/>
    <col min="6926" max="6926" width="10" style="2593" customWidth="1"/>
    <col min="6927" max="6928" width="10.453125" style="2593" bestFit="1" customWidth="1"/>
    <col min="6929" max="6929" width="10" style="2593" customWidth="1"/>
    <col min="6930" max="6930" width="10.08984375" style="2593" customWidth="1"/>
    <col min="6931" max="6931" width="10" style="2593" customWidth="1"/>
    <col min="6932" max="6932" width="26.08984375" style="2593" customWidth="1"/>
    <col min="6933" max="7168" width="8.90625" style="2593"/>
    <col min="7169" max="7169" width="9.453125" style="2593" customWidth="1"/>
    <col min="7170" max="7170" width="8.90625" style="2593"/>
    <col min="7171" max="7173" width="12.90625" style="2593" customWidth="1"/>
    <col min="7174" max="7174" width="47.453125" style="2593" customWidth="1"/>
    <col min="7175" max="7175" width="13" style="2593" customWidth="1"/>
    <col min="7176" max="7177" width="8.90625" style="2593"/>
    <col min="7178" max="7178" width="5.7265625" style="2593" customWidth="1"/>
    <col min="7179" max="7179" width="11.7265625" style="2593" customWidth="1"/>
    <col min="7180" max="7181" width="10.7265625" style="2593" customWidth="1"/>
    <col min="7182" max="7182" width="10" style="2593" customWidth="1"/>
    <col min="7183" max="7184" width="10.453125" style="2593" bestFit="1" customWidth="1"/>
    <col min="7185" max="7185" width="10" style="2593" customWidth="1"/>
    <col min="7186" max="7186" width="10.08984375" style="2593" customWidth="1"/>
    <col min="7187" max="7187" width="10" style="2593" customWidth="1"/>
    <col min="7188" max="7188" width="26.08984375" style="2593" customWidth="1"/>
    <col min="7189" max="7424" width="8.90625" style="2593"/>
    <col min="7425" max="7425" width="9.453125" style="2593" customWidth="1"/>
    <col min="7426" max="7426" width="8.90625" style="2593"/>
    <col min="7427" max="7429" width="12.90625" style="2593" customWidth="1"/>
    <col min="7430" max="7430" width="47.453125" style="2593" customWidth="1"/>
    <col min="7431" max="7431" width="13" style="2593" customWidth="1"/>
    <col min="7432" max="7433" width="8.90625" style="2593"/>
    <col min="7434" max="7434" width="5.7265625" style="2593" customWidth="1"/>
    <col min="7435" max="7435" width="11.7265625" style="2593" customWidth="1"/>
    <col min="7436" max="7437" width="10.7265625" style="2593" customWidth="1"/>
    <col min="7438" max="7438" width="10" style="2593" customWidth="1"/>
    <col min="7439" max="7440" width="10.453125" style="2593" bestFit="1" customWidth="1"/>
    <col min="7441" max="7441" width="10" style="2593" customWidth="1"/>
    <col min="7442" max="7442" width="10.08984375" style="2593" customWidth="1"/>
    <col min="7443" max="7443" width="10" style="2593" customWidth="1"/>
    <col min="7444" max="7444" width="26.08984375" style="2593" customWidth="1"/>
    <col min="7445" max="7680" width="8.90625" style="2593"/>
    <col min="7681" max="7681" width="9.453125" style="2593" customWidth="1"/>
    <col min="7682" max="7682" width="8.90625" style="2593"/>
    <col min="7683" max="7685" width="12.90625" style="2593" customWidth="1"/>
    <col min="7686" max="7686" width="47.453125" style="2593" customWidth="1"/>
    <col min="7687" max="7687" width="13" style="2593" customWidth="1"/>
    <col min="7688" max="7689" width="8.90625" style="2593"/>
    <col min="7690" max="7690" width="5.7265625" style="2593" customWidth="1"/>
    <col min="7691" max="7691" width="11.7265625" style="2593" customWidth="1"/>
    <col min="7692" max="7693" width="10.7265625" style="2593" customWidth="1"/>
    <col min="7694" max="7694" width="10" style="2593" customWidth="1"/>
    <col min="7695" max="7696" width="10.453125" style="2593" bestFit="1" customWidth="1"/>
    <col min="7697" max="7697" width="10" style="2593" customWidth="1"/>
    <col min="7698" max="7698" width="10.08984375" style="2593" customWidth="1"/>
    <col min="7699" max="7699" width="10" style="2593" customWidth="1"/>
    <col min="7700" max="7700" width="26.08984375" style="2593" customWidth="1"/>
    <col min="7701" max="7936" width="8.90625" style="2593"/>
    <col min="7937" max="7937" width="9.453125" style="2593" customWidth="1"/>
    <col min="7938" max="7938" width="8.90625" style="2593"/>
    <col min="7939" max="7941" width="12.90625" style="2593" customWidth="1"/>
    <col min="7942" max="7942" width="47.453125" style="2593" customWidth="1"/>
    <col min="7943" max="7943" width="13" style="2593" customWidth="1"/>
    <col min="7944" max="7945" width="8.90625" style="2593"/>
    <col min="7946" max="7946" width="5.7265625" style="2593" customWidth="1"/>
    <col min="7947" max="7947" width="11.7265625" style="2593" customWidth="1"/>
    <col min="7948" max="7949" width="10.7265625" style="2593" customWidth="1"/>
    <col min="7950" max="7950" width="10" style="2593" customWidth="1"/>
    <col min="7951" max="7952" width="10.453125" style="2593" bestFit="1" customWidth="1"/>
    <col min="7953" max="7953" width="10" style="2593" customWidth="1"/>
    <col min="7954" max="7954" width="10.08984375" style="2593" customWidth="1"/>
    <col min="7955" max="7955" width="10" style="2593" customWidth="1"/>
    <col min="7956" max="7956" width="26.08984375" style="2593" customWidth="1"/>
    <col min="7957" max="8192" width="8.90625" style="2593"/>
    <col min="8193" max="8193" width="9.453125" style="2593" customWidth="1"/>
    <col min="8194" max="8194" width="8.90625" style="2593"/>
    <col min="8195" max="8197" width="12.90625" style="2593" customWidth="1"/>
    <col min="8198" max="8198" width="47.453125" style="2593" customWidth="1"/>
    <col min="8199" max="8199" width="13" style="2593" customWidth="1"/>
    <col min="8200" max="8201" width="8.90625" style="2593"/>
    <col min="8202" max="8202" width="5.7265625" style="2593" customWidth="1"/>
    <col min="8203" max="8203" width="11.7265625" style="2593" customWidth="1"/>
    <col min="8204" max="8205" width="10.7265625" style="2593" customWidth="1"/>
    <col min="8206" max="8206" width="10" style="2593" customWidth="1"/>
    <col min="8207" max="8208" width="10.453125" style="2593" bestFit="1" customWidth="1"/>
    <col min="8209" max="8209" width="10" style="2593" customWidth="1"/>
    <col min="8210" max="8210" width="10.08984375" style="2593" customWidth="1"/>
    <col min="8211" max="8211" width="10" style="2593" customWidth="1"/>
    <col min="8212" max="8212" width="26.08984375" style="2593" customWidth="1"/>
    <col min="8213" max="8448" width="8.90625" style="2593"/>
    <col min="8449" max="8449" width="9.453125" style="2593" customWidth="1"/>
    <col min="8450" max="8450" width="8.90625" style="2593"/>
    <col min="8451" max="8453" width="12.90625" style="2593" customWidth="1"/>
    <col min="8454" max="8454" width="47.453125" style="2593" customWidth="1"/>
    <col min="8455" max="8455" width="13" style="2593" customWidth="1"/>
    <col min="8456" max="8457" width="8.90625" style="2593"/>
    <col min="8458" max="8458" width="5.7265625" style="2593" customWidth="1"/>
    <col min="8459" max="8459" width="11.7265625" style="2593" customWidth="1"/>
    <col min="8460" max="8461" width="10.7265625" style="2593" customWidth="1"/>
    <col min="8462" max="8462" width="10" style="2593" customWidth="1"/>
    <col min="8463" max="8464" width="10.453125" style="2593" bestFit="1" customWidth="1"/>
    <col min="8465" max="8465" width="10" style="2593" customWidth="1"/>
    <col min="8466" max="8466" width="10.08984375" style="2593" customWidth="1"/>
    <col min="8467" max="8467" width="10" style="2593" customWidth="1"/>
    <col min="8468" max="8468" width="26.08984375" style="2593" customWidth="1"/>
    <col min="8469" max="8704" width="8.90625" style="2593"/>
    <col min="8705" max="8705" width="9.453125" style="2593" customWidth="1"/>
    <col min="8706" max="8706" width="8.90625" style="2593"/>
    <col min="8707" max="8709" width="12.90625" style="2593" customWidth="1"/>
    <col min="8710" max="8710" width="47.453125" style="2593" customWidth="1"/>
    <col min="8711" max="8711" width="13" style="2593" customWidth="1"/>
    <col min="8712" max="8713" width="8.90625" style="2593"/>
    <col min="8714" max="8714" width="5.7265625" style="2593" customWidth="1"/>
    <col min="8715" max="8715" width="11.7265625" style="2593" customWidth="1"/>
    <col min="8716" max="8717" width="10.7265625" style="2593" customWidth="1"/>
    <col min="8718" max="8718" width="10" style="2593" customWidth="1"/>
    <col min="8719" max="8720" width="10.453125" style="2593" bestFit="1" customWidth="1"/>
    <col min="8721" max="8721" width="10" style="2593" customWidth="1"/>
    <col min="8722" max="8722" width="10.08984375" style="2593" customWidth="1"/>
    <col min="8723" max="8723" width="10" style="2593" customWidth="1"/>
    <col min="8724" max="8724" width="26.08984375" style="2593" customWidth="1"/>
    <col min="8725" max="8960" width="8.90625" style="2593"/>
    <col min="8961" max="8961" width="9.453125" style="2593" customWidth="1"/>
    <col min="8962" max="8962" width="8.90625" style="2593"/>
    <col min="8963" max="8965" width="12.90625" style="2593" customWidth="1"/>
    <col min="8966" max="8966" width="47.453125" style="2593" customWidth="1"/>
    <col min="8967" max="8967" width="13" style="2593" customWidth="1"/>
    <col min="8968" max="8969" width="8.90625" style="2593"/>
    <col min="8970" max="8970" width="5.7265625" style="2593" customWidth="1"/>
    <col min="8971" max="8971" width="11.7265625" style="2593" customWidth="1"/>
    <col min="8972" max="8973" width="10.7265625" style="2593" customWidth="1"/>
    <col min="8974" max="8974" width="10" style="2593" customWidth="1"/>
    <col min="8975" max="8976" width="10.453125" style="2593" bestFit="1" customWidth="1"/>
    <col min="8977" max="8977" width="10" style="2593" customWidth="1"/>
    <col min="8978" max="8978" width="10.08984375" style="2593" customWidth="1"/>
    <col min="8979" max="8979" width="10" style="2593" customWidth="1"/>
    <col min="8980" max="8980" width="26.08984375" style="2593" customWidth="1"/>
    <col min="8981" max="9216" width="8.90625" style="2593"/>
    <col min="9217" max="9217" width="9.453125" style="2593" customWidth="1"/>
    <col min="9218" max="9218" width="8.90625" style="2593"/>
    <col min="9219" max="9221" width="12.90625" style="2593" customWidth="1"/>
    <col min="9222" max="9222" width="47.453125" style="2593" customWidth="1"/>
    <col min="9223" max="9223" width="13" style="2593" customWidth="1"/>
    <col min="9224" max="9225" width="8.90625" style="2593"/>
    <col min="9226" max="9226" width="5.7265625" style="2593" customWidth="1"/>
    <col min="9227" max="9227" width="11.7265625" style="2593" customWidth="1"/>
    <col min="9228" max="9229" width="10.7265625" style="2593" customWidth="1"/>
    <col min="9230" max="9230" width="10" style="2593" customWidth="1"/>
    <col min="9231" max="9232" width="10.453125" style="2593" bestFit="1" customWidth="1"/>
    <col min="9233" max="9233" width="10" style="2593" customWidth="1"/>
    <col min="9234" max="9234" width="10.08984375" style="2593" customWidth="1"/>
    <col min="9235" max="9235" width="10" style="2593" customWidth="1"/>
    <col min="9236" max="9236" width="26.08984375" style="2593" customWidth="1"/>
    <col min="9237" max="9472" width="8.90625" style="2593"/>
    <col min="9473" max="9473" width="9.453125" style="2593" customWidth="1"/>
    <col min="9474" max="9474" width="8.90625" style="2593"/>
    <col min="9475" max="9477" width="12.90625" style="2593" customWidth="1"/>
    <col min="9478" max="9478" width="47.453125" style="2593" customWidth="1"/>
    <col min="9479" max="9479" width="13" style="2593" customWidth="1"/>
    <col min="9480" max="9481" width="8.90625" style="2593"/>
    <col min="9482" max="9482" width="5.7265625" style="2593" customWidth="1"/>
    <col min="9483" max="9483" width="11.7265625" style="2593" customWidth="1"/>
    <col min="9484" max="9485" width="10.7265625" style="2593" customWidth="1"/>
    <col min="9486" max="9486" width="10" style="2593" customWidth="1"/>
    <col min="9487" max="9488" width="10.453125" style="2593" bestFit="1" customWidth="1"/>
    <col min="9489" max="9489" width="10" style="2593" customWidth="1"/>
    <col min="9490" max="9490" width="10.08984375" style="2593" customWidth="1"/>
    <col min="9491" max="9491" width="10" style="2593" customWidth="1"/>
    <col min="9492" max="9492" width="26.08984375" style="2593" customWidth="1"/>
    <col min="9493" max="9728" width="8.90625" style="2593"/>
    <col min="9729" max="9729" width="9.453125" style="2593" customWidth="1"/>
    <col min="9730" max="9730" width="8.90625" style="2593"/>
    <col min="9731" max="9733" width="12.90625" style="2593" customWidth="1"/>
    <col min="9734" max="9734" width="47.453125" style="2593" customWidth="1"/>
    <col min="9735" max="9735" width="13" style="2593" customWidth="1"/>
    <col min="9736" max="9737" width="8.90625" style="2593"/>
    <col min="9738" max="9738" width="5.7265625" style="2593" customWidth="1"/>
    <col min="9739" max="9739" width="11.7265625" style="2593" customWidth="1"/>
    <col min="9740" max="9741" width="10.7265625" style="2593" customWidth="1"/>
    <col min="9742" max="9742" width="10" style="2593" customWidth="1"/>
    <col min="9743" max="9744" width="10.453125" style="2593" bestFit="1" customWidth="1"/>
    <col min="9745" max="9745" width="10" style="2593" customWidth="1"/>
    <col min="9746" max="9746" width="10.08984375" style="2593" customWidth="1"/>
    <col min="9747" max="9747" width="10" style="2593" customWidth="1"/>
    <col min="9748" max="9748" width="26.08984375" style="2593" customWidth="1"/>
    <col min="9749" max="9984" width="8.90625" style="2593"/>
    <col min="9985" max="9985" width="9.453125" style="2593" customWidth="1"/>
    <col min="9986" max="9986" width="8.90625" style="2593"/>
    <col min="9987" max="9989" width="12.90625" style="2593" customWidth="1"/>
    <col min="9990" max="9990" width="47.453125" style="2593" customWidth="1"/>
    <col min="9991" max="9991" width="13" style="2593" customWidth="1"/>
    <col min="9992" max="9993" width="8.90625" style="2593"/>
    <col min="9994" max="9994" width="5.7265625" style="2593" customWidth="1"/>
    <col min="9995" max="9995" width="11.7265625" style="2593" customWidth="1"/>
    <col min="9996" max="9997" width="10.7265625" style="2593" customWidth="1"/>
    <col min="9998" max="9998" width="10" style="2593" customWidth="1"/>
    <col min="9999" max="10000" width="10.453125" style="2593" bestFit="1" customWidth="1"/>
    <col min="10001" max="10001" width="10" style="2593" customWidth="1"/>
    <col min="10002" max="10002" width="10.08984375" style="2593" customWidth="1"/>
    <col min="10003" max="10003" width="10" style="2593" customWidth="1"/>
    <col min="10004" max="10004" width="26.08984375" style="2593" customWidth="1"/>
    <col min="10005" max="10240" width="8.90625" style="2593"/>
    <col min="10241" max="10241" width="9.453125" style="2593" customWidth="1"/>
    <col min="10242" max="10242" width="8.90625" style="2593"/>
    <col min="10243" max="10245" width="12.90625" style="2593" customWidth="1"/>
    <col min="10246" max="10246" width="47.453125" style="2593" customWidth="1"/>
    <col min="10247" max="10247" width="13" style="2593" customWidth="1"/>
    <col min="10248" max="10249" width="8.90625" style="2593"/>
    <col min="10250" max="10250" width="5.7265625" style="2593" customWidth="1"/>
    <col min="10251" max="10251" width="11.7265625" style="2593" customWidth="1"/>
    <col min="10252" max="10253" width="10.7265625" style="2593" customWidth="1"/>
    <col min="10254" max="10254" width="10" style="2593" customWidth="1"/>
    <col min="10255" max="10256" width="10.453125" style="2593" bestFit="1" customWidth="1"/>
    <col min="10257" max="10257" width="10" style="2593" customWidth="1"/>
    <col min="10258" max="10258" width="10.08984375" style="2593" customWidth="1"/>
    <col min="10259" max="10259" width="10" style="2593" customWidth="1"/>
    <col min="10260" max="10260" width="26.08984375" style="2593" customWidth="1"/>
    <col min="10261" max="10496" width="8.90625" style="2593"/>
    <col min="10497" max="10497" width="9.453125" style="2593" customWidth="1"/>
    <col min="10498" max="10498" width="8.90625" style="2593"/>
    <col min="10499" max="10501" width="12.90625" style="2593" customWidth="1"/>
    <col min="10502" max="10502" width="47.453125" style="2593" customWidth="1"/>
    <col min="10503" max="10503" width="13" style="2593" customWidth="1"/>
    <col min="10504" max="10505" width="8.90625" style="2593"/>
    <col min="10506" max="10506" width="5.7265625" style="2593" customWidth="1"/>
    <col min="10507" max="10507" width="11.7265625" style="2593" customWidth="1"/>
    <col min="10508" max="10509" width="10.7265625" style="2593" customWidth="1"/>
    <col min="10510" max="10510" width="10" style="2593" customWidth="1"/>
    <col min="10511" max="10512" width="10.453125" style="2593" bestFit="1" customWidth="1"/>
    <col min="10513" max="10513" width="10" style="2593" customWidth="1"/>
    <col min="10514" max="10514" width="10.08984375" style="2593" customWidth="1"/>
    <col min="10515" max="10515" width="10" style="2593" customWidth="1"/>
    <col min="10516" max="10516" width="26.08984375" style="2593" customWidth="1"/>
    <col min="10517" max="10752" width="8.90625" style="2593"/>
    <col min="10753" max="10753" width="9.453125" style="2593" customWidth="1"/>
    <col min="10754" max="10754" width="8.90625" style="2593"/>
    <col min="10755" max="10757" width="12.90625" style="2593" customWidth="1"/>
    <col min="10758" max="10758" width="47.453125" style="2593" customWidth="1"/>
    <col min="10759" max="10759" width="13" style="2593" customWidth="1"/>
    <col min="10760" max="10761" width="8.90625" style="2593"/>
    <col min="10762" max="10762" width="5.7265625" style="2593" customWidth="1"/>
    <col min="10763" max="10763" width="11.7265625" style="2593" customWidth="1"/>
    <col min="10764" max="10765" width="10.7265625" style="2593" customWidth="1"/>
    <col min="10766" max="10766" width="10" style="2593" customWidth="1"/>
    <col min="10767" max="10768" width="10.453125" style="2593" bestFit="1" customWidth="1"/>
    <col min="10769" max="10769" width="10" style="2593" customWidth="1"/>
    <col min="10770" max="10770" width="10.08984375" style="2593" customWidth="1"/>
    <col min="10771" max="10771" width="10" style="2593" customWidth="1"/>
    <col min="10772" max="10772" width="26.08984375" style="2593" customWidth="1"/>
    <col min="10773" max="11008" width="8.90625" style="2593"/>
    <col min="11009" max="11009" width="9.453125" style="2593" customWidth="1"/>
    <col min="11010" max="11010" width="8.90625" style="2593"/>
    <col min="11011" max="11013" width="12.90625" style="2593" customWidth="1"/>
    <col min="11014" max="11014" width="47.453125" style="2593" customWidth="1"/>
    <col min="11015" max="11015" width="13" style="2593" customWidth="1"/>
    <col min="11016" max="11017" width="8.90625" style="2593"/>
    <col min="11018" max="11018" width="5.7265625" style="2593" customWidth="1"/>
    <col min="11019" max="11019" width="11.7265625" style="2593" customWidth="1"/>
    <col min="11020" max="11021" width="10.7265625" style="2593" customWidth="1"/>
    <col min="11022" max="11022" width="10" style="2593" customWidth="1"/>
    <col min="11023" max="11024" width="10.453125" style="2593" bestFit="1" customWidth="1"/>
    <col min="11025" max="11025" width="10" style="2593" customWidth="1"/>
    <col min="11026" max="11026" width="10.08984375" style="2593" customWidth="1"/>
    <col min="11027" max="11027" width="10" style="2593" customWidth="1"/>
    <col min="11028" max="11028" width="26.08984375" style="2593" customWidth="1"/>
    <col min="11029" max="11264" width="8.90625" style="2593"/>
    <col min="11265" max="11265" width="9.453125" style="2593" customWidth="1"/>
    <col min="11266" max="11266" width="8.90625" style="2593"/>
    <col min="11267" max="11269" width="12.90625" style="2593" customWidth="1"/>
    <col min="11270" max="11270" width="47.453125" style="2593" customWidth="1"/>
    <col min="11271" max="11271" width="13" style="2593" customWidth="1"/>
    <col min="11272" max="11273" width="8.90625" style="2593"/>
    <col min="11274" max="11274" width="5.7265625" style="2593" customWidth="1"/>
    <col min="11275" max="11275" width="11.7265625" style="2593" customWidth="1"/>
    <col min="11276" max="11277" width="10.7265625" style="2593" customWidth="1"/>
    <col min="11278" max="11278" width="10" style="2593" customWidth="1"/>
    <col min="11279" max="11280" width="10.453125" style="2593" bestFit="1" customWidth="1"/>
    <col min="11281" max="11281" width="10" style="2593" customWidth="1"/>
    <col min="11282" max="11282" width="10.08984375" style="2593" customWidth="1"/>
    <col min="11283" max="11283" width="10" style="2593" customWidth="1"/>
    <col min="11284" max="11284" width="26.08984375" style="2593" customWidth="1"/>
    <col min="11285" max="11520" width="8.90625" style="2593"/>
    <col min="11521" max="11521" width="9.453125" style="2593" customWidth="1"/>
    <col min="11522" max="11522" width="8.90625" style="2593"/>
    <col min="11523" max="11525" width="12.90625" style="2593" customWidth="1"/>
    <col min="11526" max="11526" width="47.453125" style="2593" customWidth="1"/>
    <col min="11527" max="11527" width="13" style="2593" customWidth="1"/>
    <col min="11528" max="11529" width="8.90625" style="2593"/>
    <col min="11530" max="11530" width="5.7265625" style="2593" customWidth="1"/>
    <col min="11531" max="11531" width="11.7265625" style="2593" customWidth="1"/>
    <col min="11532" max="11533" width="10.7265625" style="2593" customWidth="1"/>
    <col min="11534" max="11534" width="10" style="2593" customWidth="1"/>
    <col min="11535" max="11536" width="10.453125" style="2593" bestFit="1" customWidth="1"/>
    <col min="11537" max="11537" width="10" style="2593" customWidth="1"/>
    <col min="11538" max="11538" width="10.08984375" style="2593" customWidth="1"/>
    <col min="11539" max="11539" width="10" style="2593" customWidth="1"/>
    <col min="11540" max="11540" width="26.08984375" style="2593" customWidth="1"/>
    <col min="11541" max="11776" width="8.90625" style="2593"/>
    <col min="11777" max="11777" width="9.453125" style="2593" customWidth="1"/>
    <col min="11778" max="11778" width="8.90625" style="2593"/>
    <col min="11779" max="11781" width="12.90625" style="2593" customWidth="1"/>
    <col min="11782" max="11782" width="47.453125" style="2593" customWidth="1"/>
    <col min="11783" max="11783" width="13" style="2593" customWidth="1"/>
    <col min="11784" max="11785" width="8.90625" style="2593"/>
    <col min="11786" max="11786" width="5.7265625" style="2593" customWidth="1"/>
    <col min="11787" max="11787" width="11.7265625" style="2593" customWidth="1"/>
    <col min="11788" max="11789" width="10.7265625" style="2593" customWidth="1"/>
    <col min="11790" max="11790" width="10" style="2593" customWidth="1"/>
    <col min="11791" max="11792" width="10.453125" style="2593" bestFit="1" customWidth="1"/>
    <col min="11793" max="11793" width="10" style="2593" customWidth="1"/>
    <col min="11794" max="11794" width="10.08984375" style="2593" customWidth="1"/>
    <col min="11795" max="11795" width="10" style="2593" customWidth="1"/>
    <col min="11796" max="11796" width="26.08984375" style="2593" customWidth="1"/>
    <col min="11797" max="12032" width="8.90625" style="2593"/>
    <col min="12033" max="12033" width="9.453125" style="2593" customWidth="1"/>
    <col min="12034" max="12034" width="8.90625" style="2593"/>
    <col min="12035" max="12037" width="12.90625" style="2593" customWidth="1"/>
    <col min="12038" max="12038" width="47.453125" style="2593" customWidth="1"/>
    <col min="12039" max="12039" width="13" style="2593" customWidth="1"/>
    <col min="12040" max="12041" width="8.90625" style="2593"/>
    <col min="12042" max="12042" width="5.7265625" style="2593" customWidth="1"/>
    <col min="12043" max="12043" width="11.7265625" style="2593" customWidth="1"/>
    <col min="12044" max="12045" width="10.7265625" style="2593" customWidth="1"/>
    <col min="12046" max="12046" width="10" style="2593" customWidth="1"/>
    <col min="12047" max="12048" width="10.453125" style="2593" bestFit="1" customWidth="1"/>
    <col min="12049" max="12049" width="10" style="2593" customWidth="1"/>
    <col min="12050" max="12050" width="10.08984375" style="2593" customWidth="1"/>
    <col min="12051" max="12051" width="10" style="2593" customWidth="1"/>
    <col min="12052" max="12052" width="26.08984375" style="2593" customWidth="1"/>
    <col min="12053" max="12288" width="8.90625" style="2593"/>
    <col min="12289" max="12289" width="9.453125" style="2593" customWidth="1"/>
    <col min="12290" max="12290" width="8.90625" style="2593"/>
    <col min="12291" max="12293" width="12.90625" style="2593" customWidth="1"/>
    <col min="12294" max="12294" width="47.453125" style="2593" customWidth="1"/>
    <col min="12295" max="12295" width="13" style="2593" customWidth="1"/>
    <col min="12296" max="12297" width="8.90625" style="2593"/>
    <col min="12298" max="12298" width="5.7265625" style="2593" customWidth="1"/>
    <col min="12299" max="12299" width="11.7265625" style="2593" customWidth="1"/>
    <col min="12300" max="12301" width="10.7265625" style="2593" customWidth="1"/>
    <col min="12302" max="12302" width="10" style="2593" customWidth="1"/>
    <col min="12303" max="12304" width="10.453125" style="2593" bestFit="1" customWidth="1"/>
    <col min="12305" max="12305" width="10" style="2593" customWidth="1"/>
    <col min="12306" max="12306" width="10.08984375" style="2593" customWidth="1"/>
    <col min="12307" max="12307" width="10" style="2593" customWidth="1"/>
    <col min="12308" max="12308" width="26.08984375" style="2593" customWidth="1"/>
    <col min="12309" max="12544" width="8.90625" style="2593"/>
    <col min="12545" max="12545" width="9.453125" style="2593" customWidth="1"/>
    <col min="12546" max="12546" width="8.90625" style="2593"/>
    <col min="12547" max="12549" width="12.90625" style="2593" customWidth="1"/>
    <col min="12550" max="12550" width="47.453125" style="2593" customWidth="1"/>
    <col min="12551" max="12551" width="13" style="2593" customWidth="1"/>
    <col min="12552" max="12553" width="8.90625" style="2593"/>
    <col min="12554" max="12554" width="5.7265625" style="2593" customWidth="1"/>
    <col min="12555" max="12555" width="11.7265625" style="2593" customWidth="1"/>
    <col min="12556" max="12557" width="10.7265625" style="2593" customWidth="1"/>
    <col min="12558" max="12558" width="10" style="2593" customWidth="1"/>
    <col min="12559" max="12560" width="10.453125" style="2593" bestFit="1" customWidth="1"/>
    <col min="12561" max="12561" width="10" style="2593" customWidth="1"/>
    <col min="12562" max="12562" width="10.08984375" style="2593" customWidth="1"/>
    <col min="12563" max="12563" width="10" style="2593" customWidth="1"/>
    <col min="12564" max="12564" width="26.08984375" style="2593" customWidth="1"/>
    <col min="12565" max="12800" width="8.90625" style="2593"/>
    <col min="12801" max="12801" width="9.453125" style="2593" customWidth="1"/>
    <col min="12802" max="12802" width="8.90625" style="2593"/>
    <col min="12803" max="12805" width="12.90625" style="2593" customWidth="1"/>
    <col min="12806" max="12806" width="47.453125" style="2593" customWidth="1"/>
    <col min="12807" max="12807" width="13" style="2593" customWidth="1"/>
    <col min="12808" max="12809" width="8.90625" style="2593"/>
    <col min="12810" max="12810" width="5.7265625" style="2593" customWidth="1"/>
    <col min="12811" max="12811" width="11.7265625" style="2593" customWidth="1"/>
    <col min="12812" max="12813" width="10.7265625" style="2593" customWidth="1"/>
    <col min="12814" max="12814" width="10" style="2593" customWidth="1"/>
    <col min="12815" max="12816" width="10.453125" style="2593" bestFit="1" customWidth="1"/>
    <col min="12817" max="12817" width="10" style="2593" customWidth="1"/>
    <col min="12818" max="12818" width="10.08984375" style="2593" customWidth="1"/>
    <col min="12819" max="12819" width="10" style="2593" customWidth="1"/>
    <col min="12820" max="12820" width="26.08984375" style="2593" customWidth="1"/>
    <col min="12821" max="13056" width="8.90625" style="2593"/>
    <col min="13057" max="13057" width="9.453125" style="2593" customWidth="1"/>
    <col min="13058" max="13058" width="8.90625" style="2593"/>
    <col min="13059" max="13061" width="12.90625" style="2593" customWidth="1"/>
    <col min="13062" max="13062" width="47.453125" style="2593" customWidth="1"/>
    <col min="13063" max="13063" width="13" style="2593" customWidth="1"/>
    <col min="13064" max="13065" width="8.90625" style="2593"/>
    <col min="13066" max="13066" width="5.7265625" style="2593" customWidth="1"/>
    <col min="13067" max="13067" width="11.7265625" style="2593" customWidth="1"/>
    <col min="13068" max="13069" width="10.7265625" style="2593" customWidth="1"/>
    <col min="13070" max="13070" width="10" style="2593" customWidth="1"/>
    <col min="13071" max="13072" width="10.453125" style="2593" bestFit="1" customWidth="1"/>
    <col min="13073" max="13073" width="10" style="2593" customWidth="1"/>
    <col min="13074" max="13074" width="10.08984375" style="2593" customWidth="1"/>
    <col min="13075" max="13075" width="10" style="2593" customWidth="1"/>
    <col min="13076" max="13076" width="26.08984375" style="2593" customWidth="1"/>
    <col min="13077" max="13312" width="8.90625" style="2593"/>
    <col min="13313" max="13313" width="9.453125" style="2593" customWidth="1"/>
    <col min="13314" max="13314" width="8.90625" style="2593"/>
    <col min="13315" max="13317" width="12.90625" style="2593" customWidth="1"/>
    <col min="13318" max="13318" width="47.453125" style="2593" customWidth="1"/>
    <col min="13319" max="13319" width="13" style="2593" customWidth="1"/>
    <col min="13320" max="13321" width="8.90625" style="2593"/>
    <col min="13322" max="13322" width="5.7265625" style="2593" customWidth="1"/>
    <col min="13323" max="13323" width="11.7265625" style="2593" customWidth="1"/>
    <col min="13324" max="13325" width="10.7265625" style="2593" customWidth="1"/>
    <col min="13326" max="13326" width="10" style="2593" customWidth="1"/>
    <col min="13327" max="13328" width="10.453125" style="2593" bestFit="1" customWidth="1"/>
    <col min="13329" max="13329" width="10" style="2593" customWidth="1"/>
    <col min="13330" max="13330" width="10.08984375" style="2593" customWidth="1"/>
    <col min="13331" max="13331" width="10" style="2593" customWidth="1"/>
    <col min="13332" max="13332" width="26.08984375" style="2593" customWidth="1"/>
    <col min="13333" max="13568" width="8.90625" style="2593"/>
    <col min="13569" max="13569" width="9.453125" style="2593" customWidth="1"/>
    <col min="13570" max="13570" width="8.90625" style="2593"/>
    <col min="13571" max="13573" width="12.90625" style="2593" customWidth="1"/>
    <col min="13574" max="13574" width="47.453125" style="2593" customWidth="1"/>
    <col min="13575" max="13575" width="13" style="2593" customWidth="1"/>
    <col min="13576" max="13577" width="8.90625" style="2593"/>
    <col min="13578" max="13578" width="5.7265625" style="2593" customWidth="1"/>
    <col min="13579" max="13579" width="11.7265625" style="2593" customWidth="1"/>
    <col min="13580" max="13581" width="10.7265625" style="2593" customWidth="1"/>
    <col min="13582" max="13582" width="10" style="2593" customWidth="1"/>
    <col min="13583" max="13584" width="10.453125" style="2593" bestFit="1" customWidth="1"/>
    <col min="13585" max="13585" width="10" style="2593" customWidth="1"/>
    <col min="13586" max="13586" width="10.08984375" style="2593" customWidth="1"/>
    <col min="13587" max="13587" width="10" style="2593" customWidth="1"/>
    <col min="13588" max="13588" width="26.08984375" style="2593" customWidth="1"/>
    <col min="13589" max="13824" width="8.90625" style="2593"/>
    <col min="13825" max="13825" width="9.453125" style="2593" customWidth="1"/>
    <col min="13826" max="13826" width="8.90625" style="2593"/>
    <col min="13827" max="13829" width="12.90625" style="2593" customWidth="1"/>
    <col min="13830" max="13830" width="47.453125" style="2593" customWidth="1"/>
    <col min="13831" max="13831" width="13" style="2593" customWidth="1"/>
    <col min="13832" max="13833" width="8.90625" style="2593"/>
    <col min="13834" max="13834" width="5.7265625" style="2593" customWidth="1"/>
    <col min="13835" max="13835" width="11.7265625" style="2593" customWidth="1"/>
    <col min="13836" max="13837" width="10.7265625" style="2593" customWidth="1"/>
    <col min="13838" max="13838" width="10" style="2593" customWidth="1"/>
    <col min="13839" max="13840" width="10.453125" style="2593" bestFit="1" customWidth="1"/>
    <col min="13841" max="13841" width="10" style="2593" customWidth="1"/>
    <col min="13842" max="13842" width="10.08984375" style="2593" customWidth="1"/>
    <col min="13843" max="13843" width="10" style="2593" customWidth="1"/>
    <col min="13844" max="13844" width="26.08984375" style="2593" customWidth="1"/>
    <col min="13845" max="14080" width="8.90625" style="2593"/>
    <col min="14081" max="14081" width="9.453125" style="2593" customWidth="1"/>
    <col min="14082" max="14082" width="8.90625" style="2593"/>
    <col min="14083" max="14085" width="12.90625" style="2593" customWidth="1"/>
    <col min="14086" max="14086" width="47.453125" style="2593" customWidth="1"/>
    <col min="14087" max="14087" width="13" style="2593" customWidth="1"/>
    <col min="14088" max="14089" width="8.90625" style="2593"/>
    <col min="14090" max="14090" width="5.7265625" style="2593" customWidth="1"/>
    <col min="14091" max="14091" width="11.7265625" style="2593" customWidth="1"/>
    <col min="14092" max="14093" width="10.7265625" style="2593" customWidth="1"/>
    <col min="14094" max="14094" width="10" style="2593" customWidth="1"/>
    <col min="14095" max="14096" width="10.453125" style="2593" bestFit="1" customWidth="1"/>
    <col min="14097" max="14097" width="10" style="2593" customWidth="1"/>
    <col min="14098" max="14098" width="10.08984375" style="2593" customWidth="1"/>
    <col min="14099" max="14099" width="10" style="2593" customWidth="1"/>
    <col min="14100" max="14100" width="26.08984375" style="2593" customWidth="1"/>
    <col min="14101" max="14336" width="8.90625" style="2593"/>
    <col min="14337" max="14337" width="9.453125" style="2593" customWidth="1"/>
    <col min="14338" max="14338" width="8.90625" style="2593"/>
    <col min="14339" max="14341" width="12.90625" style="2593" customWidth="1"/>
    <col min="14342" max="14342" width="47.453125" style="2593" customWidth="1"/>
    <col min="14343" max="14343" width="13" style="2593" customWidth="1"/>
    <col min="14344" max="14345" width="8.90625" style="2593"/>
    <col min="14346" max="14346" width="5.7265625" style="2593" customWidth="1"/>
    <col min="14347" max="14347" width="11.7265625" style="2593" customWidth="1"/>
    <col min="14348" max="14349" width="10.7265625" style="2593" customWidth="1"/>
    <col min="14350" max="14350" width="10" style="2593" customWidth="1"/>
    <col min="14351" max="14352" width="10.453125" style="2593" bestFit="1" customWidth="1"/>
    <col min="14353" max="14353" width="10" style="2593" customWidth="1"/>
    <col min="14354" max="14354" width="10.08984375" style="2593" customWidth="1"/>
    <col min="14355" max="14355" width="10" style="2593" customWidth="1"/>
    <col min="14356" max="14356" width="26.08984375" style="2593" customWidth="1"/>
    <col min="14357" max="14592" width="8.90625" style="2593"/>
    <col min="14593" max="14593" width="9.453125" style="2593" customWidth="1"/>
    <col min="14594" max="14594" width="8.90625" style="2593"/>
    <col min="14595" max="14597" width="12.90625" style="2593" customWidth="1"/>
    <col min="14598" max="14598" width="47.453125" style="2593" customWidth="1"/>
    <col min="14599" max="14599" width="13" style="2593" customWidth="1"/>
    <col min="14600" max="14601" width="8.90625" style="2593"/>
    <col min="14602" max="14602" width="5.7265625" style="2593" customWidth="1"/>
    <col min="14603" max="14603" width="11.7265625" style="2593" customWidth="1"/>
    <col min="14604" max="14605" width="10.7265625" style="2593" customWidth="1"/>
    <col min="14606" max="14606" width="10" style="2593" customWidth="1"/>
    <col min="14607" max="14608" width="10.453125" style="2593" bestFit="1" customWidth="1"/>
    <col min="14609" max="14609" width="10" style="2593" customWidth="1"/>
    <col min="14610" max="14610" width="10.08984375" style="2593" customWidth="1"/>
    <col min="14611" max="14611" width="10" style="2593" customWidth="1"/>
    <col min="14612" max="14612" width="26.08984375" style="2593" customWidth="1"/>
    <col min="14613" max="14848" width="8.90625" style="2593"/>
    <col min="14849" max="14849" width="9.453125" style="2593" customWidth="1"/>
    <col min="14850" max="14850" width="8.90625" style="2593"/>
    <col min="14851" max="14853" width="12.90625" style="2593" customWidth="1"/>
    <col min="14854" max="14854" width="47.453125" style="2593" customWidth="1"/>
    <col min="14855" max="14855" width="13" style="2593" customWidth="1"/>
    <col min="14856" max="14857" width="8.90625" style="2593"/>
    <col min="14858" max="14858" width="5.7265625" style="2593" customWidth="1"/>
    <col min="14859" max="14859" width="11.7265625" style="2593" customWidth="1"/>
    <col min="14860" max="14861" width="10.7265625" style="2593" customWidth="1"/>
    <col min="14862" max="14862" width="10" style="2593" customWidth="1"/>
    <col min="14863" max="14864" width="10.453125" style="2593" bestFit="1" customWidth="1"/>
    <col min="14865" max="14865" width="10" style="2593" customWidth="1"/>
    <col min="14866" max="14866" width="10.08984375" style="2593" customWidth="1"/>
    <col min="14867" max="14867" width="10" style="2593" customWidth="1"/>
    <col min="14868" max="14868" width="26.08984375" style="2593" customWidth="1"/>
    <col min="14869" max="15104" width="8.90625" style="2593"/>
    <col min="15105" max="15105" width="9.453125" style="2593" customWidth="1"/>
    <col min="15106" max="15106" width="8.90625" style="2593"/>
    <col min="15107" max="15109" width="12.90625" style="2593" customWidth="1"/>
    <col min="15110" max="15110" width="47.453125" style="2593" customWidth="1"/>
    <col min="15111" max="15111" width="13" style="2593" customWidth="1"/>
    <col min="15112" max="15113" width="8.90625" style="2593"/>
    <col min="15114" max="15114" width="5.7265625" style="2593" customWidth="1"/>
    <col min="15115" max="15115" width="11.7265625" style="2593" customWidth="1"/>
    <col min="15116" max="15117" width="10.7265625" style="2593" customWidth="1"/>
    <col min="15118" max="15118" width="10" style="2593" customWidth="1"/>
    <col min="15119" max="15120" width="10.453125" style="2593" bestFit="1" customWidth="1"/>
    <col min="15121" max="15121" width="10" style="2593" customWidth="1"/>
    <col min="15122" max="15122" width="10.08984375" style="2593" customWidth="1"/>
    <col min="15123" max="15123" width="10" style="2593" customWidth="1"/>
    <col min="15124" max="15124" width="26.08984375" style="2593" customWidth="1"/>
    <col min="15125" max="15360" width="8.90625" style="2593"/>
    <col min="15361" max="15361" width="9.453125" style="2593" customWidth="1"/>
    <col min="15362" max="15362" width="8.90625" style="2593"/>
    <col min="15363" max="15365" width="12.90625" style="2593" customWidth="1"/>
    <col min="15366" max="15366" width="47.453125" style="2593" customWidth="1"/>
    <col min="15367" max="15367" width="13" style="2593" customWidth="1"/>
    <col min="15368" max="15369" width="8.90625" style="2593"/>
    <col min="15370" max="15370" width="5.7265625" style="2593" customWidth="1"/>
    <col min="15371" max="15371" width="11.7265625" style="2593" customWidth="1"/>
    <col min="15372" max="15373" width="10.7265625" style="2593" customWidth="1"/>
    <col min="15374" max="15374" width="10" style="2593" customWidth="1"/>
    <col min="15375" max="15376" width="10.453125" style="2593" bestFit="1" customWidth="1"/>
    <col min="15377" max="15377" width="10" style="2593" customWidth="1"/>
    <col min="15378" max="15378" width="10.08984375" style="2593" customWidth="1"/>
    <col min="15379" max="15379" width="10" style="2593" customWidth="1"/>
    <col min="15380" max="15380" width="26.08984375" style="2593" customWidth="1"/>
    <col min="15381" max="15616" width="8.90625" style="2593"/>
    <col min="15617" max="15617" width="9.453125" style="2593" customWidth="1"/>
    <col min="15618" max="15618" width="8.90625" style="2593"/>
    <col min="15619" max="15621" width="12.90625" style="2593" customWidth="1"/>
    <col min="15622" max="15622" width="47.453125" style="2593" customWidth="1"/>
    <col min="15623" max="15623" width="13" style="2593" customWidth="1"/>
    <col min="15624" max="15625" width="8.90625" style="2593"/>
    <col min="15626" max="15626" width="5.7265625" style="2593" customWidth="1"/>
    <col min="15627" max="15627" width="11.7265625" style="2593" customWidth="1"/>
    <col min="15628" max="15629" width="10.7265625" style="2593" customWidth="1"/>
    <col min="15630" max="15630" width="10" style="2593" customWidth="1"/>
    <col min="15631" max="15632" width="10.453125" style="2593" bestFit="1" customWidth="1"/>
    <col min="15633" max="15633" width="10" style="2593" customWidth="1"/>
    <col min="15634" max="15634" width="10.08984375" style="2593" customWidth="1"/>
    <col min="15635" max="15635" width="10" style="2593" customWidth="1"/>
    <col min="15636" max="15636" width="26.08984375" style="2593" customWidth="1"/>
    <col min="15637" max="15872" width="8.90625" style="2593"/>
    <col min="15873" max="15873" width="9.453125" style="2593" customWidth="1"/>
    <col min="15874" max="15874" width="8.90625" style="2593"/>
    <col min="15875" max="15877" width="12.90625" style="2593" customWidth="1"/>
    <col min="15878" max="15878" width="47.453125" style="2593" customWidth="1"/>
    <col min="15879" max="15879" width="13" style="2593" customWidth="1"/>
    <col min="15880" max="15881" width="8.90625" style="2593"/>
    <col min="15882" max="15882" width="5.7265625" style="2593" customWidth="1"/>
    <col min="15883" max="15883" width="11.7265625" style="2593" customWidth="1"/>
    <col min="15884" max="15885" width="10.7265625" style="2593" customWidth="1"/>
    <col min="15886" max="15886" width="10" style="2593" customWidth="1"/>
    <col min="15887" max="15888" width="10.453125" style="2593" bestFit="1" customWidth="1"/>
    <col min="15889" max="15889" width="10" style="2593" customWidth="1"/>
    <col min="15890" max="15890" width="10.08984375" style="2593" customWidth="1"/>
    <col min="15891" max="15891" width="10" style="2593" customWidth="1"/>
    <col min="15892" max="15892" width="26.08984375" style="2593" customWidth="1"/>
    <col min="15893" max="16128" width="8.90625" style="2593"/>
    <col min="16129" max="16129" width="9.453125" style="2593" customWidth="1"/>
    <col min="16130" max="16130" width="8.90625" style="2593"/>
    <col min="16131" max="16133" width="12.90625" style="2593" customWidth="1"/>
    <col min="16134" max="16134" width="47.453125" style="2593" customWidth="1"/>
    <col min="16135" max="16135" width="13" style="2593" customWidth="1"/>
    <col min="16136" max="16137" width="8.90625" style="2593"/>
    <col min="16138" max="16138" width="5.7265625" style="2593" customWidth="1"/>
    <col min="16139" max="16139" width="11.7265625" style="2593" customWidth="1"/>
    <col min="16140" max="16141" width="10.7265625" style="2593" customWidth="1"/>
    <col min="16142" max="16142" width="10" style="2593" customWidth="1"/>
    <col min="16143" max="16144" width="10.453125" style="2593" bestFit="1" customWidth="1"/>
    <col min="16145" max="16145" width="10" style="2593" customWidth="1"/>
    <col min="16146" max="16146" width="10.08984375" style="2593" customWidth="1"/>
    <col min="16147" max="16147" width="10" style="2593" customWidth="1"/>
    <col min="16148" max="16148" width="26.08984375" style="2593" customWidth="1"/>
    <col min="16149" max="16384" width="8.9062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3357</v>
      </c>
      <c r="E2" s="3139"/>
      <c r="F2" s="2597"/>
      <c r="G2" s="2598"/>
      <c r="H2" s="2599"/>
      <c r="I2" s="2600"/>
      <c r="J2" s="3381" t="s">
        <v>2317</v>
      </c>
      <c r="K2" s="3382"/>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83" t="s">
        <v>2327</v>
      </c>
      <c r="K3" s="3384"/>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83" t="s">
        <v>2329</v>
      </c>
      <c r="K4" s="3384"/>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89" t="s">
        <v>2333</v>
      </c>
      <c r="B6" s="3390"/>
      <c r="C6" s="3391"/>
      <c r="D6" s="2621"/>
      <c r="E6" s="2622"/>
      <c r="F6" s="2623"/>
      <c r="G6" s="2624"/>
      <c r="H6" s="2599"/>
      <c r="I6" s="2600"/>
      <c r="J6" s="3375">
        <v>1</v>
      </c>
      <c r="K6" s="3376"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75"/>
      <c r="K7" s="3377"/>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92" t="s">
        <v>2347</v>
      </c>
      <c r="C8" s="3393"/>
      <c r="D8" s="2640" t="s">
        <v>2348</v>
      </c>
      <c r="E8" s="2641" t="s">
        <v>2349</v>
      </c>
      <c r="F8" s="2642" t="s">
        <v>2350</v>
      </c>
      <c r="G8" s="2643"/>
      <c r="H8" s="2599"/>
      <c r="I8" s="2600"/>
      <c r="J8" s="3375"/>
      <c r="K8" s="3377"/>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92" t="s">
        <v>2353</v>
      </c>
      <c r="C9" s="3393"/>
      <c r="D9" s="2640">
        <f>ROUND(D6*E9,0)</f>
        <v>0</v>
      </c>
      <c r="E9" s="2644"/>
      <c r="F9" s="2645" t="s">
        <v>2354</v>
      </c>
      <c r="G9" s="2624"/>
      <c r="H9" s="2599"/>
      <c r="I9" s="2600"/>
      <c r="J9" s="3375"/>
      <c r="K9" s="3377"/>
      <c r="L9" s="2634" t="s">
        <v>2355</v>
      </c>
      <c r="M9" s="2635"/>
      <c r="N9" s="2611"/>
      <c r="O9" s="2636"/>
      <c r="P9" s="2636"/>
      <c r="Q9" s="2637">
        <v>365</v>
      </c>
      <c r="R9" s="2638">
        <f t="shared" si="0"/>
        <v>0</v>
      </c>
      <c r="S9" s="2592"/>
      <c r="T9" s="2592"/>
      <c r="U9" s="2592"/>
      <c r="V9" s="2600"/>
    </row>
    <row r="10" spans="1:22" s="2604" customFormat="1" ht="13.15" customHeight="1">
      <c r="A10" s="2639">
        <v>2</v>
      </c>
      <c r="B10" s="3392" t="s">
        <v>2356</v>
      </c>
      <c r="C10" s="3393"/>
      <c r="D10" s="2640">
        <f>ROUND(D6*E10,0)</f>
        <v>0</v>
      </c>
      <c r="E10" s="2644"/>
      <c r="F10" s="2645" t="s">
        <v>2357</v>
      </c>
      <c r="G10" s="2624"/>
      <c r="H10" s="2599"/>
      <c r="I10" s="2600"/>
      <c r="J10" s="3375"/>
      <c r="K10" s="3377"/>
      <c r="L10" s="2634" t="s">
        <v>2358</v>
      </c>
      <c r="M10" s="2635"/>
      <c r="N10" s="2611"/>
      <c r="O10" s="2636"/>
      <c r="P10" s="2636"/>
      <c r="Q10" s="2637">
        <v>365</v>
      </c>
      <c r="R10" s="2638">
        <f t="shared" si="0"/>
        <v>0</v>
      </c>
      <c r="S10" s="2592"/>
      <c r="T10" s="2592"/>
      <c r="U10" s="2592"/>
      <c r="V10" s="2600"/>
    </row>
    <row r="11" spans="1:22" s="2604" customFormat="1" ht="13.15" customHeight="1">
      <c r="A11" s="2639">
        <v>3</v>
      </c>
      <c r="B11" s="3392" t="s">
        <v>2359</v>
      </c>
      <c r="C11" s="3393"/>
      <c r="D11" s="2640">
        <f>D12+D14+D15+D16</f>
        <v>0</v>
      </c>
      <c r="E11" s="2646" t="e">
        <f>D11/D6</f>
        <v>#DIV/0!</v>
      </c>
      <c r="F11" s="2642"/>
      <c r="G11" s="2643"/>
      <c r="H11" s="2599"/>
      <c r="I11" s="2600"/>
      <c r="J11" s="3375"/>
      <c r="K11" s="3377"/>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85" t="s">
        <v>2362</v>
      </c>
      <c r="C12" s="3386"/>
      <c r="D12" s="2648">
        <f>ROUND(D13*1.2%*(1-30%),0)</f>
        <v>0</v>
      </c>
      <c r="E12" s="2649">
        <v>1.2E-2</v>
      </c>
      <c r="F12" s="2642" t="s">
        <v>2363</v>
      </c>
      <c r="G12" s="2643"/>
      <c r="H12" s="2599"/>
      <c r="I12" s="2600"/>
      <c r="J12" s="3375"/>
      <c r="K12" s="3377"/>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75"/>
      <c r="K13" s="3377"/>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85" t="s">
        <v>2368</v>
      </c>
      <c r="C14" s="3386"/>
      <c r="D14" s="2648">
        <f>ROUND(E14*B5/10000,0)</f>
        <v>0</v>
      </c>
      <c r="E14" s="2637"/>
      <c r="F14" s="2642" t="s">
        <v>2369</v>
      </c>
      <c r="G14" s="2643"/>
      <c r="H14" s="2599"/>
      <c r="I14" s="2600"/>
      <c r="J14" s="3375"/>
      <c r="K14" s="3378"/>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85" t="s">
        <v>2372</v>
      </c>
      <c r="C15" s="3386"/>
      <c r="D15" s="2648">
        <f>ROUND(D6*E15,0)</f>
        <v>0</v>
      </c>
      <c r="E15" s="2649">
        <v>5.5E-2</v>
      </c>
      <c r="F15" s="2642" t="s">
        <v>2373</v>
      </c>
      <c r="G15" s="2624"/>
      <c r="H15" s="2599"/>
      <c r="I15" s="2600"/>
      <c r="J15" s="3375">
        <v>2</v>
      </c>
      <c r="K15" s="3376"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85" t="s">
        <v>2381</v>
      </c>
      <c r="C16" s="3386"/>
      <c r="D16" s="2659">
        <f>D6*E16</f>
        <v>0</v>
      </c>
      <c r="E16" s="2660"/>
      <c r="F16" s="2645" t="s">
        <v>2382</v>
      </c>
      <c r="G16" s="2624"/>
      <c r="H16" s="2599"/>
      <c r="I16" s="2600"/>
      <c r="J16" s="3375"/>
      <c r="K16" s="3377"/>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87" t="s">
        <v>2384</v>
      </c>
      <c r="C17" s="3388"/>
      <c r="D17" s="2662">
        <f>ROUND(D6*E17,0)</f>
        <v>0</v>
      </c>
      <c r="E17" s="2663"/>
      <c r="F17" s="2664" t="s">
        <v>2385</v>
      </c>
      <c r="G17" s="2624"/>
      <c r="H17" s="2599"/>
      <c r="I17" s="2600"/>
      <c r="J17" s="3375"/>
      <c r="K17" s="3377"/>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75"/>
      <c r="K18" s="3377"/>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75"/>
      <c r="K19" s="3378"/>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75">
        <v>3</v>
      </c>
      <c r="K20" s="3376"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75"/>
      <c r="K21" s="3377"/>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75"/>
      <c r="K22" s="3377"/>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75"/>
      <c r="K23" s="3377"/>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75"/>
      <c r="K24" s="3378"/>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79">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80"/>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81" t="s">
        <v>2317</v>
      </c>
      <c r="K32" s="3382"/>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83" t="s">
        <v>2327</v>
      </c>
      <c r="K33" s="3384"/>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83" t="s">
        <v>2329</v>
      </c>
      <c r="K34" s="3384"/>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75">
        <v>1</v>
      </c>
      <c r="K36" s="3376"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75"/>
      <c r="K37" s="3377"/>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75"/>
      <c r="K38" s="3377"/>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75"/>
      <c r="K39" s="3377"/>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75"/>
      <c r="K40" s="3378"/>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79">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80"/>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5">
      <c r="A2" s="1728" t="s">
        <v>1462</v>
      </c>
      <c r="B2" s="811">
        <f ca="1">SUMIF(B6:B13,"&lt;&gt;#ref!",B6:B13)</f>
        <v>0</v>
      </c>
      <c r="C2" s="1729" t="s">
        <v>1651</v>
      </c>
      <c r="D2" s="1730" t="s">
        <v>1652</v>
      </c>
      <c r="E2" s="2393">
        <f>SUM(E6:E13)</f>
        <v>0</v>
      </c>
      <c r="F2" s="2479"/>
      <c r="G2" s="459"/>
      <c r="H2" s="459"/>
      <c r="I2" s="459"/>
      <c r="J2" s="459"/>
      <c r="K2" s="459"/>
      <c r="L2" s="459"/>
      <c r="M2" s="459"/>
      <c r="N2" s="459"/>
      <c r="O2" s="459"/>
      <c r="P2" s="459"/>
      <c r="Q2" s="459"/>
      <c r="R2" s="459"/>
      <c r="S2" s="459"/>
    </row>
    <row r="3" spans="1:22" ht="15.5">
      <c r="A3" s="1728" t="s">
        <v>686</v>
      </c>
      <c r="B3" s="2387" t="e">
        <f ca="1">ROUND(B2*10000/E2,0)</f>
        <v>#DIV/0!</v>
      </c>
      <c r="C3" s="1729" t="s">
        <v>1659</v>
      </c>
      <c r="D3" s="2479"/>
      <c r="E3" s="2482"/>
      <c r="F3" s="2479"/>
      <c r="G3" s="459"/>
      <c r="H3" s="459"/>
      <c r="I3" s="459"/>
      <c r="J3" s="459"/>
      <c r="K3" s="459"/>
      <c r="L3" s="459"/>
      <c r="M3" s="459"/>
      <c r="N3" s="459"/>
      <c r="O3" s="459"/>
      <c r="P3" s="459"/>
      <c r="Q3" s="459"/>
      <c r="R3" s="459"/>
      <c r="S3" s="459"/>
    </row>
    <row r="4" spans="1:22" ht="15.5">
      <c r="A4" s="2483"/>
      <c r="B4" s="2479"/>
      <c r="C4" s="2479"/>
      <c r="D4" s="2479"/>
      <c r="E4" s="2482"/>
      <c r="F4" s="2479"/>
      <c r="G4" s="459"/>
      <c r="H4" s="459"/>
      <c r="I4" s="459"/>
      <c r="J4" s="459"/>
      <c r="K4" s="459"/>
      <c r="L4" s="459"/>
      <c r="M4" s="459"/>
      <c r="N4" s="459"/>
      <c r="O4" s="459"/>
      <c r="P4" s="459"/>
      <c r="Q4" s="459"/>
      <c r="R4" s="459"/>
      <c r="S4" s="459"/>
    </row>
    <row r="5" spans="1:22">
      <c r="A5" s="2389" t="s">
        <v>1653</v>
      </c>
      <c r="B5" s="3394" t="s">
        <v>1654</v>
      </c>
      <c r="C5" s="3395"/>
      <c r="D5" s="2480"/>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79"/>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G5" sqref="G5:H5"/>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960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c r="A4" s="345" t="s">
        <v>1666</v>
      </c>
      <c r="B4" s="346"/>
      <c r="C4" s="3414" t="s">
        <v>1667</v>
      </c>
      <c r="D4" s="3415"/>
      <c r="E4" s="3416" t="s">
        <v>1668</v>
      </c>
      <c r="F4" s="3417"/>
      <c r="G4" s="3414" t="s">
        <v>1669</v>
      </c>
      <c r="H4" s="3415"/>
      <c r="I4" s="3414" t="s">
        <v>1670</v>
      </c>
      <c r="J4" s="3415"/>
      <c r="K4" s="1744" t="s">
        <v>1671</v>
      </c>
      <c r="L4" s="2486"/>
      <c r="M4" s="2487"/>
      <c r="N4" s="2487"/>
      <c r="O4" s="2487"/>
      <c r="P4" s="3418" t="s">
        <v>1672</v>
      </c>
      <c r="Q4" s="3419"/>
      <c r="R4" s="3424" t="s">
        <v>1668</v>
      </c>
      <c r="S4" s="3425"/>
      <c r="T4" s="3424" t="s">
        <v>1669</v>
      </c>
      <c r="U4" s="3425"/>
      <c r="V4" s="3400" t="s">
        <v>1670</v>
      </c>
      <c r="W4" s="3400"/>
      <c r="X4" s="1265"/>
      <c r="Y4" s="3424" t="s">
        <v>1672</v>
      </c>
      <c r="Z4" s="3425"/>
      <c r="AA4" s="3411" t="s">
        <v>1668</v>
      </c>
      <c r="AB4" s="3411" t="s">
        <v>1669</v>
      </c>
      <c r="AC4" s="3411" t="s">
        <v>1670</v>
      </c>
    </row>
    <row r="5" spans="1:29">
      <c r="A5" s="348"/>
      <c r="B5" s="349"/>
      <c r="C5" s="3432" t="s">
        <v>1673</v>
      </c>
      <c r="D5" s="3433"/>
      <c r="E5" s="3439" t="s">
        <v>1674</v>
      </c>
      <c r="F5" s="3440"/>
      <c r="G5" s="3432" t="s">
        <v>1675</v>
      </c>
      <c r="H5" s="3433"/>
      <c r="I5" s="3432" t="s">
        <v>1676</v>
      </c>
      <c r="J5" s="3433"/>
      <c r="K5" s="1745"/>
      <c r="L5" s="2486"/>
      <c r="M5" s="2487"/>
      <c r="N5" s="2487"/>
      <c r="O5" s="2487"/>
      <c r="P5" s="3420"/>
      <c r="Q5" s="3421"/>
      <c r="R5" s="3426"/>
      <c r="S5" s="3427"/>
      <c r="T5" s="3426"/>
      <c r="U5" s="3427"/>
      <c r="V5" s="3400"/>
      <c r="W5" s="3400"/>
      <c r="X5" s="1265"/>
      <c r="Y5" s="3426"/>
      <c r="Z5" s="3427"/>
      <c r="AA5" s="3412"/>
      <c r="AB5" s="3412"/>
      <c r="AC5" s="3412"/>
    </row>
    <row r="6" spans="1:29" ht="15" thickBot="1">
      <c r="A6" s="350"/>
      <c r="B6" s="351"/>
      <c r="C6" s="3430" t="s">
        <v>1677</v>
      </c>
      <c r="D6" s="3431"/>
      <c r="E6" s="3437" t="s">
        <v>1677</v>
      </c>
      <c r="F6" s="3438"/>
      <c r="G6" s="3430" t="s">
        <v>1677</v>
      </c>
      <c r="H6" s="3431"/>
      <c r="I6" s="3430" t="s">
        <v>1677</v>
      </c>
      <c r="J6" s="3431"/>
      <c r="K6" s="1745" t="s">
        <v>1678</v>
      </c>
      <c r="L6" s="2486"/>
      <c r="M6" s="2487"/>
      <c r="N6" s="2487"/>
      <c r="O6" s="2487"/>
      <c r="P6" s="3422"/>
      <c r="Q6" s="3423"/>
      <c r="R6" s="3426"/>
      <c r="S6" s="3427"/>
      <c r="T6" s="3428"/>
      <c r="U6" s="3429"/>
      <c r="V6" s="3400"/>
      <c r="W6" s="3400"/>
      <c r="X6" s="1265"/>
      <c r="Y6" s="3428"/>
      <c r="Z6" s="3429"/>
      <c r="AA6" s="3413"/>
      <c r="AB6" s="3413"/>
      <c r="AC6" s="3413"/>
    </row>
    <row r="7" spans="1:29" s="102" customFormat="1" ht="14.5" thickBot="1">
      <c r="A7" s="352" t="s">
        <v>1679</v>
      </c>
      <c r="B7" s="353"/>
      <c r="C7" s="354">
        <f>'数据-取费表'!B2</f>
        <v>45967</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34" t="s">
        <v>1680</v>
      </c>
      <c r="Q7" s="3436"/>
      <c r="R7" s="664" t="s">
        <v>20</v>
      </c>
      <c r="S7" s="665">
        <f t="shared" ref="S7:S15" si="0">F7</f>
        <v>0</v>
      </c>
      <c r="T7" s="664" t="s">
        <v>20</v>
      </c>
      <c r="U7" s="665">
        <f t="shared" ref="U7:U15" si="1">H7</f>
        <v>0</v>
      </c>
      <c r="V7" s="664" t="s">
        <v>20</v>
      </c>
      <c r="W7" s="665">
        <f t="shared" ref="W7:W15" si="2">J7</f>
        <v>0</v>
      </c>
      <c r="X7" s="666"/>
      <c r="Y7" s="3434" t="s">
        <v>1680</v>
      </c>
      <c r="Z7" s="3435"/>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34" t="s">
        <v>1683</v>
      </c>
      <c r="Q8" s="3435"/>
      <c r="R8" s="664" t="s">
        <v>20</v>
      </c>
      <c r="S8" s="665">
        <f t="shared" si="0"/>
        <v>100</v>
      </c>
      <c r="T8" s="664" t="s">
        <v>20</v>
      </c>
      <c r="U8" s="665">
        <f t="shared" si="1"/>
        <v>100</v>
      </c>
      <c r="V8" s="664" t="s">
        <v>20</v>
      </c>
      <c r="W8" s="665">
        <f t="shared" si="2"/>
        <v>100</v>
      </c>
      <c r="X8" s="666"/>
      <c r="Y8" s="3434" t="s">
        <v>1683</v>
      </c>
      <c r="Z8" s="343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10"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10"/>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10"/>
      <c r="Q11" s="530" t="str">
        <f t="shared" si="6"/>
        <v>容积率</v>
      </c>
      <c r="R11" s="664" t="s">
        <v>18</v>
      </c>
      <c r="S11" s="665" t="e">
        <f t="shared" si="0"/>
        <v>#N/A</v>
      </c>
      <c r="T11" s="664" t="s">
        <v>18</v>
      </c>
      <c r="U11" s="665" t="e">
        <f t="shared" si="1"/>
        <v>#N/A</v>
      </c>
      <c r="V11" s="664" t="s">
        <v>18</v>
      </c>
      <c r="W11" s="665" t="e">
        <f t="shared" si="2"/>
        <v>#N/A</v>
      </c>
      <c r="X11" s="666"/>
      <c r="Y11" s="3274"/>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10"/>
      <c r="Q12" s="530">
        <f t="shared" si="6"/>
        <v>111</v>
      </c>
      <c r="R12" s="664" t="s">
        <v>18</v>
      </c>
      <c r="S12" s="665">
        <f t="shared" si="0"/>
        <v>100</v>
      </c>
      <c r="T12" s="664" t="s">
        <v>18</v>
      </c>
      <c r="U12" s="665">
        <f t="shared" si="1"/>
        <v>100</v>
      </c>
      <c r="V12" s="664" t="s">
        <v>18</v>
      </c>
      <c r="W12" s="665">
        <f t="shared" si="2"/>
        <v>100</v>
      </c>
      <c r="X12" s="666"/>
      <c r="Y12" s="3274"/>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10"/>
      <c r="Q13" s="530">
        <f t="shared" si="6"/>
        <v>111</v>
      </c>
      <c r="R13" s="664" t="s">
        <v>18</v>
      </c>
      <c r="S13" s="665">
        <f t="shared" si="0"/>
        <v>100</v>
      </c>
      <c r="T13" s="664" t="s">
        <v>18</v>
      </c>
      <c r="U13" s="665">
        <f t="shared" si="1"/>
        <v>100</v>
      </c>
      <c r="V13" s="664" t="s">
        <v>18</v>
      </c>
      <c r="W13" s="665">
        <f t="shared" si="2"/>
        <v>100</v>
      </c>
      <c r="X13" s="666"/>
      <c r="Y13" s="3274"/>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10"/>
      <c r="Q14" s="530">
        <f t="shared" si="6"/>
        <v>111</v>
      </c>
      <c r="R14" s="664" t="s">
        <v>18</v>
      </c>
      <c r="S14" s="665">
        <f t="shared" si="0"/>
        <v>100</v>
      </c>
      <c r="T14" s="664" t="s">
        <v>18</v>
      </c>
      <c r="U14" s="665">
        <f t="shared" si="1"/>
        <v>100</v>
      </c>
      <c r="V14" s="664" t="s">
        <v>18</v>
      </c>
      <c r="W14" s="665">
        <f t="shared" si="2"/>
        <v>100</v>
      </c>
      <c r="X14" s="666"/>
      <c r="Y14" s="3274"/>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8" t="s">
        <v>1691</v>
      </c>
      <c r="Q15" s="1263" t="str">
        <f t="shared" si="6"/>
        <v>居住社区成熟度</v>
      </c>
      <c r="R15" s="667" t="s">
        <v>18</v>
      </c>
      <c r="S15" s="668">
        <f t="shared" si="0"/>
        <v>100</v>
      </c>
      <c r="T15" s="667" t="s">
        <v>18</v>
      </c>
      <c r="U15" s="668">
        <f t="shared" si="1"/>
        <v>100</v>
      </c>
      <c r="V15" s="667" t="s">
        <v>18</v>
      </c>
      <c r="W15" s="668">
        <f t="shared" si="2"/>
        <v>100</v>
      </c>
      <c r="X15" s="1265"/>
      <c r="Y15" s="3401"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2"/>
      <c r="M16" s="2487"/>
      <c r="N16" s="2487"/>
      <c r="O16" s="2487"/>
      <c r="P16" s="3409"/>
      <c r="Q16" s="1263"/>
      <c r="R16" s="667"/>
      <c r="S16" s="668"/>
      <c r="T16" s="667"/>
      <c r="U16" s="668"/>
      <c r="V16" s="667"/>
      <c r="W16" s="668"/>
      <c r="X16" s="1265"/>
      <c r="Y16" s="3402"/>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09"/>
      <c r="Q17" s="1263" t="str">
        <f>B17</f>
        <v>交通便捷度</v>
      </c>
      <c r="R17" s="667" t="s">
        <v>18</v>
      </c>
      <c r="S17" s="668">
        <f>F17</f>
        <v>100</v>
      </c>
      <c r="T17" s="667" t="s">
        <v>18</v>
      </c>
      <c r="U17" s="668">
        <f>H17</f>
        <v>100</v>
      </c>
      <c r="V17" s="667" t="s">
        <v>18</v>
      </c>
      <c r="W17" s="668">
        <f>J17</f>
        <v>100</v>
      </c>
      <c r="X17" s="1265"/>
      <c r="Y17" s="3402"/>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2"/>
      <c r="M18" s="2487"/>
      <c r="N18" s="2487"/>
      <c r="O18" s="2487"/>
      <c r="P18" s="3409"/>
      <c r="Q18" s="1263"/>
      <c r="R18" s="667"/>
      <c r="S18" s="668"/>
      <c r="T18" s="667"/>
      <c r="U18" s="668"/>
      <c r="V18" s="667"/>
      <c r="W18" s="668"/>
      <c r="X18" s="1265"/>
      <c r="Y18" s="3402"/>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09"/>
      <c r="Q19" s="1263" t="str">
        <f>B19</f>
        <v>公共配套设施</v>
      </c>
      <c r="R19" s="667" t="s">
        <v>18</v>
      </c>
      <c r="S19" s="668">
        <f>F19</f>
        <v>100</v>
      </c>
      <c r="T19" s="667" t="s">
        <v>18</v>
      </c>
      <c r="U19" s="668">
        <f>H19</f>
        <v>100</v>
      </c>
      <c r="V19" s="667" t="s">
        <v>18</v>
      </c>
      <c r="W19" s="668">
        <f>J19</f>
        <v>100</v>
      </c>
      <c r="X19" s="1265"/>
      <c r="Y19" s="3402"/>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2"/>
      <c r="M20" s="2487"/>
      <c r="N20" s="2487"/>
      <c r="O20" s="2487"/>
      <c r="P20" s="3409"/>
      <c r="Q20" s="1263"/>
      <c r="R20" s="667"/>
      <c r="S20" s="668"/>
      <c r="T20" s="667"/>
      <c r="U20" s="668"/>
      <c r="V20" s="667"/>
      <c r="W20" s="668"/>
      <c r="X20" s="1265"/>
      <c r="Y20" s="3402"/>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2"/>
      <c r="M22" s="2487"/>
      <c r="N22" s="2487"/>
      <c r="O22" s="2487"/>
      <c r="P22" s="3409"/>
      <c r="Q22" s="1263"/>
      <c r="R22" s="667"/>
      <c r="S22" s="668"/>
      <c r="T22" s="667"/>
      <c r="U22" s="668"/>
      <c r="V22" s="667"/>
      <c r="W22" s="668"/>
      <c r="X22" s="1265"/>
      <c r="Y22" s="3402"/>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09"/>
      <c r="Q23" s="1263" t="str">
        <f>B23</f>
        <v>自然及人文环境</v>
      </c>
      <c r="R23" s="667" t="s">
        <v>18</v>
      </c>
      <c r="S23" s="668">
        <f>F23</f>
        <v>100</v>
      </c>
      <c r="T23" s="667" t="s">
        <v>18</v>
      </c>
      <c r="U23" s="668">
        <f>H23</f>
        <v>100</v>
      </c>
      <c r="V23" s="667" t="s">
        <v>18</v>
      </c>
      <c r="W23" s="668">
        <f>J23</f>
        <v>100</v>
      </c>
      <c r="X23" s="1265"/>
      <c r="Y23" s="3402"/>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2"/>
      <c r="M24" s="2487"/>
      <c r="N24" s="2487"/>
      <c r="O24" s="2487"/>
      <c r="P24" s="3409"/>
      <c r="Q24" s="1263"/>
      <c r="R24" s="667"/>
      <c r="S24" s="668"/>
      <c r="T24" s="667"/>
      <c r="U24" s="668"/>
      <c r="V24" s="667"/>
      <c r="W24" s="668"/>
      <c r="X24" s="1265"/>
      <c r="Y24" s="3402"/>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0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2"/>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09"/>
      <c r="Q26" s="1263" t="str">
        <f t="shared" si="11"/>
        <v>朝向</v>
      </c>
      <c r="R26" s="667" t="s">
        <v>18</v>
      </c>
      <c r="S26" s="668">
        <f t="shared" si="12"/>
        <v>100</v>
      </c>
      <c r="T26" s="667" t="s">
        <v>18</v>
      </c>
      <c r="U26" s="668">
        <f t="shared" si="13"/>
        <v>100</v>
      </c>
      <c r="V26" s="667" t="s">
        <v>18</v>
      </c>
      <c r="W26" s="668">
        <f t="shared" si="14"/>
        <v>100</v>
      </c>
      <c r="X26" s="1265"/>
      <c r="Y26" s="3402"/>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09"/>
      <c r="Q27" s="530">
        <f t="shared" si="11"/>
        <v>111</v>
      </c>
      <c r="R27" s="664" t="s">
        <v>18</v>
      </c>
      <c r="S27" s="665">
        <f t="shared" si="12"/>
        <v>100</v>
      </c>
      <c r="T27" s="664" t="s">
        <v>18</v>
      </c>
      <c r="U27" s="665">
        <f t="shared" si="13"/>
        <v>100</v>
      </c>
      <c r="V27" s="664" t="s">
        <v>18</v>
      </c>
      <c r="W27" s="665">
        <f t="shared" si="14"/>
        <v>100</v>
      </c>
      <c r="X27" s="666"/>
      <c r="Y27" s="3402"/>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09"/>
      <c r="Q28" s="1263">
        <f t="shared" si="11"/>
        <v>111</v>
      </c>
      <c r="R28" s="667" t="s">
        <v>18</v>
      </c>
      <c r="S28" s="668">
        <f t="shared" si="12"/>
        <v>100</v>
      </c>
      <c r="T28" s="667" t="s">
        <v>18</v>
      </c>
      <c r="U28" s="668">
        <f t="shared" si="13"/>
        <v>100</v>
      </c>
      <c r="V28" s="667" t="s">
        <v>18</v>
      </c>
      <c r="W28" s="668">
        <f t="shared" si="14"/>
        <v>100</v>
      </c>
      <c r="X28" s="1265"/>
      <c r="Y28" s="3402"/>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09"/>
      <c r="Q29" s="1263">
        <f t="shared" si="11"/>
        <v>111</v>
      </c>
      <c r="R29" s="667" t="s">
        <v>18</v>
      </c>
      <c r="S29" s="668">
        <f t="shared" si="12"/>
        <v>100</v>
      </c>
      <c r="T29" s="667" t="s">
        <v>18</v>
      </c>
      <c r="U29" s="668">
        <f t="shared" si="13"/>
        <v>100</v>
      </c>
      <c r="V29" s="667" t="s">
        <v>18</v>
      </c>
      <c r="W29" s="668">
        <f t="shared" si="14"/>
        <v>100</v>
      </c>
      <c r="X29" s="1265"/>
      <c r="Y29" s="3402"/>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09"/>
      <c r="Q30" s="1263">
        <f t="shared" si="11"/>
        <v>111</v>
      </c>
      <c r="R30" s="667" t="s">
        <v>18</v>
      </c>
      <c r="S30" s="668">
        <f t="shared" si="12"/>
        <v>100</v>
      </c>
      <c r="T30" s="667" t="s">
        <v>18</v>
      </c>
      <c r="U30" s="668">
        <f t="shared" si="13"/>
        <v>100</v>
      </c>
      <c r="V30" s="667" t="s">
        <v>18</v>
      </c>
      <c r="W30" s="668">
        <f t="shared" si="14"/>
        <v>100</v>
      </c>
      <c r="X30" s="1265"/>
      <c r="Y30" s="3402"/>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09"/>
      <c r="Q31" s="1263">
        <f t="shared" si="11"/>
        <v>111</v>
      </c>
      <c r="R31" s="667" t="s">
        <v>18</v>
      </c>
      <c r="S31" s="668">
        <f t="shared" si="12"/>
        <v>100</v>
      </c>
      <c r="T31" s="667" t="s">
        <v>18</v>
      </c>
      <c r="U31" s="668">
        <f t="shared" si="13"/>
        <v>100</v>
      </c>
      <c r="V31" s="667" t="s">
        <v>18</v>
      </c>
      <c r="W31" s="668">
        <f t="shared" si="14"/>
        <v>100</v>
      </c>
      <c r="X31" s="1265"/>
      <c r="Y31" s="3402"/>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03" t="s">
        <v>1696</v>
      </c>
      <c r="Q32" s="1263" t="str">
        <f t="shared" si="11"/>
        <v>建筑类型</v>
      </c>
      <c r="R32" s="667" t="s">
        <v>18</v>
      </c>
      <c r="S32" s="668">
        <f t="shared" si="12"/>
        <v>100</v>
      </c>
      <c r="T32" s="667" t="s">
        <v>18</v>
      </c>
      <c r="U32" s="668">
        <f t="shared" si="13"/>
        <v>100</v>
      </c>
      <c r="V32" s="667" t="s">
        <v>18</v>
      </c>
      <c r="W32" s="668">
        <f t="shared" si="14"/>
        <v>100</v>
      </c>
      <c r="X32" s="1265"/>
      <c r="Y32" s="3406"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04"/>
      <c r="Q33" s="531" t="str">
        <f t="shared" si="11"/>
        <v>项目建筑规模</v>
      </c>
      <c r="R33" s="669" t="s">
        <v>18</v>
      </c>
      <c r="S33" s="670" t="e">
        <f t="shared" si="12"/>
        <v>#N/A</v>
      </c>
      <c r="T33" s="669" t="s">
        <v>18</v>
      </c>
      <c r="U33" s="670" t="e">
        <f t="shared" si="13"/>
        <v>#N/A</v>
      </c>
      <c r="V33" s="669" t="s">
        <v>18</v>
      </c>
      <c r="W33" s="670" t="e">
        <f t="shared" si="14"/>
        <v>#N/A</v>
      </c>
      <c r="X33" s="671"/>
      <c r="Y33" s="3406"/>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04"/>
      <c r="Q34" s="1263" t="str">
        <f t="shared" si="11"/>
        <v>建筑结构</v>
      </c>
      <c r="R34" s="667" t="s">
        <v>18</v>
      </c>
      <c r="S34" s="668">
        <f t="shared" si="12"/>
        <v>100</v>
      </c>
      <c r="T34" s="667" t="s">
        <v>18</v>
      </c>
      <c r="U34" s="668">
        <f t="shared" si="13"/>
        <v>100</v>
      </c>
      <c r="V34" s="667" t="s">
        <v>18</v>
      </c>
      <c r="W34" s="668">
        <f t="shared" si="14"/>
        <v>100</v>
      </c>
      <c r="X34" s="1265"/>
      <c r="Y34" s="3406"/>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04"/>
      <c r="Q35" s="1263" t="str">
        <f t="shared" si="11"/>
        <v>建筑品质</v>
      </c>
      <c r="R35" s="667" t="s">
        <v>18</v>
      </c>
      <c r="S35" s="668">
        <f t="shared" si="12"/>
        <v>100</v>
      </c>
      <c r="T35" s="667" t="s">
        <v>18</v>
      </c>
      <c r="U35" s="668">
        <f t="shared" si="13"/>
        <v>100</v>
      </c>
      <c r="V35" s="667" t="s">
        <v>18</v>
      </c>
      <c r="W35" s="668">
        <f t="shared" si="14"/>
        <v>100</v>
      </c>
      <c r="X35" s="1265"/>
      <c r="Y35" s="3406"/>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04"/>
      <c r="Q36" s="1263" t="str">
        <f t="shared" si="11"/>
        <v>公共部分装修</v>
      </c>
      <c r="R36" s="667" t="s">
        <v>18</v>
      </c>
      <c r="S36" s="668">
        <f t="shared" si="12"/>
        <v>100</v>
      </c>
      <c r="T36" s="667" t="s">
        <v>18</v>
      </c>
      <c r="U36" s="668">
        <f t="shared" si="13"/>
        <v>100</v>
      </c>
      <c r="V36" s="667" t="s">
        <v>18</v>
      </c>
      <c r="W36" s="668">
        <f t="shared" si="14"/>
        <v>100</v>
      </c>
      <c r="X36" s="1265"/>
      <c r="Y36" s="3406"/>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04"/>
      <c r="Q37" s="530" t="str">
        <f t="shared" si="11"/>
        <v>成新度</v>
      </c>
      <c r="R37" s="664" t="s">
        <v>18</v>
      </c>
      <c r="S37" s="665" t="e">
        <f t="shared" si="12"/>
        <v>#N/A</v>
      </c>
      <c r="T37" s="664" t="s">
        <v>18</v>
      </c>
      <c r="U37" s="665" t="e">
        <f t="shared" si="13"/>
        <v>#N/A</v>
      </c>
      <c r="V37" s="664" t="s">
        <v>18</v>
      </c>
      <c r="W37" s="665" t="e">
        <f t="shared" si="14"/>
        <v>#N/A</v>
      </c>
      <c r="X37" s="666"/>
      <c r="Y37" s="3406"/>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04" t="s">
        <v>1696</v>
      </c>
      <c r="Q38" s="1263" t="str">
        <f t="shared" si="11"/>
        <v>物业管理</v>
      </c>
      <c r="R38" s="667" t="s">
        <v>18</v>
      </c>
      <c r="S38" s="668">
        <f t="shared" si="12"/>
        <v>100</v>
      </c>
      <c r="T38" s="667" t="s">
        <v>18</v>
      </c>
      <c r="U38" s="668">
        <f t="shared" si="13"/>
        <v>100</v>
      </c>
      <c r="V38" s="667" t="s">
        <v>18</v>
      </c>
      <c r="W38" s="668">
        <f t="shared" si="14"/>
        <v>100</v>
      </c>
      <c r="X38" s="1265"/>
      <c r="Y38" s="3406"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04"/>
      <c r="Q39" s="1263" t="str">
        <f t="shared" si="11"/>
        <v>市政基础设施</v>
      </c>
      <c r="R39" s="667" t="s">
        <v>18</v>
      </c>
      <c r="S39" s="668">
        <f t="shared" si="12"/>
        <v>100</v>
      </c>
      <c r="T39" s="667" t="s">
        <v>18</v>
      </c>
      <c r="U39" s="668">
        <f t="shared" si="13"/>
        <v>100</v>
      </c>
      <c r="V39" s="667" t="s">
        <v>18</v>
      </c>
      <c r="W39" s="668">
        <f t="shared" si="14"/>
        <v>100</v>
      </c>
      <c r="X39" s="1265"/>
      <c r="Y39" s="3406"/>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04"/>
      <c r="Q40" s="1263" t="str">
        <f t="shared" si="11"/>
        <v>房型</v>
      </c>
      <c r="R40" s="667" t="s">
        <v>18</v>
      </c>
      <c r="S40" s="668">
        <f t="shared" si="12"/>
        <v>100</v>
      </c>
      <c r="T40" s="667" t="s">
        <v>18</v>
      </c>
      <c r="U40" s="668">
        <f t="shared" si="13"/>
        <v>100</v>
      </c>
      <c r="V40" s="667" t="s">
        <v>18</v>
      </c>
      <c r="W40" s="668">
        <f t="shared" si="14"/>
        <v>100</v>
      </c>
      <c r="X40" s="1265"/>
      <c r="Y40" s="340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04"/>
      <c r="Q41" s="531" t="str">
        <f t="shared" si="11"/>
        <v>单套/主力户型建筑面积</v>
      </c>
      <c r="R41" s="669" t="s">
        <v>18</v>
      </c>
      <c r="S41" s="670">
        <f t="shared" si="12"/>
        <v>100</v>
      </c>
      <c r="T41" s="669" t="s">
        <v>18</v>
      </c>
      <c r="U41" s="670">
        <f t="shared" si="13"/>
        <v>100</v>
      </c>
      <c r="V41" s="669" t="s">
        <v>18</v>
      </c>
      <c r="W41" s="670">
        <f t="shared" si="14"/>
        <v>100</v>
      </c>
      <c r="X41" s="671"/>
      <c r="Y41" s="3406"/>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04"/>
      <c r="Q42" s="1263" t="str">
        <f t="shared" si="11"/>
        <v>内部装修</v>
      </c>
      <c r="R42" s="667" t="s">
        <v>18</v>
      </c>
      <c r="S42" s="668">
        <f t="shared" si="12"/>
        <v>100</v>
      </c>
      <c r="T42" s="667" t="s">
        <v>18</v>
      </c>
      <c r="U42" s="668">
        <f t="shared" si="13"/>
        <v>100</v>
      </c>
      <c r="V42" s="667" t="s">
        <v>18</v>
      </c>
      <c r="W42" s="668">
        <f t="shared" si="14"/>
        <v>100</v>
      </c>
      <c r="X42" s="1265"/>
      <c r="Y42" s="3406"/>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04"/>
      <c r="Q43" s="1263" t="str">
        <f t="shared" si="11"/>
        <v>内部装修维护情况</v>
      </c>
      <c r="R43" s="667" t="s">
        <v>18</v>
      </c>
      <c r="S43" s="668">
        <f t="shared" si="12"/>
        <v>100</v>
      </c>
      <c r="T43" s="667" t="s">
        <v>18</v>
      </c>
      <c r="U43" s="668">
        <f t="shared" si="13"/>
        <v>100</v>
      </c>
      <c r="V43" s="667" t="s">
        <v>18</v>
      </c>
      <c r="W43" s="668">
        <f t="shared" si="14"/>
        <v>100</v>
      </c>
      <c r="X43" s="1265"/>
      <c r="Y43" s="3406"/>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04"/>
      <c r="Q44" s="530">
        <f t="shared" si="11"/>
        <v>111</v>
      </c>
      <c r="R44" s="664" t="s">
        <v>18</v>
      </c>
      <c r="S44" s="665">
        <f t="shared" si="12"/>
        <v>100</v>
      </c>
      <c r="T44" s="664" t="s">
        <v>18</v>
      </c>
      <c r="U44" s="665">
        <f t="shared" si="13"/>
        <v>100</v>
      </c>
      <c r="V44" s="664" t="s">
        <v>18</v>
      </c>
      <c r="W44" s="665">
        <f t="shared" si="14"/>
        <v>100</v>
      </c>
      <c r="X44" s="666"/>
      <c r="Y44" s="3406"/>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04"/>
      <c r="Q45" s="1263">
        <f t="shared" si="11"/>
        <v>111</v>
      </c>
      <c r="R45" s="667" t="s">
        <v>18</v>
      </c>
      <c r="S45" s="668">
        <f t="shared" si="12"/>
        <v>100</v>
      </c>
      <c r="T45" s="667" t="s">
        <v>18</v>
      </c>
      <c r="U45" s="668">
        <f t="shared" si="13"/>
        <v>100</v>
      </c>
      <c r="V45" s="667" t="s">
        <v>18</v>
      </c>
      <c r="W45" s="668">
        <f t="shared" si="14"/>
        <v>100</v>
      </c>
      <c r="X45" s="1265"/>
      <c r="Y45" s="3406"/>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05"/>
      <c r="Q46" s="1263">
        <f t="shared" si="11"/>
        <v>111</v>
      </c>
      <c r="R46" s="667" t="s">
        <v>17</v>
      </c>
      <c r="S46" s="668">
        <f t="shared" si="12"/>
        <v>100</v>
      </c>
      <c r="T46" s="667" t="s">
        <v>17</v>
      </c>
      <c r="U46" s="668">
        <f t="shared" si="13"/>
        <v>100</v>
      </c>
      <c r="V46" s="667" t="s">
        <v>17</v>
      </c>
      <c r="W46" s="668">
        <f t="shared" si="14"/>
        <v>100</v>
      </c>
      <c r="X46" s="1265"/>
      <c r="Y46" s="3407"/>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4"/>
      <c r="M47" s="2487"/>
      <c r="N47" s="2487"/>
      <c r="O47" s="2487"/>
      <c r="P47" s="3399" t="str">
        <f>A47</f>
        <v>成交单价（元/平方米）</v>
      </c>
      <c r="Q47" s="3399"/>
      <c r="R47" s="3400">
        <f>E47</f>
        <v>0</v>
      </c>
      <c r="S47" s="3400"/>
      <c r="T47" s="3400">
        <f>G47</f>
        <v>0</v>
      </c>
      <c r="U47" s="3400"/>
      <c r="V47" s="3400">
        <f>I47</f>
        <v>0</v>
      </c>
      <c r="W47" s="3400"/>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4"/>
      <c r="M49" s="2487"/>
      <c r="N49" s="2487"/>
      <c r="O49" s="2487"/>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960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c r="A4" s="345" t="s">
        <v>1769</v>
      </c>
      <c r="B4" s="346"/>
      <c r="C4" s="3414" t="s">
        <v>1770</v>
      </c>
      <c r="D4" s="3415"/>
      <c r="E4" s="3416" t="s">
        <v>1771</v>
      </c>
      <c r="F4" s="3417"/>
      <c r="G4" s="3414" t="s">
        <v>1772</v>
      </c>
      <c r="H4" s="3415"/>
      <c r="I4" s="3414" t="s">
        <v>1773</v>
      </c>
      <c r="J4" s="3415"/>
      <c r="K4" s="537" t="s">
        <v>1774</v>
      </c>
      <c r="L4" s="2486"/>
      <c r="M4" s="2487"/>
      <c r="N4" s="2487"/>
      <c r="O4" s="2487"/>
      <c r="P4" s="3418" t="s">
        <v>1775</v>
      </c>
      <c r="Q4" s="3419"/>
      <c r="R4" s="3424" t="s">
        <v>1771</v>
      </c>
      <c r="S4" s="3425"/>
      <c r="T4" s="3424" t="s">
        <v>1772</v>
      </c>
      <c r="U4" s="3425"/>
      <c r="V4" s="3400" t="s">
        <v>1773</v>
      </c>
      <c r="W4" s="3400"/>
      <c r="X4" s="1265"/>
      <c r="Y4" s="3424" t="s">
        <v>1775</v>
      </c>
      <c r="Z4" s="3425"/>
      <c r="AA4" s="3411" t="s">
        <v>1771</v>
      </c>
      <c r="AB4" s="3400" t="s">
        <v>1772</v>
      </c>
      <c r="AC4" s="3411" t="s">
        <v>1773</v>
      </c>
    </row>
    <row r="5" spans="1:29">
      <c r="A5" s="348"/>
      <c r="B5" s="349"/>
      <c r="C5" s="3432" t="s">
        <v>1673</v>
      </c>
      <c r="D5" s="3433"/>
      <c r="E5" s="3439" t="s">
        <v>1674</v>
      </c>
      <c r="F5" s="3440"/>
      <c r="G5" s="3432" t="s">
        <v>1675</v>
      </c>
      <c r="H5" s="3433"/>
      <c r="I5" s="3432" t="s">
        <v>1676</v>
      </c>
      <c r="J5" s="3433"/>
      <c r="K5" s="537"/>
      <c r="L5" s="2486"/>
      <c r="M5" s="2487"/>
      <c r="N5" s="2487"/>
      <c r="O5" s="2487"/>
      <c r="P5" s="3420"/>
      <c r="Q5" s="3421"/>
      <c r="R5" s="3426"/>
      <c r="S5" s="3427"/>
      <c r="T5" s="3426"/>
      <c r="U5" s="3427"/>
      <c r="V5" s="3400"/>
      <c r="W5" s="3400"/>
      <c r="X5" s="1265"/>
      <c r="Y5" s="3426"/>
      <c r="Z5" s="3427"/>
      <c r="AA5" s="3412"/>
      <c r="AB5" s="3400"/>
      <c r="AC5" s="3412"/>
    </row>
    <row r="6" spans="1:29" ht="15" thickBot="1">
      <c r="A6" s="350"/>
      <c r="B6" s="351"/>
      <c r="C6" s="3430" t="s">
        <v>1677</v>
      </c>
      <c r="D6" s="3431"/>
      <c r="E6" s="3437" t="s">
        <v>1677</v>
      </c>
      <c r="F6" s="3438"/>
      <c r="G6" s="3430" t="s">
        <v>1677</v>
      </c>
      <c r="H6" s="3431"/>
      <c r="I6" s="3430" t="s">
        <v>1677</v>
      </c>
      <c r="J6" s="3431"/>
      <c r="K6" s="537" t="s">
        <v>1678</v>
      </c>
      <c r="L6" s="2486"/>
      <c r="M6" s="2487"/>
      <c r="N6" s="2487"/>
      <c r="O6" s="2487"/>
      <c r="P6" s="3422"/>
      <c r="Q6" s="3423"/>
      <c r="R6" s="3426"/>
      <c r="S6" s="3427"/>
      <c r="T6" s="3428"/>
      <c r="U6" s="3429"/>
      <c r="V6" s="3400"/>
      <c r="W6" s="3400"/>
      <c r="X6" s="1265"/>
      <c r="Y6" s="3428"/>
      <c r="Z6" s="3429"/>
      <c r="AA6" s="3413"/>
      <c r="AB6" s="3400"/>
      <c r="AC6" s="3413"/>
    </row>
    <row r="7" spans="1:29" s="102" customFormat="1" ht="14.5" thickBot="1">
      <c r="A7" s="352" t="s">
        <v>1679</v>
      </c>
      <c r="B7" s="353"/>
      <c r="C7" s="354">
        <f>'数据-取费表'!B2</f>
        <v>45967</v>
      </c>
      <c r="D7" s="355">
        <v>100</v>
      </c>
      <c r="E7" s="356"/>
      <c r="F7" s="357">
        <f>SUMIF(58:58,YEAR(E7)&amp;"-"&amp;MONTH(E7),59:59)</f>
        <v>0</v>
      </c>
      <c r="G7" s="356"/>
      <c r="H7" s="355">
        <f>SUMIF(58:58,YEAR(G7)&amp;"-"&amp;MONTH(G7),59:59)</f>
        <v>0</v>
      </c>
      <c r="I7" s="356"/>
      <c r="J7" s="355">
        <f>SUMIF(58:58,YEAR(I7)&amp;"-"&amp;MONTH(I7),59:59)</f>
        <v>0</v>
      </c>
      <c r="K7" s="38"/>
      <c r="L7" s="2488"/>
      <c r="M7" s="2440"/>
      <c r="N7" s="2440"/>
      <c r="O7" s="2440"/>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34" t="s">
        <v>1683</v>
      </c>
      <c r="Q8" s="3435"/>
      <c r="R8" s="664" t="s">
        <v>14</v>
      </c>
      <c r="S8" s="665">
        <f t="shared" si="0"/>
        <v>100</v>
      </c>
      <c r="T8" s="664" t="s">
        <v>14</v>
      </c>
      <c r="U8" s="665">
        <f t="shared" si="1"/>
        <v>100</v>
      </c>
      <c r="V8" s="664" t="s">
        <v>14</v>
      </c>
      <c r="W8" s="665">
        <f t="shared" si="2"/>
        <v>100</v>
      </c>
      <c r="X8" s="666"/>
      <c r="Y8" s="3434" t="s">
        <v>1683</v>
      </c>
      <c r="Z8" s="343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410"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10"/>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10"/>
      <c r="Q11" s="530" t="str">
        <f t="shared" si="6"/>
        <v>容积率</v>
      </c>
      <c r="R11" s="664" t="s">
        <v>14</v>
      </c>
      <c r="S11" s="665" t="e">
        <f t="shared" si="0"/>
        <v>#N/A</v>
      </c>
      <c r="T11" s="664" t="s">
        <v>14</v>
      </c>
      <c r="U11" s="665" t="e">
        <f t="shared" si="1"/>
        <v>#N/A</v>
      </c>
      <c r="V11" s="664" t="s">
        <v>14</v>
      </c>
      <c r="W11" s="665" t="e">
        <f t="shared" si="2"/>
        <v>#N/A</v>
      </c>
      <c r="X11" s="666"/>
      <c r="Y11" s="3274"/>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10"/>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10"/>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10"/>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08" t="s">
        <v>1691</v>
      </c>
      <c r="Q15" s="1263" t="str">
        <f t="shared" si="6"/>
        <v>商业繁华度</v>
      </c>
      <c r="R15" s="667" t="s">
        <v>14</v>
      </c>
      <c r="S15" s="668">
        <f t="shared" si="0"/>
        <v>100</v>
      </c>
      <c r="T15" s="667" t="s">
        <v>14</v>
      </c>
      <c r="U15" s="668">
        <f t="shared" si="1"/>
        <v>100</v>
      </c>
      <c r="V15" s="667" t="s">
        <v>14</v>
      </c>
      <c r="W15" s="668">
        <f t="shared" si="2"/>
        <v>100</v>
      </c>
      <c r="X15" s="1265"/>
      <c r="Y15" s="3401"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2"/>
      <c r="M16" s="2487"/>
      <c r="N16" s="2487"/>
      <c r="O16" s="2487"/>
      <c r="P16" s="3409"/>
      <c r="Q16" s="1263"/>
      <c r="R16" s="667"/>
      <c r="S16" s="668"/>
      <c r="T16" s="667"/>
      <c r="U16" s="668"/>
      <c r="V16" s="667"/>
      <c r="W16" s="668"/>
      <c r="X16" s="1265"/>
      <c r="Y16" s="3402"/>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09"/>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2"/>
      <c r="M18" s="2487"/>
      <c r="N18" s="2487"/>
      <c r="O18" s="2487"/>
      <c r="P18" s="3409"/>
      <c r="Q18" s="1263"/>
      <c r="R18" s="667"/>
      <c r="S18" s="668"/>
      <c r="T18" s="667"/>
      <c r="U18" s="668"/>
      <c r="V18" s="667"/>
      <c r="W18" s="668"/>
      <c r="X18" s="1265"/>
      <c r="Y18" s="3402"/>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09"/>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2"/>
      <c r="M20" s="2487"/>
      <c r="N20" s="2487"/>
      <c r="O20" s="2487"/>
      <c r="P20" s="3409"/>
      <c r="Q20" s="1263"/>
      <c r="R20" s="667"/>
      <c r="S20" s="668"/>
      <c r="T20" s="667"/>
      <c r="U20" s="668"/>
      <c r="V20" s="667"/>
      <c r="W20" s="668"/>
      <c r="X20" s="1265"/>
      <c r="Y20" s="3402"/>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2"/>
      <c r="M22" s="2487"/>
      <c r="N22" s="2487"/>
      <c r="O22" s="2487"/>
      <c r="P22" s="3409"/>
      <c r="Q22" s="1263"/>
      <c r="R22" s="667"/>
      <c r="S22" s="668"/>
      <c r="T22" s="667"/>
      <c r="U22" s="668"/>
      <c r="V22" s="667"/>
      <c r="W22" s="668"/>
      <c r="X22" s="1265"/>
      <c r="Y22" s="3402"/>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09"/>
      <c r="Q23" s="1263" t="str">
        <f>B23</f>
        <v>自然及人文环境</v>
      </c>
      <c r="R23" s="667" t="s">
        <v>14</v>
      </c>
      <c r="S23" s="668">
        <f>F23</f>
        <v>100</v>
      </c>
      <c r="T23" s="667" t="s">
        <v>14</v>
      </c>
      <c r="U23" s="668">
        <f>H23</f>
        <v>100</v>
      </c>
      <c r="V23" s="667" t="s">
        <v>14</v>
      </c>
      <c r="W23" s="668">
        <f>J23</f>
        <v>100</v>
      </c>
      <c r="X23" s="1265"/>
      <c r="Y23" s="3402"/>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2"/>
      <c r="M24" s="2487"/>
      <c r="N24" s="2487"/>
      <c r="O24" s="2487"/>
      <c r="P24" s="3409"/>
      <c r="Q24" s="1263"/>
      <c r="R24" s="667"/>
      <c r="S24" s="668"/>
      <c r="T24" s="667"/>
      <c r="U24" s="668"/>
      <c r="V24" s="667"/>
      <c r="W24" s="668"/>
      <c r="X24" s="1265"/>
      <c r="Y24" s="3402"/>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09"/>
      <c r="Q25" s="1263" t="str">
        <f t="shared" ref="Q25:Q46" si="11">B25</f>
        <v>临街状况</v>
      </c>
      <c r="R25" s="667" t="s">
        <v>14</v>
      </c>
      <c r="S25" s="668">
        <f>F25</f>
        <v>100</v>
      </c>
      <c r="T25" s="667" t="s">
        <v>14</v>
      </c>
      <c r="U25" s="668">
        <f>H25</f>
        <v>100</v>
      </c>
      <c r="V25" s="667" t="s">
        <v>14</v>
      </c>
      <c r="W25" s="668">
        <f>J25</f>
        <v>100</v>
      </c>
      <c r="X25" s="1265"/>
      <c r="Y25" s="3402"/>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09"/>
      <c r="Q26" s="1263" t="str">
        <f t="shared" si="11"/>
        <v>平面位置/可视性</v>
      </c>
      <c r="R26" s="667" t="s">
        <v>14</v>
      </c>
      <c r="S26" s="668">
        <f>F26</f>
        <v>100</v>
      </c>
      <c r="T26" s="667" t="s">
        <v>14</v>
      </c>
      <c r="U26" s="668">
        <f>H26</f>
        <v>100</v>
      </c>
      <c r="V26" s="667" t="s">
        <v>14</v>
      </c>
      <c r="W26" s="668">
        <f>J26</f>
        <v>100</v>
      </c>
      <c r="X26" s="1265"/>
      <c r="Y26" s="3402"/>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09"/>
      <c r="Q27" s="530" t="str">
        <f t="shared" si="11"/>
        <v>人流量</v>
      </c>
      <c r="R27" s="664" t="s">
        <v>14</v>
      </c>
      <c r="S27" s="665">
        <f>F27</f>
        <v>100</v>
      </c>
      <c r="T27" s="664" t="s">
        <v>14</v>
      </c>
      <c r="U27" s="665">
        <f>H27</f>
        <v>100</v>
      </c>
      <c r="V27" s="664" t="s">
        <v>14</v>
      </c>
      <c r="W27" s="665">
        <f>J27</f>
        <v>100</v>
      </c>
      <c r="X27" s="666"/>
      <c r="Y27" s="3402"/>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0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2"/>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9"/>
      <c r="Q29" s="1263">
        <f t="shared" si="11"/>
        <v>111</v>
      </c>
      <c r="R29" s="667" t="s">
        <v>14</v>
      </c>
      <c r="S29" s="668">
        <f t="shared" si="12"/>
        <v>100</v>
      </c>
      <c r="T29" s="667" t="s">
        <v>14</v>
      </c>
      <c r="U29" s="668">
        <f t="shared" si="13"/>
        <v>100</v>
      </c>
      <c r="V29" s="667" t="s">
        <v>14</v>
      </c>
      <c r="W29" s="668">
        <f t="shared" si="14"/>
        <v>100</v>
      </c>
      <c r="X29" s="1265"/>
      <c r="Y29" s="3402"/>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9"/>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9"/>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03" t="s">
        <v>1696</v>
      </c>
      <c r="Q32" s="1263" t="str">
        <f t="shared" si="11"/>
        <v>商业类型</v>
      </c>
      <c r="R32" s="667" t="s">
        <v>14</v>
      </c>
      <c r="S32" s="668">
        <f t="shared" si="12"/>
        <v>100</v>
      </c>
      <c r="T32" s="667" t="s">
        <v>14</v>
      </c>
      <c r="U32" s="668">
        <f t="shared" si="13"/>
        <v>100</v>
      </c>
      <c r="V32" s="667" t="s">
        <v>14</v>
      </c>
      <c r="W32" s="668">
        <f t="shared" si="14"/>
        <v>100</v>
      </c>
      <c r="X32" s="1265"/>
      <c r="Y32" s="3406"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04"/>
      <c r="Q33" s="531" t="str">
        <f t="shared" si="11"/>
        <v>项目建筑规模</v>
      </c>
      <c r="R33" s="669" t="s">
        <v>14</v>
      </c>
      <c r="S33" s="670" t="e">
        <f t="shared" si="12"/>
        <v>#N/A</v>
      </c>
      <c r="T33" s="669" t="s">
        <v>14</v>
      </c>
      <c r="U33" s="670" t="e">
        <f t="shared" si="13"/>
        <v>#N/A</v>
      </c>
      <c r="V33" s="669" t="s">
        <v>14</v>
      </c>
      <c r="W33" s="670" t="e">
        <f t="shared" si="14"/>
        <v>#N/A</v>
      </c>
      <c r="X33" s="671"/>
      <c r="Y33" s="3406"/>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04"/>
      <c r="Q34" s="1263" t="str">
        <f t="shared" si="11"/>
        <v>建筑结构</v>
      </c>
      <c r="R34" s="667" t="s">
        <v>14</v>
      </c>
      <c r="S34" s="668">
        <f t="shared" si="12"/>
        <v>100</v>
      </c>
      <c r="T34" s="667" t="s">
        <v>14</v>
      </c>
      <c r="U34" s="668">
        <f t="shared" si="13"/>
        <v>100</v>
      </c>
      <c r="V34" s="667" t="s">
        <v>14</v>
      </c>
      <c r="W34" s="668">
        <f t="shared" si="14"/>
        <v>100</v>
      </c>
      <c r="X34" s="1265"/>
      <c r="Y34" s="3406"/>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04"/>
      <c r="Q35" s="1263" t="str">
        <f t="shared" si="11"/>
        <v>公共部分装修</v>
      </c>
      <c r="R35" s="667" t="s">
        <v>14</v>
      </c>
      <c r="S35" s="668">
        <f t="shared" si="12"/>
        <v>100</v>
      </c>
      <c r="T35" s="667" t="s">
        <v>14</v>
      </c>
      <c r="U35" s="668">
        <f t="shared" si="13"/>
        <v>100</v>
      </c>
      <c r="V35" s="667" t="s">
        <v>14</v>
      </c>
      <c r="W35" s="668">
        <f t="shared" si="14"/>
        <v>100</v>
      </c>
      <c r="X35" s="1265"/>
      <c r="Y35" s="3406"/>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04"/>
      <c r="Q36" s="1263" t="str">
        <f t="shared" si="11"/>
        <v>成新度</v>
      </c>
      <c r="R36" s="667" t="s">
        <v>14</v>
      </c>
      <c r="S36" s="668" t="e">
        <f t="shared" si="12"/>
        <v>#N/A</v>
      </c>
      <c r="T36" s="667" t="s">
        <v>14</v>
      </c>
      <c r="U36" s="668" t="e">
        <f t="shared" si="13"/>
        <v>#N/A</v>
      </c>
      <c r="V36" s="667" t="s">
        <v>14</v>
      </c>
      <c r="W36" s="668" t="e">
        <f t="shared" si="14"/>
        <v>#N/A</v>
      </c>
      <c r="X36" s="1265"/>
      <c r="Y36" s="3406"/>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04"/>
      <c r="Q37" s="530" t="str">
        <f t="shared" si="11"/>
        <v>市政基础设施</v>
      </c>
      <c r="R37" s="664" t="s">
        <v>14</v>
      </c>
      <c r="S37" s="665">
        <f t="shared" si="12"/>
        <v>100</v>
      </c>
      <c r="T37" s="664" t="s">
        <v>14</v>
      </c>
      <c r="U37" s="665">
        <f t="shared" si="13"/>
        <v>100</v>
      </c>
      <c r="V37" s="664" t="s">
        <v>14</v>
      </c>
      <c r="W37" s="665">
        <f t="shared" si="14"/>
        <v>100</v>
      </c>
      <c r="X37" s="666"/>
      <c r="Y37" s="3406"/>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04" t="s">
        <v>1696</v>
      </c>
      <c r="Q38" s="1263" t="str">
        <f t="shared" si="11"/>
        <v>业态</v>
      </c>
      <c r="R38" s="667" t="s">
        <v>14</v>
      </c>
      <c r="S38" s="668">
        <f t="shared" si="12"/>
        <v>100</v>
      </c>
      <c r="T38" s="667" t="s">
        <v>14</v>
      </c>
      <c r="U38" s="668">
        <f t="shared" si="13"/>
        <v>100</v>
      </c>
      <c r="V38" s="667" t="s">
        <v>14</v>
      </c>
      <c r="W38" s="668">
        <f t="shared" si="14"/>
        <v>100</v>
      </c>
      <c r="X38" s="1265"/>
      <c r="Y38" s="3406"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04"/>
      <c r="Q39" s="1263" t="str">
        <f t="shared" si="11"/>
        <v>层高</v>
      </c>
      <c r="R39" s="667" t="s">
        <v>14</v>
      </c>
      <c r="S39" s="668">
        <f t="shared" si="12"/>
        <v>100</v>
      </c>
      <c r="T39" s="667" t="s">
        <v>14</v>
      </c>
      <c r="U39" s="668">
        <f t="shared" si="13"/>
        <v>100</v>
      </c>
      <c r="V39" s="667" t="s">
        <v>14</v>
      </c>
      <c r="W39" s="668">
        <f t="shared" si="14"/>
        <v>100</v>
      </c>
      <c r="X39" s="1265"/>
      <c r="Y39" s="3406"/>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04"/>
      <c r="Q40" s="1263" t="str">
        <f t="shared" si="11"/>
        <v>单套建筑面积</v>
      </c>
      <c r="R40" s="667" t="s">
        <v>14</v>
      </c>
      <c r="S40" s="668">
        <f t="shared" si="12"/>
        <v>100</v>
      </c>
      <c r="T40" s="667" t="s">
        <v>14</v>
      </c>
      <c r="U40" s="668">
        <f t="shared" si="13"/>
        <v>100</v>
      </c>
      <c r="V40" s="667" t="s">
        <v>14</v>
      </c>
      <c r="W40" s="668">
        <f t="shared" si="14"/>
        <v>100</v>
      </c>
      <c r="X40" s="1265"/>
      <c r="Y40" s="3406"/>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04"/>
      <c r="Q41" s="531" t="str">
        <f t="shared" si="11"/>
        <v>进深比</v>
      </c>
      <c r="R41" s="669" t="s">
        <v>14</v>
      </c>
      <c r="S41" s="670">
        <f t="shared" si="12"/>
        <v>100</v>
      </c>
      <c r="T41" s="669" t="s">
        <v>14</v>
      </c>
      <c r="U41" s="670">
        <f t="shared" si="13"/>
        <v>100</v>
      </c>
      <c r="V41" s="669" t="s">
        <v>14</v>
      </c>
      <c r="W41" s="670">
        <f t="shared" si="14"/>
        <v>100</v>
      </c>
      <c r="X41" s="671"/>
      <c r="Y41" s="3406"/>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04"/>
      <c r="Q42" s="1263" t="str">
        <f t="shared" si="11"/>
        <v>内部装修</v>
      </c>
      <c r="R42" s="667" t="s">
        <v>14</v>
      </c>
      <c r="S42" s="668">
        <f t="shared" si="12"/>
        <v>100</v>
      </c>
      <c r="T42" s="667" t="s">
        <v>14</v>
      </c>
      <c r="U42" s="668">
        <f t="shared" si="13"/>
        <v>100</v>
      </c>
      <c r="V42" s="667" t="s">
        <v>14</v>
      </c>
      <c r="W42" s="668">
        <f t="shared" si="14"/>
        <v>100</v>
      </c>
      <c r="X42" s="1265"/>
      <c r="Y42" s="3406"/>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04"/>
      <c r="Q43" s="1263" t="str">
        <f t="shared" si="11"/>
        <v>内部装修维护情况</v>
      </c>
      <c r="R43" s="667" t="s">
        <v>14</v>
      </c>
      <c r="S43" s="668">
        <f t="shared" si="12"/>
        <v>100</v>
      </c>
      <c r="T43" s="667" t="s">
        <v>14</v>
      </c>
      <c r="U43" s="668">
        <f t="shared" si="13"/>
        <v>100</v>
      </c>
      <c r="V43" s="667" t="s">
        <v>14</v>
      </c>
      <c r="W43" s="668">
        <f t="shared" si="14"/>
        <v>100</v>
      </c>
      <c r="X43" s="1265"/>
      <c r="Y43" s="3406"/>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04"/>
      <c r="Q44" s="530">
        <f t="shared" si="11"/>
        <v>111</v>
      </c>
      <c r="R44" s="664" t="s">
        <v>14</v>
      </c>
      <c r="S44" s="665">
        <f t="shared" si="12"/>
        <v>100</v>
      </c>
      <c r="T44" s="664" t="s">
        <v>14</v>
      </c>
      <c r="U44" s="665">
        <f t="shared" si="13"/>
        <v>100</v>
      </c>
      <c r="V44" s="664" t="s">
        <v>14</v>
      </c>
      <c r="W44" s="665">
        <f t="shared" si="14"/>
        <v>100</v>
      </c>
      <c r="X44" s="666"/>
      <c r="Y44" s="3406"/>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4"/>
      <c r="Q45" s="1263">
        <f t="shared" si="11"/>
        <v>111</v>
      </c>
      <c r="R45" s="667" t="s">
        <v>14</v>
      </c>
      <c r="S45" s="668">
        <f t="shared" si="12"/>
        <v>100</v>
      </c>
      <c r="T45" s="667" t="s">
        <v>14</v>
      </c>
      <c r="U45" s="668">
        <f t="shared" si="13"/>
        <v>100</v>
      </c>
      <c r="V45" s="667" t="s">
        <v>14</v>
      </c>
      <c r="W45" s="668">
        <f t="shared" si="14"/>
        <v>100</v>
      </c>
      <c r="X45" s="1265"/>
      <c r="Y45" s="3406"/>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5"/>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4"/>
      <c r="M47" s="2487"/>
      <c r="N47" s="2487"/>
      <c r="O47" s="2487"/>
      <c r="P47" s="3399" t="str">
        <f>A47</f>
        <v>成交单价（元/平方米）</v>
      </c>
      <c r="Q47" s="3399"/>
      <c r="R47" s="3400">
        <f>E47</f>
        <v>0</v>
      </c>
      <c r="S47" s="3400"/>
      <c r="T47" s="3400">
        <f>G47</f>
        <v>0</v>
      </c>
      <c r="U47" s="3400"/>
      <c r="V47" s="3400">
        <f>I47</f>
        <v>0</v>
      </c>
      <c r="W47" s="3400"/>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4"/>
      <c r="M49" s="2487"/>
      <c r="N49" s="2487"/>
      <c r="O49" s="2487"/>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tabSelected="1" view="pageBreakPreview" topLeftCell="A37" zoomScale="90" zoomScaleNormal="70" zoomScaleSheetLayoutView="90" workbookViewId="0">
      <selection activeCell="E52" sqref="E52"/>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7.453125" style="347" customWidth="1"/>
    <col min="6" max="6" width="12.26953125" style="347" customWidth="1"/>
    <col min="7" max="7" width="17" style="347" customWidth="1"/>
    <col min="8" max="8" width="12.26953125" style="347" customWidth="1"/>
    <col min="9" max="9" width="18.3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t="s">
        <v>21</v>
      </c>
      <c r="E1" s="3131" t="s">
        <v>3425</v>
      </c>
      <c r="F1" s="1735" t="s">
        <v>3426</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0.35420000000000001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3.69</v>
      </c>
      <c r="C3" s="344" t="s">
        <v>1768</v>
      </c>
      <c r="D3" s="343">
        <f>IF(D1="",'数据-汇总表'!E3,SUMIF('数据-汇总表'!$C19:$C33,D1,'数据-汇总表'!$E19:$E33))</f>
        <v>960</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1769</v>
      </c>
      <c r="B4" s="346"/>
      <c r="C4" s="3414" t="s">
        <v>1770</v>
      </c>
      <c r="D4" s="3415"/>
      <c r="E4" s="3416" t="s">
        <v>1771</v>
      </c>
      <c r="F4" s="3417"/>
      <c r="G4" s="3414" t="s">
        <v>1772</v>
      </c>
      <c r="H4" s="3415"/>
      <c r="I4" s="3414" t="s">
        <v>1773</v>
      </c>
      <c r="J4" s="3415"/>
      <c r="K4" s="537" t="s">
        <v>1774</v>
      </c>
      <c r="L4" s="2486"/>
      <c r="M4" s="2487"/>
      <c r="N4" s="2487"/>
      <c r="O4" s="2487"/>
      <c r="P4" s="3447" t="s">
        <v>1775</v>
      </c>
      <c r="Q4" s="3448"/>
      <c r="R4" s="3451" t="s">
        <v>1771</v>
      </c>
      <c r="S4" s="3452"/>
      <c r="T4" s="3451" t="s">
        <v>1772</v>
      </c>
      <c r="U4" s="3452"/>
      <c r="V4" s="3453" t="s">
        <v>1773</v>
      </c>
      <c r="W4" s="3453"/>
      <c r="X4" s="1809"/>
      <c r="Y4" s="3451" t="s">
        <v>1775</v>
      </c>
      <c r="Z4" s="3452"/>
      <c r="AA4" s="3456" t="s">
        <v>1771</v>
      </c>
      <c r="AB4" s="3456" t="s">
        <v>1772</v>
      </c>
      <c r="AC4" s="3444" t="s">
        <v>1773</v>
      </c>
    </row>
    <row r="5" spans="1:29" ht="14.15" customHeight="1">
      <c r="A5" s="348"/>
      <c r="B5" s="349"/>
      <c r="C5" s="3455" t="s">
        <v>3428</v>
      </c>
      <c r="D5" s="3433"/>
      <c r="E5" s="3455" t="s">
        <v>3428</v>
      </c>
      <c r="F5" s="3433"/>
      <c r="G5" s="3432" t="str">
        <f>办公租金案例!$U$11</f>
        <v>和协科技大厦</v>
      </c>
      <c r="H5" s="3433"/>
      <c r="I5" s="3432" t="str">
        <f>办公租金案例!U12</f>
        <v>新兴产业联盟大厦</v>
      </c>
      <c r="J5" s="3433"/>
      <c r="K5" s="537"/>
      <c r="L5" s="2486"/>
      <c r="M5" s="2487"/>
      <c r="N5" s="2487"/>
      <c r="O5" s="2487"/>
      <c r="P5" s="3449"/>
      <c r="Q5" s="3421"/>
      <c r="R5" s="3426"/>
      <c r="S5" s="3427"/>
      <c r="T5" s="3426"/>
      <c r="U5" s="3427"/>
      <c r="V5" s="3400"/>
      <c r="W5" s="3400"/>
      <c r="X5" s="1265"/>
      <c r="Y5" s="3426"/>
      <c r="Z5" s="3427"/>
      <c r="AA5" s="3412"/>
      <c r="AB5" s="3412"/>
      <c r="AC5" s="3445"/>
    </row>
    <row r="6" spans="1:29" ht="15" thickBot="1">
      <c r="A6" s="350"/>
      <c r="B6" s="351"/>
      <c r="C6" s="3430" t="s">
        <v>1677</v>
      </c>
      <c r="D6" s="3431"/>
      <c r="E6" s="3437" t="s">
        <v>1677</v>
      </c>
      <c r="F6" s="3438"/>
      <c r="G6" s="3430" t="s">
        <v>1677</v>
      </c>
      <c r="H6" s="3431"/>
      <c r="I6" s="3430" t="s">
        <v>1677</v>
      </c>
      <c r="J6" s="3431"/>
      <c r="K6" s="537" t="s">
        <v>1678</v>
      </c>
      <c r="L6" s="2486"/>
      <c r="M6" s="2487"/>
      <c r="N6" s="2487"/>
      <c r="O6" s="2487"/>
      <c r="P6" s="3450"/>
      <c r="Q6" s="3423"/>
      <c r="R6" s="3426"/>
      <c r="S6" s="3427"/>
      <c r="T6" s="3428"/>
      <c r="U6" s="3429"/>
      <c r="V6" s="3400"/>
      <c r="W6" s="3400"/>
      <c r="X6" s="1265"/>
      <c r="Y6" s="3428"/>
      <c r="Z6" s="3429"/>
      <c r="AA6" s="3413"/>
      <c r="AB6" s="3413"/>
      <c r="AC6" s="3446"/>
    </row>
    <row r="7" spans="1:29" s="102" customFormat="1" ht="14.5" thickBot="1">
      <c r="A7" s="352" t="s">
        <v>1679</v>
      </c>
      <c r="B7" s="353"/>
      <c r="C7" s="354">
        <f>'数据-取费表'!B2</f>
        <v>45967</v>
      </c>
      <c r="D7" s="355">
        <v>100</v>
      </c>
      <c r="E7" s="356">
        <f>C7</f>
        <v>45967</v>
      </c>
      <c r="F7" s="357">
        <f>SUMIF(59:59,YEAR(E7)&amp;"-"&amp;MONTH(E7),60:60)</f>
        <v>100</v>
      </c>
      <c r="G7" s="356">
        <f>C7</f>
        <v>45967</v>
      </c>
      <c r="H7" s="355">
        <f>SUMIF(59:59,YEAR(G7)&amp;"-"&amp;MONTH(G7),60:60)</f>
        <v>100</v>
      </c>
      <c r="I7" s="356">
        <f>C7</f>
        <v>45967</v>
      </c>
      <c r="J7" s="355">
        <f>SUMIF(59:59,YEAR(I7)&amp;"-"&amp;MONTH(I7),60:60)</f>
        <v>100</v>
      </c>
      <c r="K7" s="38"/>
      <c r="L7" s="2488"/>
      <c r="M7" s="2440"/>
      <c r="N7" s="2440"/>
      <c r="O7" s="2440"/>
      <c r="P7" s="3454" t="s">
        <v>1680</v>
      </c>
      <c r="Q7" s="3436"/>
      <c r="R7" s="664" t="s">
        <v>14</v>
      </c>
      <c r="S7" s="665">
        <f t="shared" ref="S7:S15" si="0">F7</f>
        <v>100</v>
      </c>
      <c r="T7" s="664" t="s">
        <v>14</v>
      </c>
      <c r="U7" s="665">
        <f t="shared" ref="U7:U15" si="1">H7</f>
        <v>100</v>
      </c>
      <c r="V7" s="664" t="s">
        <v>14</v>
      </c>
      <c r="W7" s="665">
        <f t="shared" ref="W7:W15" si="2">J7</f>
        <v>100</v>
      </c>
      <c r="X7" s="666"/>
      <c r="Y7" s="3434" t="s">
        <v>1680</v>
      </c>
      <c r="Z7" s="3435"/>
      <c r="AA7" s="50">
        <f>D7/F7</f>
        <v>1</v>
      </c>
      <c r="AB7" s="50">
        <f>D7/H7</f>
        <v>1</v>
      </c>
      <c r="AC7" s="802">
        <f>D7/J7</f>
        <v>1</v>
      </c>
    </row>
    <row r="8" spans="1:29" s="102" customFormat="1" ht="14.5" thickBot="1">
      <c r="A8" s="352" t="s">
        <v>1681</v>
      </c>
      <c r="B8" s="353"/>
      <c r="C8" s="358" t="s">
        <v>3427</v>
      </c>
      <c r="D8" s="355">
        <v>100</v>
      </c>
      <c r="E8" s="358" t="s">
        <v>3438</v>
      </c>
      <c r="F8" s="357">
        <f>SUMIF(62:62,E8,63:63)-SUMIF(62:62,C8,63:63)+100</f>
        <v>105</v>
      </c>
      <c r="G8" s="358" t="s">
        <v>3438</v>
      </c>
      <c r="H8" s="355">
        <f>SUMIF(62:62,G8,63:63)-SUMIF(62:62,C8,63:63)+100</f>
        <v>105</v>
      </c>
      <c r="I8" s="358" t="s">
        <v>3438</v>
      </c>
      <c r="J8" s="355">
        <f>SUMIF(62:62,I8,63:63)-SUMIF(62:62,C8,63:63)+100</f>
        <v>105</v>
      </c>
      <c r="K8" s="38"/>
      <c r="L8" s="2488"/>
      <c r="M8" s="2440"/>
      <c r="N8" s="2440"/>
      <c r="O8" s="2440"/>
      <c r="P8" s="3454" t="s">
        <v>1683</v>
      </c>
      <c r="Q8" s="3435"/>
      <c r="R8" s="664" t="s">
        <v>14</v>
      </c>
      <c r="S8" s="665">
        <f t="shared" si="0"/>
        <v>105</v>
      </c>
      <c r="T8" s="664" t="s">
        <v>14</v>
      </c>
      <c r="U8" s="665">
        <f t="shared" si="1"/>
        <v>105</v>
      </c>
      <c r="V8" s="664" t="s">
        <v>14</v>
      </c>
      <c r="W8" s="665">
        <f t="shared" si="2"/>
        <v>105</v>
      </c>
      <c r="X8" s="666"/>
      <c r="Y8" s="3434" t="s">
        <v>1683</v>
      </c>
      <c r="Z8" s="3435"/>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72" t="s">
        <v>3440</v>
      </c>
      <c r="D9" s="59">
        <v>100</v>
      </c>
      <c r="E9" s="362" t="s">
        <v>21</v>
      </c>
      <c r="F9" s="59">
        <f>SUMIF(64:64,E9,65:65)-SUMIF(64:64,C9,65:65)+100</f>
        <v>100</v>
      </c>
      <c r="G9" s="362" t="s">
        <v>21</v>
      </c>
      <c r="H9" s="59">
        <f>SUMIF(64:64,G9,65:65)-SUMIF(64:64,C9,65:65)+100</f>
        <v>100</v>
      </c>
      <c r="I9" s="362" t="s">
        <v>21</v>
      </c>
      <c r="J9" s="59">
        <f>SUMIF(64:64,I9,65:65)-SUMIF(64:64,C9,65:65)+100</f>
        <v>100</v>
      </c>
      <c r="K9" s="38"/>
      <c r="L9" s="2488"/>
      <c r="M9" s="2440"/>
      <c r="N9" s="2440"/>
      <c r="O9" s="2440"/>
      <c r="P9" s="3410"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802">
        <f t="shared" si="5"/>
        <v>1</v>
      </c>
    </row>
    <row r="10" spans="1:29" s="366" customFormat="1" ht="28">
      <c r="A10" s="363"/>
      <c r="B10" s="364" t="s">
        <v>1688</v>
      </c>
      <c r="C10" s="3132"/>
      <c r="D10" s="119">
        <v>100</v>
      </c>
      <c r="E10" s="3178"/>
      <c r="F10" s="119">
        <f>SUMIF(66:66,E10,67:67)-SUMIF(66:66,C10,67:67)+100</f>
        <v>100</v>
      </c>
      <c r="G10" s="3178"/>
      <c r="H10" s="119">
        <f>SUMIF(66:66,G10,67:67)-SUMIF(66:66,C10,67:67)+100</f>
        <v>100</v>
      </c>
      <c r="I10" s="3178"/>
      <c r="J10" s="119">
        <f>SUMIF(66:66,I10,67:67)-SUMIF(66:66,C10,67:67)+100</f>
        <v>100</v>
      </c>
      <c r="K10" s="38"/>
      <c r="L10" s="2489"/>
      <c r="M10" s="2490"/>
      <c r="N10" s="2490"/>
      <c r="O10" s="2490"/>
      <c r="P10" s="3410"/>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10"/>
      <c r="Q11" s="530" t="str">
        <f t="shared" si="6"/>
        <v>容积率</v>
      </c>
      <c r="R11" s="664" t="s">
        <v>14</v>
      </c>
      <c r="S11" s="665">
        <f t="shared" si="0"/>
        <v>100</v>
      </c>
      <c r="T11" s="664" t="s">
        <v>14</v>
      </c>
      <c r="U11" s="665">
        <f t="shared" si="1"/>
        <v>100</v>
      </c>
      <c r="V11" s="664" t="s">
        <v>14</v>
      </c>
      <c r="W11" s="665">
        <f t="shared" si="2"/>
        <v>100</v>
      </c>
      <c r="X11" s="666"/>
      <c r="Y11" s="3274"/>
      <c r="Z11" s="50" t="str">
        <f t="shared" si="7"/>
        <v>容积率</v>
      </c>
      <c r="AA11" s="50">
        <f t="shared" si="3"/>
        <v>1</v>
      </c>
      <c r="AB11" s="50">
        <f t="shared" si="4"/>
        <v>1</v>
      </c>
      <c r="AC11" s="802">
        <f t="shared" si="5"/>
        <v>1</v>
      </c>
    </row>
    <row r="12" spans="1:29" s="102" customFormat="1" ht="28">
      <c r="A12" s="370"/>
      <c r="B12" s="447">
        <v>111</v>
      </c>
      <c r="C12" s="3178" t="s">
        <v>3457</v>
      </c>
      <c r="D12" s="372">
        <v>100</v>
      </c>
      <c r="E12" s="3178" t="s">
        <v>3457</v>
      </c>
      <c r="F12" s="119">
        <f>SUMIF(71:71,E12,72:72)-SUMIF(71:71,C12,72:72)+100</f>
        <v>100</v>
      </c>
      <c r="G12" s="3178" t="s">
        <v>3457</v>
      </c>
      <c r="H12" s="119">
        <f>SUMIF(71:71,G12,72:72)-SUMIF(71:71,C12,72:72)+100</f>
        <v>100</v>
      </c>
      <c r="I12" s="3178" t="s">
        <v>3457</v>
      </c>
      <c r="J12" s="119">
        <f>SUMIF(71:71,I12,72:72)-SUMIF(71:71,C12,72:72)+100</f>
        <v>100</v>
      </c>
      <c r="K12" s="539"/>
      <c r="L12" s="2488"/>
      <c r="M12" s="2440"/>
      <c r="N12" s="2440"/>
      <c r="O12" s="2440"/>
      <c r="P12" s="3410"/>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802">
        <f>D12/J12</f>
        <v>1</v>
      </c>
    </row>
    <row r="13" spans="1:29" ht="15.5">
      <c r="A13" s="367"/>
      <c r="B13" s="447">
        <v>111</v>
      </c>
      <c r="C13" s="373"/>
      <c r="D13" s="374">
        <v>100</v>
      </c>
      <c r="E13" s="371">
        <v>2012</v>
      </c>
      <c r="F13" s="119">
        <f>SUMIF(73:73,E13,74:74)-SUMIF(73:73,C13,74:74)+100</f>
        <v>100</v>
      </c>
      <c r="G13" s="1810">
        <v>2016</v>
      </c>
      <c r="H13" s="374">
        <f>SUMIF(73:73,G13,74:74)-SUMIF(73:73,C13,74:74)+100</f>
        <v>100</v>
      </c>
      <c r="I13" s="371">
        <v>2005</v>
      </c>
      <c r="J13" s="374">
        <f>SUMIF(73:73,I13,74:74)-SUMIF(73:73,C13,74:74)+100</f>
        <v>100</v>
      </c>
      <c r="K13" s="539"/>
      <c r="L13" s="2492"/>
      <c r="M13" s="2487"/>
      <c r="N13" s="2487"/>
      <c r="O13" s="2487"/>
      <c r="P13" s="3410"/>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802">
        <f t="shared" si="5"/>
        <v>1</v>
      </c>
    </row>
    <row r="14" spans="1:29" ht="16" thickBot="1">
      <c r="A14" s="375"/>
      <c r="B14" s="1749">
        <v>111</v>
      </c>
      <c r="C14" s="376"/>
      <c r="D14" s="377">
        <v>100</v>
      </c>
      <c r="E14" s="3183" t="s">
        <v>3465</v>
      </c>
      <c r="F14" s="377">
        <f>SUMIF(75:75,E14,76:76)-SUMIF(75:75,C14,76:76)+100</f>
        <v>100</v>
      </c>
      <c r="G14" s="3179" t="s">
        <v>3459</v>
      </c>
      <c r="H14" s="377">
        <f>SUMIF(75:75,G14,76:76)-SUMIF(75:75,C14,76:76)+100</f>
        <v>100</v>
      </c>
      <c r="I14" s="3175" t="s">
        <v>3459</v>
      </c>
      <c r="J14" s="377">
        <f>SUMIF(75:75,I14,76:76)-SUMIF(75:75,C14,76:76)+100</f>
        <v>100</v>
      </c>
      <c r="K14" s="539"/>
      <c r="L14" s="2492"/>
      <c r="M14" s="2487"/>
      <c r="N14" s="2487"/>
      <c r="O14" s="2487"/>
      <c r="P14" s="3410"/>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2"/>
      <c r="M15" s="2487"/>
      <c r="N15" s="2487"/>
      <c r="O15" s="2487"/>
      <c r="P15" s="3408" t="s">
        <v>1691</v>
      </c>
      <c r="Q15" s="1263" t="str">
        <f t="shared" si="6"/>
        <v>办公集聚程度</v>
      </c>
      <c r="R15" s="667" t="s">
        <v>14</v>
      </c>
      <c r="S15" s="668">
        <f t="shared" si="0"/>
        <v>100</v>
      </c>
      <c r="T15" s="667" t="s">
        <v>14</v>
      </c>
      <c r="U15" s="668">
        <f t="shared" si="1"/>
        <v>100</v>
      </c>
      <c r="V15" s="667" t="s">
        <v>14</v>
      </c>
      <c r="W15" s="668">
        <f t="shared" si="2"/>
        <v>100</v>
      </c>
      <c r="X15" s="1265"/>
      <c r="Y15" s="3401" t="s">
        <v>1691</v>
      </c>
      <c r="Z15" s="1264" t="str">
        <f t="shared" si="7"/>
        <v>办公集聚程度</v>
      </c>
      <c r="AA15" s="1264">
        <f t="shared" si="3"/>
        <v>1</v>
      </c>
      <c r="AB15" s="1264">
        <f t="shared" si="4"/>
        <v>1</v>
      </c>
      <c r="AC15" s="1812">
        <f t="shared" si="5"/>
        <v>1</v>
      </c>
    </row>
    <row r="16" spans="1:29" ht="15.5">
      <c r="A16" s="367"/>
      <c r="B16" s="555"/>
      <c r="C16" s="1758" t="s">
        <v>3441</v>
      </c>
      <c r="D16" s="387"/>
      <c r="E16" s="1758" t="s">
        <v>3441</v>
      </c>
      <c r="F16" s="387"/>
      <c r="G16" s="1758" t="s">
        <v>3441</v>
      </c>
      <c r="H16" s="389"/>
      <c r="I16" s="1758" t="s">
        <v>3441</v>
      </c>
      <c r="J16" s="387"/>
      <c r="K16" s="541"/>
      <c r="L16" s="2492"/>
      <c r="M16" s="2487"/>
      <c r="N16" s="2487"/>
      <c r="O16" s="2487"/>
      <c r="P16" s="3409"/>
      <c r="Q16" s="1263"/>
      <c r="R16" s="667"/>
      <c r="S16" s="668"/>
      <c r="T16" s="667"/>
      <c r="U16" s="668"/>
      <c r="V16" s="667"/>
      <c r="W16" s="668"/>
      <c r="X16" s="1265"/>
      <c r="Y16" s="3402"/>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409"/>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812">
        <f t="shared" si="5"/>
        <v>1</v>
      </c>
    </row>
    <row r="18" spans="1:29" ht="15.5">
      <c r="A18" s="367"/>
      <c r="B18" s="401"/>
      <c r="C18" s="1814" t="s">
        <v>3441</v>
      </c>
      <c r="D18" s="389"/>
      <c r="E18" s="1814" t="s">
        <v>3441</v>
      </c>
      <c r="F18" s="389"/>
      <c r="G18" s="1814" t="s">
        <v>3441</v>
      </c>
      <c r="H18" s="387"/>
      <c r="I18" s="1814" t="s">
        <v>3441</v>
      </c>
      <c r="J18" s="387"/>
      <c r="K18" s="541"/>
      <c r="L18" s="2492"/>
      <c r="M18" s="2487"/>
      <c r="N18" s="2487"/>
      <c r="O18" s="2487"/>
      <c r="P18" s="3409"/>
      <c r="Q18" s="1263"/>
      <c r="R18" s="667"/>
      <c r="S18" s="668"/>
      <c r="T18" s="667"/>
      <c r="U18" s="668"/>
      <c r="V18" s="667"/>
      <c r="W18" s="668"/>
      <c r="X18" s="1265"/>
      <c r="Y18" s="3402"/>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409"/>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812">
        <f t="shared" si="5"/>
        <v>1</v>
      </c>
    </row>
    <row r="20" spans="1:29" ht="15.5">
      <c r="A20" s="367"/>
      <c r="B20" s="401"/>
      <c r="C20" s="1758" t="s">
        <v>3441</v>
      </c>
      <c r="D20" s="387"/>
      <c r="E20" s="1758" t="s">
        <v>3441</v>
      </c>
      <c r="F20" s="387"/>
      <c r="G20" s="1758" t="s">
        <v>3441</v>
      </c>
      <c r="H20" s="387"/>
      <c r="I20" s="1758" t="s">
        <v>3441</v>
      </c>
      <c r="J20" s="387"/>
      <c r="K20" s="541"/>
      <c r="L20" s="2492"/>
      <c r="M20" s="2487"/>
      <c r="N20" s="2487"/>
      <c r="O20" s="2487"/>
      <c r="P20" s="3409"/>
      <c r="Q20" s="1263"/>
      <c r="R20" s="667"/>
      <c r="S20" s="668"/>
      <c r="T20" s="667"/>
      <c r="U20" s="668"/>
      <c r="V20" s="667"/>
      <c r="W20" s="668"/>
      <c r="X20" s="1265"/>
      <c r="Y20" s="3402"/>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2"/>
      <c r="M21" s="2487"/>
      <c r="N21" s="2487"/>
      <c r="O21" s="2487"/>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812">
        <f t="shared" ref="AC21" si="10">D21/J21</f>
        <v>1</v>
      </c>
    </row>
    <row r="22" spans="1:29" ht="15.5">
      <c r="A22" s="367"/>
      <c r="B22" s="557"/>
      <c r="C22" s="1814" t="s">
        <v>3442</v>
      </c>
      <c r="D22" s="387"/>
      <c r="E22" s="1814" t="s">
        <v>3442</v>
      </c>
      <c r="F22" s="387"/>
      <c r="G22" s="1814" t="s">
        <v>3442</v>
      </c>
      <c r="H22" s="387"/>
      <c r="I22" s="1814" t="s">
        <v>3442</v>
      </c>
      <c r="J22" s="387"/>
      <c r="K22" s="1064"/>
      <c r="L22" s="2492"/>
      <c r="M22" s="2487"/>
      <c r="N22" s="2487"/>
      <c r="O22" s="2487"/>
      <c r="P22" s="3409"/>
      <c r="Q22" s="1263"/>
      <c r="R22" s="667"/>
      <c r="S22" s="668"/>
      <c r="T22" s="667"/>
      <c r="U22" s="668"/>
      <c r="V22" s="667"/>
      <c r="W22" s="668"/>
      <c r="X22" s="1265"/>
      <c r="Y22" s="3402"/>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409"/>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812">
        <f t="shared" si="5"/>
        <v>1</v>
      </c>
    </row>
    <row r="24" spans="1:29" ht="15.5">
      <c r="A24" s="367"/>
      <c r="B24" s="557"/>
      <c r="C24" s="1758" t="s">
        <v>3441</v>
      </c>
      <c r="D24" s="387"/>
      <c r="E24" s="1758" t="s">
        <v>3441</v>
      </c>
      <c r="F24" s="387"/>
      <c r="G24" s="1758" t="s">
        <v>3441</v>
      </c>
      <c r="H24" s="387"/>
      <c r="I24" s="1758" t="s">
        <v>3441</v>
      </c>
      <c r="J24" s="387"/>
      <c r="K24" s="541"/>
      <c r="L24" s="2492"/>
      <c r="M24" s="2487"/>
      <c r="N24" s="2487"/>
      <c r="O24" s="2487"/>
      <c r="P24" s="3409"/>
      <c r="Q24" s="1263"/>
      <c r="R24" s="667"/>
      <c r="S24" s="668"/>
      <c r="T24" s="667"/>
      <c r="U24" s="668"/>
      <c r="V24" s="667"/>
      <c r="W24" s="668"/>
      <c r="X24" s="1265"/>
      <c r="Y24" s="3402"/>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2"/>
      <c r="M25" s="2487"/>
      <c r="N25" s="2487"/>
      <c r="O25" s="2487"/>
      <c r="P25" s="3409"/>
      <c r="Q25" s="1263" t="str">
        <f>B25</f>
        <v>毗邻道路的类型与等级</v>
      </c>
      <c r="R25" s="667" t="s">
        <v>14</v>
      </c>
      <c r="S25" s="668">
        <f>F25</f>
        <v>100</v>
      </c>
      <c r="T25" s="667" t="s">
        <v>14</v>
      </c>
      <c r="U25" s="668">
        <f>H25</f>
        <v>100</v>
      </c>
      <c r="V25" s="667" t="s">
        <v>14</v>
      </c>
      <c r="W25" s="668">
        <f>J25</f>
        <v>100</v>
      </c>
      <c r="X25" s="1265"/>
      <c r="Y25" s="3402"/>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2"/>
      <c r="M26" s="2487"/>
      <c r="N26" s="2487"/>
      <c r="O26" s="2487"/>
      <c r="P26" s="3409"/>
      <c r="Q26" s="1263"/>
      <c r="R26" s="667"/>
      <c r="S26" s="668"/>
      <c r="T26" s="667"/>
      <c r="U26" s="668"/>
      <c r="V26" s="667"/>
      <c r="W26" s="668"/>
      <c r="X26" s="1265"/>
      <c r="Y26" s="3402"/>
      <c r="Z26" s="1264"/>
      <c r="AA26" s="1264">
        <v>1</v>
      </c>
      <c r="AB26" s="1264">
        <v>1</v>
      </c>
      <c r="AC26" s="1812">
        <v>1</v>
      </c>
    </row>
    <row r="27" spans="1:29" ht="15.5">
      <c r="A27" s="367"/>
      <c r="B27" s="401" t="s">
        <v>1783</v>
      </c>
      <c r="C27" s="558" t="s">
        <v>3431</v>
      </c>
      <c r="D27" s="374">
        <v>100</v>
      </c>
      <c r="E27" s="542" t="s">
        <v>3434</v>
      </c>
      <c r="F27" s="374">
        <f>SUMIF(89:89,E27,90:90)-SUMIF(89:89,C27,90:90)+100</f>
        <v>102</v>
      </c>
      <c r="G27" s="542" t="s">
        <v>3434</v>
      </c>
      <c r="H27" s="374">
        <f>SUMIF(89:89,G27,90:90)-SUMIF(89:89,C27,90:90)+100</f>
        <v>102</v>
      </c>
      <c r="I27" s="542" t="s">
        <v>3434</v>
      </c>
      <c r="J27" s="374">
        <f>SUMIF(89:89,I27,90:90)-SUMIF(89:89,C27,90:90)+100</f>
        <v>102</v>
      </c>
      <c r="K27" s="538">
        <v>2</v>
      </c>
      <c r="L27" s="2492"/>
      <c r="M27" s="2487"/>
      <c r="N27" s="2487"/>
      <c r="O27" s="2487"/>
      <c r="P27" s="3409"/>
      <c r="Q27" s="1263" t="str">
        <f t="shared" ref="Q27:Q47" si="11">B27</f>
        <v>楼层</v>
      </c>
      <c r="R27" s="667" t="s">
        <v>14</v>
      </c>
      <c r="S27" s="668">
        <f>F27</f>
        <v>102</v>
      </c>
      <c r="T27" s="667" t="s">
        <v>14</v>
      </c>
      <c r="U27" s="668">
        <f>H27</f>
        <v>102</v>
      </c>
      <c r="V27" s="667" t="s">
        <v>14</v>
      </c>
      <c r="W27" s="668">
        <f>J27</f>
        <v>102</v>
      </c>
      <c r="X27" s="1265"/>
      <c r="Y27" s="3402"/>
      <c r="Z27" s="1264" t="str">
        <f>Q27</f>
        <v>楼层</v>
      </c>
      <c r="AA27" s="1264">
        <f t="shared" si="3"/>
        <v>0.98039215686274506</v>
      </c>
      <c r="AB27" s="1264">
        <f t="shared" si="4"/>
        <v>0.98039215686274506</v>
      </c>
      <c r="AC27" s="1812">
        <f t="shared" si="5"/>
        <v>0.98039215686274506</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09"/>
      <c r="Q28" s="530" t="str">
        <f t="shared" si="11"/>
        <v>朝向</v>
      </c>
      <c r="R28" s="664" t="s">
        <v>14</v>
      </c>
      <c r="S28" s="665">
        <f>F28</f>
        <v>100</v>
      </c>
      <c r="T28" s="664" t="s">
        <v>14</v>
      </c>
      <c r="U28" s="665">
        <f>H28</f>
        <v>100</v>
      </c>
      <c r="V28" s="664" t="s">
        <v>14</v>
      </c>
      <c r="W28" s="665">
        <f>J28</f>
        <v>100</v>
      </c>
      <c r="X28" s="666"/>
      <c r="Y28" s="3402"/>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09"/>
      <c r="Q29" s="1263">
        <f t="shared" si="11"/>
        <v>111</v>
      </c>
      <c r="R29" s="667" t="s">
        <v>14</v>
      </c>
      <c r="S29" s="668">
        <f t="shared" ref="S29:S47" si="12">F29</f>
        <v>100</v>
      </c>
      <c r="T29" s="667" t="s">
        <v>14</v>
      </c>
      <c r="U29" s="668">
        <f t="shared" ref="U29:U47" si="13">H29</f>
        <v>100</v>
      </c>
      <c r="V29" s="667" t="s">
        <v>14</v>
      </c>
      <c r="W29" s="668">
        <f t="shared" ref="W29:W47" si="14">J29</f>
        <v>100</v>
      </c>
      <c r="X29" s="1265"/>
      <c r="Y29" s="3402"/>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09"/>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09"/>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09"/>
      <c r="Q32" s="1263">
        <f t="shared" si="11"/>
        <v>111</v>
      </c>
      <c r="R32" s="667" t="s">
        <v>14</v>
      </c>
      <c r="S32" s="668">
        <f t="shared" si="12"/>
        <v>100</v>
      </c>
      <c r="T32" s="667" t="s">
        <v>14</v>
      </c>
      <c r="U32" s="668">
        <f t="shared" si="13"/>
        <v>100</v>
      </c>
      <c r="V32" s="667" t="s">
        <v>14</v>
      </c>
      <c r="W32" s="668">
        <f t="shared" si="14"/>
        <v>100</v>
      </c>
      <c r="X32" s="1265"/>
      <c r="Y32" s="3402"/>
      <c r="Z32" s="1264">
        <f t="shared" si="15"/>
        <v>111</v>
      </c>
      <c r="AA32" s="1264">
        <f t="shared" si="3"/>
        <v>1</v>
      </c>
      <c r="AB32" s="1264">
        <f t="shared" si="4"/>
        <v>1</v>
      </c>
      <c r="AC32" s="1812">
        <f t="shared" si="5"/>
        <v>1</v>
      </c>
    </row>
    <row r="33" spans="1:29" ht="15.5">
      <c r="A33" s="379" t="s">
        <v>1694</v>
      </c>
      <c r="B33" s="60" t="s">
        <v>1817</v>
      </c>
      <c r="C33" s="1764" t="s">
        <v>3460</v>
      </c>
      <c r="D33" s="405">
        <v>100</v>
      </c>
      <c r="E33" s="1764" t="s">
        <v>3460</v>
      </c>
      <c r="F33" s="400">
        <f>SUMIF(101:101,E33,102:102)-SUMIF(101:101,C33,102:102)+100</f>
        <v>100</v>
      </c>
      <c r="G33" s="1764" t="s">
        <v>3460</v>
      </c>
      <c r="H33" s="374">
        <f>SUMIF(101:101,G33,102:102)-SUMIF(101:101,C33,102:102)+100</f>
        <v>100</v>
      </c>
      <c r="I33" s="1764" t="s">
        <v>3460</v>
      </c>
      <c r="J33" s="405">
        <f>SUMIF(101:101,I33,102:102)-SUMIF(101:101,C33,102:102)+100</f>
        <v>100</v>
      </c>
      <c r="K33" s="538">
        <v>2</v>
      </c>
      <c r="L33" s="2492"/>
      <c r="M33" s="3182"/>
      <c r="N33" s="2487"/>
      <c r="O33" s="3184"/>
      <c r="P33" s="3403" t="s">
        <v>1696</v>
      </c>
      <c r="Q33" s="1263" t="str">
        <f t="shared" si="11"/>
        <v>建筑类型</v>
      </c>
      <c r="R33" s="667" t="s">
        <v>14</v>
      </c>
      <c r="S33" s="668">
        <f t="shared" si="12"/>
        <v>100</v>
      </c>
      <c r="T33" s="667" t="s">
        <v>14</v>
      </c>
      <c r="U33" s="668">
        <f t="shared" si="13"/>
        <v>100</v>
      </c>
      <c r="V33" s="667" t="s">
        <v>14</v>
      </c>
      <c r="W33" s="668">
        <f t="shared" si="14"/>
        <v>100</v>
      </c>
      <c r="X33" s="1265"/>
      <c r="Y33" s="3406"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960</v>
      </c>
      <c r="D34" s="119">
        <v>100</v>
      </c>
      <c r="E34" s="369">
        <f>办公租金案例!V10</f>
        <v>988</v>
      </c>
      <c r="F34" s="364">
        <f>LOOKUP(E34,104:104,105:105)-LOOKUP(C34,104:104,105:105)+100</f>
        <v>100</v>
      </c>
      <c r="G34" s="368">
        <f>办公租金案例!V11</f>
        <v>320</v>
      </c>
      <c r="H34" s="119">
        <f>LOOKUP(G34,104:104,105:105)-LOOKUP(C34,104:104,105:105)+100</f>
        <v>102</v>
      </c>
      <c r="I34" s="368">
        <f>办公租金案例!V12</f>
        <v>569.62</v>
      </c>
      <c r="J34" s="119">
        <f>LOOKUP(I34,104:104,105:105)-LOOKUP(C34,104:104,105:105)+100</f>
        <v>101</v>
      </c>
      <c r="K34" s="539"/>
      <c r="L34" s="2491"/>
      <c r="M34" s="2493"/>
      <c r="N34" s="2493"/>
      <c r="O34" s="2493"/>
      <c r="P34" s="3404"/>
      <c r="Q34" s="531" t="str">
        <f t="shared" si="11"/>
        <v>项目建筑规模</v>
      </c>
      <c r="R34" s="669" t="s">
        <v>14</v>
      </c>
      <c r="S34" s="670">
        <f t="shared" si="12"/>
        <v>100</v>
      </c>
      <c r="T34" s="669" t="s">
        <v>14</v>
      </c>
      <c r="U34" s="670">
        <f t="shared" si="13"/>
        <v>102</v>
      </c>
      <c r="V34" s="669" t="s">
        <v>14</v>
      </c>
      <c r="W34" s="670">
        <f t="shared" si="14"/>
        <v>101</v>
      </c>
      <c r="X34" s="671"/>
      <c r="Y34" s="3406"/>
      <c r="Z34" s="672" t="str">
        <f t="shared" si="15"/>
        <v>项目建筑规模</v>
      </c>
      <c r="AA34" s="1264">
        <f t="shared" si="3"/>
        <v>1</v>
      </c>
      <c r="AB34" s="1264">
        <f t="shared" si="4"/>
        <v>0.98039215686274506</v>
      </c>
      <c r="AC34" s="1812">
        <f t="shared" si="5"/>
        <v>0.99009900990099009</v>
      </c>
    </row>
    <row r="35" spans="1:29" ht="15.5">
      <c r="A35" s="409"/>
      <c r="B35" s="364" t="s">
        <v>1698</v>
      </c>
      <c r="C35" s="399" t="s">
        <v>3443</v>
      </c>
      <c r="D35" s="374">
        <v>100</v>
      </c>
      <c r="E35" s="399" t="s">
        <v>3443</v>
      </c>
      <c r="F35" s="400">
        <f>SUMIF(106:106,E35,107:107)-SUMIF(106:106,C35,107:107)+100</f>
        <v>100</v>
      </c>
      <c r="G35" s="399" t="s">
        <v>3443</v>
      </c>
      <c r="H35" s="374">
        <f>SUMIF(106:106,G35,107:107)-SUMIF(106:106,C35,107:107)+100</f>
        <v>100</v>
      </c>
      <c r="I35" s="399" t="s">
        <v>3443</v>
      </c>
      <c r="J35" s="374">
        <f>SUMIF(106:106,I35,107:107)-SUMIF(106:106,C35,107:107)+100</f>
        <v>100</v>
      </c>
      <c r="K35" s="538">
        <v>2</v>
      </c>
      <c r="L35" s="2492"/>
      <c r="M35" s="2487"/>
      <c r="N35" s="2487"/>
      <c r="O35" s="2487"/>
      <c r="P35" s="3404"/>
      <c r="Q35" s="1263" t="str">
        <f t="shared" si="11"/>
        <v>建筑结构</v>
      </c>
      <c r="R35" s="667" t="s">
        <v>14</v>
      </c>
      <c r="S35" s="668">
        <f t="shared" si="12"/>
        <v>100</v>
      </c>
      <c r="T35" s="667" t="s">
        <v>14</v>
      </c>
      <c r="U35" s="668">
        <f t="shared" si="13"/>
        <v>100</v>
      </c>
      <c r="V35" s="667" t="s">
        <v>14</v>
      </c>
      <c r="W35" s="668">
        <f t="shared" si="14"/>
        <v>100</v>
      </c>
      <c r="X35" s="1265"/>
      <c r="Y35" s="3406"/>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2"/>
      <c r="M36" s="2487"/>
      <c r="N36" s="2487"/>
      <c r="O36" s="2487"/>
      <c r="P36" s="3404"/>
      <c r="Q36" s="1263" t="str">
        <f t="shared" si="11"/>
        <v>公共部分装修</v>
      </c>
      <c r="R36" s="667" t="s">
        <v>14</v>
      </c>
      <c r="S36" s="668">
        <f t="shared" si="12"/>
        <v>100</v>
      </c>
      <c r="T36" s="667" t="s">
        <v>14</v>
      </c>
      <c r="U36" s="668">
        <f t="shared" si="13"/>
        <v>100</v>
      </c>
      <c r="V36" s="667" t="s">
        <v>14</v>
      </c>
      <c r="W36" s="668">
        <f t="shared" si="14"/>
        <v>100</v>
      </c>
      <c r="X36" s="1265"/>
      <c r="Y36" s="3406"/>
      <c r="Z36" s="1264" t="str">
        <f t="shared" si="15"/>
        <v>公共部分装修</v>
      </c>
      <c r="AA36" s="1264">
        <f t="shared" si="3"/>
        <v>1</v>
      </c>
      <c r="AB36" s="1264">
        <f t="shared" si="4"/>
        <v>1</v>
      </c>
      <c r="AC36" s="1812">
        <f t="shared" si="5"/>
        <v>1</v>
      </c>
    </row>
    <row r="37" spans="1:29" ht="15.5">
      <c r="A37" s="409"/>
      <c r="B37" s="364" t="s">
        <v>1786</v>
      </c>
      <c r="C37" s="411">
        <f>'数据-取费表'!N6</f>
        <v>0.82</v>
      </c>
      <c r="D37" s="374">
        <v>100</v>
      </c>
      <c r="E37" s="411">
        <f>ROUND(1-(1-0)*(2025-E13)/60,2)</f>
        <v>0.78</v>
      </c>
      <c r="F37" s="400">
        <f>LOOKUP(E37,111:111,112:112)-LOOKUP(C37,111:111,112:112)+100</f>
        <v>99</v>
      </c>
      <c r="G37" s="411">
        <f>ROUND(1-(1-0)*(2025-G13)/60,2)</f>
        <v>0.85</v>
      </c>
      <c r="H37" s="400">
        <f>LOOKUP(G37,111:111,112:112)-LOOKUP(C37,111:111,112:112)+100</f>
        <v>100</v>
      </c>
      <c r="I37" s="411">
        <v>0.7</v>
      </c>
      <c r="J37" s="374">
        <f>LOOKUP(I37,111:111,112:112)-LOOKUP(C37,111:111,112:112)+100</f>
        <v>99</v>
      </c>
      <c r="K37" s="538">
        <v>1</v>
      </c>
      <c r="L37" s="2492"/>
      <c r="M37" s="2487"/>
      <c r="N37" s="2487"/>
      <c r="O37" s="2487"/>
      <c r="P37" s="3404"/>
      <c r="Q37" s="1263" t="str">
        <f t="shared" si="11"/>
        <v>成新度</v>
      </c>
      <c r="R37" s="667" t="s">
        <v>14</v>
      </c>
      <c r="S37" s="668">
        <f t="shared" si="12"/>
        <v>99</v>
      </c>
      <c r="T37" s="667" t="s">
        <v>14</v>
      </c>
      <c r="U37" s="668">
        <f t="shared" si="13"/>
        <v>100</v>
      </c>
      <c r="V37" s="667" t="s">
        <v>14</v>
      </c>
      <c r="W37" s="668">
        <f t="shared" si="14"/>
        <v>99</v>
      </c>
      <c r="X37" s="1265"/>
      <c r="Y37" s="3406"/>
      <c r="Z37" s="1264" t="str">
        <f t="shared" si="15"/>
        <v>成新度</v>
      </c>
      <c r="AA37" s="1264">
        <f t="shared" si="3"/>
        <v>1.0101010101010102</v>
      </c>
      <c r="AB37" s="1264">
        <f t="shared" si="4"/>
        <v>1</v>
      </c>
      <c r="AC37" s="1812">
        <f t="shared" si="5"/>
        <v>1.0101010101010102</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8"/>
      <c r="M38" s="3181" t="s">
        <v>3463</v>
      </c>
      <c r="N38" s="2440">
        <v>1261440</v>
      </c>
      <c r="O38" s="2440"/>
      <c r="P38" s="3404"/>
      <c r="Q38" s="530" t="str">
        <f t="shared" si="11"/>
        <v>写字楼等级</v>
      </c>
      <c r="R38" s="664" t="s">
        <v>14</v>
      </c>
      <c r="S38" s="665">
        <f t="shared" si="12"/>
        <v>100</v>
      </c>
      <c r="T38" s="664" t="s">
        <v>14</v>
      </c>
      <c r="U38" s="665">
        <f t="shared" si="13"/>
        <v>100</v>
      </c>
      <c r="V38" s="664" t="s">
        <v>14</v>
      </c>
      <c r="W38" s="665">
        <f t="shared" si="14"/>
        <v>100</v>
      </c>
      <c r="X38" s="666"/>
      <c r="Y38" s="3406"/>
      <c r="Z38" s="50" t="str">
        <f t="shared" si="15"/>
        <v>写字楼等级</v>
      </c>
      <c r="AA38" s="50">
        <f t="shared" si="3"/>
        <v>1</v>
      </c>
      <c r="AB38" s="50">
        <f t="shared" si="4"/>
        <v>1</v>
      </c>
      <c r="AC38" s="802">
        <f t="shared" si="5"/>
        <v>1</v>
      </c>
    </row>
    <row r="39" spans="1:29" ht="15.5">
      <c r="A39" s="409"/>
      <c r="B39" s="364" t="s">
        <v>1819</v>
      </c>
      <c r="C39" s="399" t="s">
        <v>3454</v>
      </c>
      <c r="D39" s="374">
        <v>100</v>
      </c>
      <c r="E39" s="399" t="s">
        <v>3454</v>
      </c>
      <c r="F39" s="400">
        <f>SUMIF(115:115,E39,116:116)-SUMIF(115:115,C39,116:116)+100</f>
        <v>100</v>
      </c>
      <c r="G39" s="399" t="s">
        <v>3454</v>
      </c>
      <c r="H39" s="374">
        <f>SUMIF(115:115,G39,116:116)-SUMIF(115:115,C39,116:116)+100</f>
        <v>100</v>
      </c>
      <c r="I39" s="399" t="s">
        <v>3454</v>
      </c>
      <c r="J39" s="374">
        <f>SUMIF(115:115,I39,116:116)-SUMIF(115:115,C39,116:116)+100</f>
        <v>100</v>
      </c>
      <c r="K39" s="538">
        <v>2</v>
      </c>
      <c r="L39" s="2492"/>
      <c r="M39" s="3182" t="s">
        <v>3464</v>
      </c>
      <c r="N39" s="2487">
        <f>N38/365/C34</f>
        <v>3.6</v>
      </c>
      <c r="O39" s="2487"/>
      <c r="P39" s="3404" t="s">
        <v>1696</v>
      </c>
      <c r="Q39" s="1263" t="str">
        <f t="shared" si="11"/>
        <v>物业管理</v>
      </c>
      <c r="R39" s="667" t="s">
        <v>14</v>
      </c>
      <c r="S39" s="668">
        <f t="shared" si="12"/>
        <v>100</v>
      </c>
      <c r="T39" s="667" t="s">
        <v>14</v>
      </c>
      <c r="U39" s="668">
        <f t="shared" si="13"/>
        <v>100</v>
      </c>
      <c r="V39" s="667" t="s">
        <v>14</v>
      </c>
      <c r="W39" s="668">
        <f t="shared" si="14"/>
        <v>100</v>
      </c>
      <c r="X39" s="1265"/>
      <c r="Y39" s="3406"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2"/>
      <c r="M40" s="2487"/>
      <c r="N40" s="2487"/>
      <c r="O40" s="2487"/>
      <c r="P40" s="3404"/>
      <c r="Q40" s="1263" t="str">
        <f t="shared" si="11"/>
        <v>市政基础设施</v>
      </c>
      <c r="R40" s="667" t="s">
        <v>14</v>
      </c>
      <c r="S40" s="668">
        <f t="shared" si="12"/>
        <v>100</v>
      </c>
      <c r="T40" s="667" t="s">
        <v>14</v>
      </c>
      <c r="U40" s="668">
        <f t="shared" si="13"/>
        <v>100</v>
      </c>
      <c r="V40" s="667" t="s">
        <v>14</v>
      </c>
      <c r="W40" s="668">
        <f t="shared" si="14"/>
        <v>100</v>
      </c>
      <c r="X40" s="1265"/>
      <c r="Y40" s="3406"/>
      <c r="Z40" s="1264" t="str">
        <f t="shared" si="15"/>
        <v>市政基础设施</v>
      </c>
      <c r="AA40" s="1264">
        <f t="shared" si="3"/>
        <v>1</v>
      </c>
      <c r="AB40" s="1264">
        <f t="shared" si="4"/>
        <v>1</v>
      </c>
      <c r="AC40" s="1812">
        <f t="shared" si="5"/>
        <v>1</v>
      </c>
    </row>
    <row r="41" spans="1:29" ht="15.5">
      <c r="A41" s="409"/>
      <c r="B41" s="364" t="s">
        <v>1789</v>
      </c>
      <c r="C41" s="542" t="s">
        <v>3448</v>
      </c>
      <c r="D41" s="374">
        <v>100</v>
      </c>
      <c r="E41" s="542" t="s">
        <v>3448</v>
      </c>
      <c r="F41" s="400">
        <f>SUMIF(119:119,E41,120:120)-SUMIF(119:119,C41,120:120)+100</f>
        <v>100</v>
      </c>
      <c r="G41" s="542" t="s">
        <v>3448</v>
      </c>
      <c r="H41" s="374">
        <f>SUMIF(119:119,G41,120:120)-SUMIF(119:119,C41,120:120)+100</f>
        <v>100</v>
      </c>
      <c r="I41" s="542" t="s">
        <v>3448</v>
      </c>
      <c r="J41" s="374">
        <f>SUMIF(119:119,I41,120:120)-SUMIF(119:119,C41,120:120)+100</f>
        <v>100</v>
      </c>
      <c r="K41" s="538">
        <v>5</v>
      </c>
      <c r="L41" s="2492"/>
      <c r="M41" s="2487"/>
      <c r="N41" s="2487"/>
      <c r="O41" s="2487"/>
      <c r="P41" s="3404"/>
      <c r="Q41" s="1263" t="str">
        <f t="shared" si="11"/>
        <v>层高</v>
      </c>
      <c r="R41" s="667" t="s">
        <v>14</v>
      </c>
      <c r="S41" s="668">
        <f t="shared" si="12"/>
        <v>100</v>
      </c>
      <c r="T41" s="667" t="s">
        <v>14</v>
      </c>
      <c r="U41" s="668">
        <f t="shared" si="13"/>
        <v>100</v>
      </c>
      <c r="V41" s="667" t="s">
        <v>14</v>
      </c>
      <c r="W41" s="668">
        <f t="shared" si="14"/>
        <v>100</v>
      </c>
      <c r="X41" s="1265"/>
      <c r="Y41" s="3406"/>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4"/>
      <c r="Q42" s="531" t="str">
        <f t="shared" si="11"/>
        <v>单套建筑面积</v>
      </c>
      <c r="R42" s="669" t="s">
        <v>14</v>
      </c>
      <c r="S42" s="670">
        <f t="shared" si="12"/>
        <v>100</v>
      </c>
      <c r="T42" s="669" t="s">
        <v>14</v>
      </c>
      <c r="U42" s="670">
        <f t="shared" si="13"/>
        <v>100</v>
      </c>
      <c r="V42" s="669" t="s">
        <v>14</v>
      </c>
      <c r="W42" s="670">
        <f t="shared" si="14"/>
        <v>100</v>
      </c>
      <c r="X42" s="671"/>
      <c r="Y42" s="3406"/>
      <c r="Z42" s="672" t="str">
        <f t="shared" si="15"/>
        <v>单套建筑面积</v>
      </c>
      <c r="AA42" s="1264">
        <f t="shared" si="3"/>
        <v>1</v>
      </c>
      <c r="AB42" s="1264">
        <f t="shared" si="4"/>
        <v>1</v>
      </c>
      <c r="AC42" s="1812">
        <f t="shared" si="5"/>
        <v>1</v>
      </c>
    </row>
    <row r="43" spans="1:29" ht="15.5">
      <c r="A43" s="409"/>
      <c r="B43" s="364" t="s">
        <v>1792</v>
      </c>
      <c r="C43" s="399" t="s">
        <v>3432</v>
      </c>
      <c r="D43" s="374">
        <v>100</v>
      </c>
      <c r="E43" s="399" t="s">
        <v>3432</v>
      </c>
      <c r="F43" s="400">
        <f>SUMIF(123:123,E43,124:124)-SUMIF(123:123,C43,124:124)+100</f>
        <v>100</v>
      </c>
      <c r="G43" s="399" t="s">
        <v>3432</v>
      </c>
      <c r="H43" s="374">
        <f>SUMIF(123:123,G43,124:124)-SUMIF(123:123,C43,124:124)+100</f>
        <v>100</v>
      </c>
      <c r="I43" s="399" t="s">
        <v>3432</v>
      </c>
      <c r="J43" s="374">
        <f>SUMIF(123:123,I43,124:124)-SUMIF(123:123,C43,124:124)+100</f>
        <v>100</v>
      </c>
      <c r="K43" s="538">
        <v>2</v>
      </c>
      <c r="L43" s="2492"/>
      <c r="M43" s="2487"/>
      <c r="N43" s="2487"/>
      <c r="O43" s="2487"/>
      <c r="P43" s="3404"/>
      <c r="Q43" s="1263" t="str">
        <f t="shared" si="11"/>
        <v>内部装修</v>
      </c>
      <c r="R43" s="667" t="s">
        <v>14</v>
      </c>
      <c r="S43" s="668">
        <f t="shared" si="12"/>
        <v>100</v>
      </c>
      <c r="T43" s="667" t="s">
        <v>14</v>
      </c>
      <c r="U43" s="668">
        <f t="shared" si="13"/>
        <v>100</v>
      </c>
      <c r="V43" s="667" t="s">
        <v>14</v>
      </c>
      <c r="W43" s="668">
        <f t="shared" si="14"/>
        <v>100</v>
      </c>
      <c r="X43" s="1265"/>
      <c r="Y43" s="3406"/>
      <c r="Z43" s="1264" t="str">
        <f t="shared" si="15"/>
        <v>内部装修</v>
      </c>
      <c r="AA43" s="1264">
        <f t="shared" si="3"/>
        <v>1</v>
      </c>
      <c r="AB43" s="1264">
        <f t="shared" si="4"/>
        <v>1</v>
      </c>
      <c r="AC43" s="1812">
        <f t="shared" si="5"/>
        <v>1</v>
      </c>
    </row>
    <row r="44" spans="1:29" ht="28">
      <c r="A44" s="409"/>
      <c r="B44" s="364" t="s">
        <v>1707</v>
      </c>
      <c r="C44" s="1760" t="s">
        <v>3441</v>
      </c>
      <c r="D44" s="374">
        <v>100</v>
      </c>
      <c r="E44" s="1760" t="s">
        <v>3441</v>
      </c>
      <c r="F44" s="400">
        <f>SUMIF(125:125,E44,126:126)-SUMIF(125:125,C44,126:126)+100</f>
        <v>100</v>
      </c>
      <c r="G44" s="1760" t="s">
        <v>3441</v>
      </c>
      <c r="H44" s="374">
        <f>SUMIF(125:125,G44,126:126)-SUMIF(125:125,C44,126:126)+100</f>
        <v>100</v>
      </c>
      <c r="I44" s="1760" t="s">
        <v>3441</v>
      </c>
      <c r="J44" s="374">
        <f>SUMIF(125:125,I44,126:126)-SUMIF(125:125,C44,126:126)+100</f>
        <v>100</v>
      </c>
      <c r="K44" s="538">
        <v>2</v>
      </c>
      <c r="L44" s="2492"/>
      <c r="M44" s="2487"/>
      <c r="N44" s="2487"/>
      <c r="O44" s="2487"/>
      <c r="P44" s="3404"/>
      <c r="Q44" s="1263" t="str">
        <f t="shared" si="11"/>
        <v>内部装修维护情况</v>
      </c>
      <c r="R44" s="667" t="s">
        <v>14</v>
      </c>
      <c r="S44" s="668">
        <f t="shared" si="12"/>
        <v>100</v>
      </c>
      <c r="T44" s="667" t="s">
        <v>14</v>
      </c>
      <c r="U44" s="668">
        <f t="shared" si="13"/>
        <v>100</v>
      </c>
      <c r="V44" s="667" t="s">
        <v>14</v>
      </c>
      <c r="W44" s="668">
        <f t="shared" si="14"/>
        <v>100</v>
      </c>
      <c r="X44" s="1265"/>
      <c r="Y44" s="3406"/>
      <c r="Z44" s="1264" t="str">
        <f t="shared" si="15"/>
        <v>内部装修维护情况</v>
      </c>
      <c r="AA44" s="1264">
        <f t="shared" si="3"/>
        <v>1</v>
      </c>
      <c r="AB44" s="1264">
        <f t="shared" si="4"/>
        <v>1</v>
      </c>
      <c r="AC44" s="1812">
        <f t="shared" si="5"/>
        <v>1</v>
      </c>
    </row>
    <row r="45" spans="1:29" s="102" customFormat="1" ht="15.5">
      <c r="A45" s="410"/>
      <c r="B45" s="3173"/>
      <c r="C45" s="3174"/>
      <c r="D45" s="119">
        <v>100</v>
      </c>
      <c r="E45" s="3175"/>
      <c r="F45" s="364">
        <f>SUMIF(127:127,E45,128:128)-SUMIF(127:127,C45,128:128)+100</f>
        <v>100</v>
      </c>
      <c r="G45" s="3175"/>
      <c r="H45" s="119">
        <f>SUMIF(127:127,G45,128:128)-SUMIF(127:127,C45,128:128)+100</f>
        <v>100</v>
      </c>
      <c r="I45" s="3175"/>
      <c r="J45" s="119">
        <f>SUMIF(127:127,I45,128:128)-SUMIF(127:127,C45,128:128)+100</f>
        <v>100</v>
      </c>
      <c r="K45" s="539"/>
      <c r="L45" s="2488"/>
      <c r="M45" s="2440"/>
      <c r="N45" s="2440"/>
      <c r="O45" s="2440"/>
      <c r="P45" s="3404"/>
      <c r="Q45" s="530">
        <f t="shared" si="11"/>
        <v>0</v>
      </c>
      <c r="R45" s="664" t="s">
        <v>14</v>
      </c>
      <c r="S45" s="665">
        <f t="shared" si="12"/>
        <v>100</v>
      </c>
      <c r="T45" s="664" t="s">
        <v>14</v>
      </c>
      <c r="U45" s="665">
        <f t="shared" si="13"/>
        <v>100</v>
      </c>
      <c r="V45" s="664" t="s">
        <v>14</v>
      </c>
      <c r="W45" s="665">
        <f t="shared" si="14"/>
        <v>100</v>
      </c>
      <c r="X45" s="666"/>
      <c r="Y45" s="3406"/>
      <c r="Z45" s="50">
        <f t="shared" si="15"/>
        <v>0</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4"/>
      <c r="Q46" s="1263">
        <f t="shared" si="11"/>
        <v>111</v>
      </c>
      <c r="R46" s="667" t="s">
        <v>14</v>
      </c>
      <c r="S46" s="668">
        <f t="shared" si="12"/>
        <v>100</v>
      </c>
      <c r="T46" s="667" t="s">
        <v>14</v>
      </c>
      <c r="U46" s="668">
        <f t="shared" si="13"/>
        <v>100</v>
      </c>
      <c r="V46" s="667" t="s">
        <v>14</v>
      </c>
      <c r="W46" s="668">
        <f t="shared" si="14"/>
        <v>100</v>
      </c>
      <c r="X46" s="1265"/>
      <c r="Y46" s="3406"/>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5"/>
      <c r="Q47" s="1263">
        <f t="shared" si="11"/>
        <v>111</v>
      </c>
      <c r="R47" s="667" t="s">
        <v>14</v>
      </c>
      <c r="S47" s="668">
        <f t="shared" si="12"/>
        <v>100</v>
      </c>
      <c r="T47" s="667" t="s">
        <v>14</v>
      </c>
      <c r="U47" s="668">
        <f t="shared" si="13"/>
        <v>100</v>
      </c>
      <c r="V47" s="667" t="s">
        <v>14</v>
      </c>
      <c r="W47" s="668">
        <f t="shared" si="14"/>
        <v>100</v>
      </c>
      <c r="X47" s="1265"/>
      <c r="Y47" s="3407"/>
      <c r="Z47" s="1264">
        <f t="shared" si="15"/>
        <v>111</v>
      </c>
      <c r="AA47" s="1264">
        <f t="shared" si="3"/>
        <v>1</v>
      </c>
      <c r="AB47" s="1264">
        <f t="shared" si="4"/>
        <v>1</v>
      </c>
      <c r="AC47" s="1812">
        <f t="shared" si="5"/>
        <v>1</v>
      </c>
    </row>
    <row r="48" spans="1:29">
      <c r="A48" s="416" t="s">
        <v>1708</v>
      </c>
      <c r="B48" s="417"/>
      <c r="C48" s="1081" t="s">
        <v>0</v>
      </c>
      <c r="D48" s="418"/>
      <c r="E48" s="419">
        <f>办公租金案例!W10</f>
        <v>4</v>
      </c>
      <c r="F48" s="420"/>
      <c r="G48" s="421">
        <f>办公租金案例!W11</f>
        <v>3.9</v>
      </c>
      <c r="H48" s="422"/>
      <c r="I48" s="419">
        <f>办公租金案例!W12</f>
        <v>4</v>
      </c>
      <c r="J48" s="422"/>
      <c r="K48" s="674"/>
      <c r="L48" s="2494"/>
      <c r="M48" s="2487"/>
      <c r="N48" s="2487"/>
      <c r="O48" s="2487"/>
      <c r="P48" s="3410" t="str">
        <f>A48</f>
        <v>成交单价（元/平方米）</v>
      </c>
      <c r="Q48" s="3399"/>
      <c r="R48" s="3400">
        <f>E48</f>
        <v>4</v>
      </c>
      <c r="S48" s="3400"/>
      <c r="T48" s="3400">
        <f>G48</f>
        <v>3.9</v>
      </c>
      <c r="U48" s="3400"/>
      <c r="V48" s="3400">
        <f>I48</f>
        <v>4</v>
      </c>
      <c r="W48" s="3400"/>
      <c r="X48" s="385"/>
      <c r="Y48" s="673"/>
      <c r="Z48" s="385"/>
      <c r="AA48" s="385"/>
      <c r="AB48" s="385"/>
      <c r="AC48" s="555"/>
    </row>
    <row r="49" spans="1:29" ht="14.5" thickBot="1">
      <c r="A49" s="423" t="s">
        <v>1793</v>
      </c>
      <c r="B49" s="424"/>
      <c r="C49" s="1082">
        <f>R50</f>
        <v>3.69</v>
      </c>
      <c r="D49" s="2141" t="s">
        <v>2138</v>
      </c>
      <c r="E49" s="1083">
        <f>R49</f>
        <v>3.77</v>
      </c>
      <c r="F49" s="2142"/>
      <c r="G49" s="1082">
        <f>T49</f>
        <v>3.57</v>
      </c>
      <c r="H49" s="2142"/>
      <c r="I49" s="1083">
        <f>V49</f>
        <v>3.74</v>
      </c>
      <c r="J49" s="2142"/>
      <c r="K49" s="2144">
        <f>F49+H49+J49</f>
        <v>0</v>
      </c>
      <c r="L49" s="2494"/>
      <c r="M49" s="2487"/>
      <c r="N49" s="2487"/>
      <c r="O49" s="2487"/>
      <c r="P49" s="3410" t="str">
        <f>A49</f>
        <v>比较价值（元/平方米）</v>
      </c>
      <c r="Q49" s="3399"/>
      <c r="R49" s="3400">
        <f>IF(F1="售价",ROUND(PRODUCT(R48,AA7:AA47),0),ROUND(PRODUCT(R48,AA7:AA47),2))</f>
        <v>3.77</v>
      </c>
      <c r="S49" s="3400"/>
      <c r="T49" s="3400">
        <f>IF(F1="售价",ROUND(PRODUCT(T48,AB7:AB47),0),ROUND(PRODUCT(T48,AB7:AB47),2))</f>
        <v>3.57</v>
      </c>
      <c r="U49" s="3400"/>
      <c r="V49" s="3400">
        <f>IF(F1="售价",ROUND(PRODUCT(V48,AC7:AC47),0),ROUND(PRODUCT(V48,AC7:AC47),2))</f>
        <v>3.74</v>
      </c>
      <c r="W49" s="3400"/>
      <c r="X49" s="385"/>
      <c r="Y49" s="385"/>
      <c r="Z49" s="385"/>
      <c r="AA49" s="385"/>
      <c r="AB49" s="385"/>
      <c r="AC49" s="555"/>
    </row>
    <row r="50" spans="1:29" ht="14.5" thickBot="1">
      <c r="A50" s="427" t="s">
        <v>1794</v>
      </c>
      <c r="B50" s="428"/>
      <c r="C50" s="351">
        <f>R50</f>
        <v>3.69</v>
      </c>
      <c r="D50" s="351"/>
      <c r="E50" s="351"/>
      <c r="F50" s="351"/>
      <c r="G50" s="351"/>
      <c r="H50" s="351"/>
      <c r="I50" s="351"/>
      <c r="J50" s="429"/>
      <c r="K50" s="675"/>
      <c r="L50" s="2494"/>
      <c r="M50" s="2487"/>
      <c r="N50" s="2487"/>
      <c r="O50" s="2487"/>
      <c r="P50" s="3441" t="str">
        <f>A50</f>
        <v>估价对象XX用房的比较价值（楼面单价，元/平方米）</v>
      </c>
      <c r="Q50" s="3442"/>
      <c r="R50" s="3443">
        <f>IF(F1="售价",ROUND(IF(D49="简单平均",AVERAGE(R49:V49),R49*F49+T49*H49+V49*J49),0),ROUND(IF(D49="简单平均",AVERAGE(R49:V49),R49*F49+T49*H49+V49*J49),2))</f>
        <v>3.69</v>
      </c>
      <c r="S50" s="3443"/>
      <c r="T50" s="3443"/>
      <c r="U50" s="3443"/>
      <c r="V50" s="3443"/>
      <c r="W50" s="3443"/>
      <c r="X50" s="1798"/>
      <c r="Y50" s="1798"/>
      <c r="Z50" s="1798"/>
      <c r="AA50" s="1798"/>
      <c r="AB50" s="1798"/>
      <c r="AC50" s="1799"/>
    </row>
    <row r="51" spans="1:29">
      <c r="A51" s="2487"/>
      <c r="B51" s="2487"/>
      <c r="C51" s="2487"/>
      <c r="D51" s="2487">
        <v>0.9</v>
      </c>
      <c r="E51" s="2487">
        <v>1.1000000000000001</v>
      </c>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3182" t="s">
        <v>3467</v>
      </c>
      <c r="D52" s="2487">
        <f>ROUND(C50*D51,2)</f>
        <v>3.32</v>
      </c>
      <c r="E52" s="2487">
        <f>ROUND(C50*E51,2)</f>
        <v>4.0599999999999996</v>
      </c>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6.1007957559681802E-2</v>
      </c>
      <c r="F53" s="435" t="str">
        <f>IF(OR(E53&gt;=0.3,E53&lt;=-0.3),"超过30%","")</f>
        <v/>
      </c>
      <c r="G53" s="434">
        <f>IF(G48&lt;G49,G49/G48-1,G48/G49-1)</f>
        <v>9.2436974789916082E-2</v>
      </c>
      <c r="H53" s="435" t="str">
        <f>IF(OR(G53&gt;=0.3,G53&lt;=-0.3),"超过30%","")</f>
        <v/>
      </c>
      <c r="I53" s="434">
        <f>IF(I48&lt;I49,I49/I48-1,I48/I49-1)</f>
        <v>6.9518716577539941E-2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5.6022408963585457E-2</v>
      </c>
      <c r="F54" s="435" t="str">
        <f>IF(OR(E54&gt;=0.2,E54&lt;=-0.2),"超过20%","")</f>
        <v/>
      </c>
      <c r="G54" s="434">
        <f>IF(G49&lt;I49,I49/G49-1,G49/I49-1)</f>
        <v>4.7619047619047672E-2</v>
      </c>
      <c r="H54" s="435" t="str">
        <f>IF(OR(G54&gt;=0.2,G54&lt;=-0.2),"超过20%","")</f>
        <v/>
      </c>
      <c r="I54" s="434">
        <f>IF(I49&lt;E49,E49/I49-1,I49/E49-1)</f>
        <v>8.0213903743315829E-3</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2.5641025641025772E-2</v>
      </c>
      <c r="F55" s="435" t="str">
        <f>IF(OR(E55&gt;=0.3,E55&lt;=-0.3),"超过30%","")</f>
        <v/>
      </c>
      <c r="G55" s="434">
        <f>IF(G48&lt;I48,I48/G48-1,G48/I48-1)</f>
        <v>2.5641025641025772E-2</v>
      </c>
      <c r="H55" s="435" t="str">
        <f>IF(OR(G55&gt;=0.3,G55&lt;=-0.3),"超过30%","")</f>
        <v/>
      </c>
      <c r="I55" s="434">
        <f>IF(I48&lt;E48,E48/I48-1,I48/E48-1)</f>
        <v>0</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c r="A62" s="455" t="s">
        <v>1681</v>
      </c>
      <c r="B62" s="444"/>
      <c r="C62" s="456" t="s">
        <v>1776</v>
      </c>
      <c r="D62" s="3171" t="s">
        <v>3439</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5" thickBot="1">
      <c r="A63" s="455"/>
      <c r="B63" s="444"/>
      <c r="C63" s="445">
        <v>100</v>
      </c>
      <c r="D63" s="446">
        <v>105</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97</v>
      </c>
      <c r="E78" s="475">
        <f>D78-$K15</f>
        <v>94</v>
      </c>
      <c r="F78" s="475">
        <f>E78-$K15</f>
        <v>91</v>
      </c>
      <c r="G78" s="475">
        <f>F78-$K15</f>
        <v>88</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99</v>
      </c>
      <c r="E84" s="475">
        <f>D84-$K21</f>
        <v>98</v>
      </c>
      <c r="F84" s="475">
        <f>E84-$K21</f>
        <v>97</v>
      </c>
      <c r="G84" s="475">
        <f>F84-$K21</f>
        <v>96</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2"/>
      <c r="O88" s="2522"/>
      <c r="P88" s="2530"/>
      <c r="Q88" s="2508"/>
      <c r="R88" s="2440"/>
      <c r="S88" s="2440"/>
      <c r="T88" s="2440"/>
      <c r="U88" s="2440"/>
      <c r="V88" s="2440"/>
      <c r="W88" s="2440"/>
      <c r="X88" s="2440"/>
      <c r="Y88" s="2440"/>
      <c r="Z88" s="2440"/>
      <c r="AA88" s="2440"/>
      <c r="AB88" s="2440"/>
      <c r="AC88" s="2440"/>
    </row>
    <row r="89" spans="1:29" s="102" customFormat="1" ht="14.5" thickTop="1">
      <c r="A89" s="370"/>
      <c r="B89" s="469" t="str">
        <f>B27</f>
        <v>楼层</v>
      </c>
      <c r="C89" s="3176" t="s">
        <v>3445</v>
      </c>
      <c r="D89" s="3176" t="s">
        <v>3446</v>
      </c>
      <c r="E89" s="3176" t="s">
        <v>3447</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2"/>
      <c r="O90" s="2522"/>
      <c r="P90" s="2530"/>
      <c r="Q90" s="2508"/>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80" t="s">
        <v>3461</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1737</v>
      </c>
      <c r="C103" s="509" t="str">
        <f>C104&amp;"(含)"&amp;"-"&amp;D104</f>
        <v>0(含)-100</v>
      </c>
      <c r="D103" s="509" t="str">
        <f t="shared" ref="D103:L103" si="23">D104&amp;"(含)"&amp;"-"&amp;E104</f>
        <v>100(含)-300</v>
      </c>
      <c r="E103" s="509" t="str">
        <f t="shared" si="23"/>
        <v>300(含)-500</v>
      </c>
      <c r="F103" s="509" t="str">
        <f t="shared" si="23"/>
        <v>500(含)-800</v>
      </c>
      <c r="G103" s="509" t="str">
        <f t="shared" si="23"/>
        <v>800(含)-1000</v>
      </c>
      <c r="H103" s="509" t="str">
        <f t="shared" si="23"/>
        <v>1000(含)-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100</v>
      </c>
      <c r="E104" s="6">
        <v>300</v>
      </c>
      <c r="F104" s="6">
        <v>500</v>
      </c>
      <c r="G104" s="6">
        <v>800</v>
      </c>
      <c r="H104" s="6">
        <v>1000</v>
      </c>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v>100</v>
      </c>
      <c r="D105" s="467">
        <f>C105-1</f>
        <v>99</v>
      </c>
      <c r="E105" s="467">
        <f t="shared" ref="E105:H105" si="24">D105-1</f>
        <v>98</v>
      </c>
      <c r="F105" s="467">
        <f t="shared" si="24"/>
        <v>97</v>
      </c>
      <c r="G105" s="467">
        <f t="shared" si="24"/>
        <v>96</v>
      </c>
      <c r="H105" s="467">
        <f t="shared" si="24"/>
        <v>95</v>
      </c>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1738</v>
      </c>
      <c r="C106" s="3176" t="s">
        <v>3444</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1824</v>
      </c>
      <c r="C113" s="3176"/>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3"/>
      <c r="O114" s="2523"/>
      <c r="P114" s="2531"/>
      <c r="Q114" s="2515"/>
      <c r="R114" s="2493"/>
      <c r="S114" s="2493"/>
      <c r="T114" s="2493"/>
      <c r="U114" s="2493"/>
      <c r="V114" s="2493"/>
      <c r="W114" s="2493"/>
      <c r="X114" s="2493"/>
      <c r="Y114" s="2493"/>
      <c r="Z114" s="2493"/>
      <c r="AA114" s="2493"/>
      <c r="AB114" s="2493"/>
      <c r="AC114" s="2493"/>
    </row>
    <row r="115" spans="1:29" ht="14.5" thickTop="1">
      <c r="A115" s="409"/>
      <c r="B115" s="469" t="s">
        <v>1741</v>
      </c>
      <c r="C115" s="3176" t="s">
        <v>3455</v>
      </c>
      <c r="D115" s="3176" t="s">
        <v>3456</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1825</v>
      </c>
      <c r="C119" s="3176" t="s">
        <v>3449</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1744</v>
      </c>
      <c r="C123" s="3176" t="s">
        <v>3450</v>
      </c>
      <c r="D123" s="3176" t="s">
        <v>3451</v>
      </c>
      <c r="E123" s="3176" t="s">
        <v>3452</v>
      </c>
      <c r="F123" s="3177" t="s">
        <v>3453</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5" thickTop="1">
      <c r="A127" s="406"/>
      <c r="B127" s="469">
        <f>B45</f>
        <v>0</v>
      </c>
      <c r="C127" s="3176"/>
      <c r="D127" s="3176"/>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658D9-9A0F-488B-9326-33C5B1EEA9E5}">
  <sheetPr>
    <tabColor rgb="FF7030A0"/>
  </sheetPr>
  <dimension ref="U9:Z12"/>
  <sheetViews>
    <sheetView topLeftCell="B61" workbookViewId="0">
      <selection activeCell="S92" sqref="S92"/>
    </sheetView>
  </sheetViews>
  <sheetFormatPr defaultRowHeight="14"/>
  <cols>
    <col min="21" max="21" width="22.08984375" customWidth="1"/>
  </cols>
  <sheetData>
    <row r="9" spans="21:26">
      <c r="V9" s="1405" t="s">
        <v>3387</v>
      </c>
      <c r="W9" s="1405" t="s">
        <v>654</v>
      </c>
      <c r="X9" s="1405" t="s">
        <v>3436</v>
      </c>
      <c r="Y9" s="1405" t="s">
        <v>3394</v>
      </c>
    </row>
    <row r="10" spans="21:26">
      <c r="U10" s="1405" t="s">
        <v>3429</v>
      </c>
      <c r="V10">
        <v>988</v>
      </c>
      <c r="W10">
        <v>4</v>
      </c>
      <c r="X10" s="1405" t="s">
        <v>3435</v>
      </c>
      <c r="Y10" s="1405" t="s">
        <v>3433</v>
      </c>
      <c r="Z10" s="1405" t="s">
        <v>3430</v>
      </c>
    </row>
    <row r="11" spans="21:26">
      <c r="U11" s="1405" t="s">
        <v>3437</v>
      </c>
      <c r="V11">
        <v>320</v>
      </c>
      <c r="W11">
        <v>3.9</v>
      </c>
      <c r="X11" s="1405" t="s">
        <v>3435</v>
      </c>
      <c r="Y11" s="1405" t="s">
        <v>3433</v>
      </c>
      <c r="Z11" s="1405" t="s">
        <v>3430</v>
      </c>
    </row>
    <row r="12" spans="21:26">
      <c r="U12" s="1405" t="s">
        <v>3458</v>
      </c>
      <c r="V12">
        <v>569.62</v>
      </c>
      <c r="W12">
        <v>4</v>
      </c>
      <c r="X12" s="1405" t="s">
        <v>3435</v>
      </c>
      <c r="Y12" s="1405" t="s">
        <v>3433</v>
      </c>
      <c r="Z12" s="1405" t="s">
        <v>3430</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受贵公司委托，我公司对北京市海淀区西北旺东路10号院21号楼102进行了预评估。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估价对象为北京市海淀区西北旺东路10号院21号楼102房地产，为所有。根据《国有土地使用证》[]，估价对象（分摊）出让国有建设用地使用权面积为0平方米，建筑面积为960平方米。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北旺东路10号院21号楼102房地产,属开发建设的，该项目尚在开发建设中。根据《国有土地使用证》[]，估价对象（分摊）出让国有建设用地使用权面积为0平方米，规划建筑面积为960平方米。</v>
      </c>
    </row>
    <row r="11" spans="1:1" ht="71">
      <c r="A11" s="1385" t="s">
        <v>903</v>
      </c>
    </row>
    <row r="12" spans="1:1" ht="18">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
      <c r="A14" s="1381" t="s">
        <v>905</v>
      </c>
    </row>
    <row r="15" spans="1:1" ht="17.5">
      <c r="A15" s="1386" t="str">
        <f>TEXT(项目基本情况!D3,"yyyy年m月d日;;")&amp;IF(项目基本情况!D3=项目基本情况!B3,"（评估专业人员实地查勘之日）","")</f>
        <v>2025年11月6日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本次评估采用的主估价方法为基准地价系数修正法和基准地价系数修正法。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960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14" t="s">
        <v>1770</v>
      </c>
      <c r="D4" s="3415"/>
      <c r="E4" s="3416" t="s">
        <v>1771</v>
      </c>
      <c r="F4" s="3417"/>
      <c r="G4" s="3414" t="s">
        <v>1772</v>
      </c>
      <c r="H4" s="3415"/>
      <c r="I4" s="3414" t="s">
        <v>1773</v>
      </c>
      <c r="J4" s="3415"/>
      <c r="K4" s="537" t="s">
        <v>1774</v>
      </c>
      <c r="L4" s="860"/>
      <c r="M4" s="861"/>
      <c r="N4" s="861"/>
      <c r="O4" s="861"/>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860"/>
      <c r="M5" s="861"/>
      <c r="N5" s="861"/>
      <c r="O5" s="861"/>
      <c r="P5" s="3420"/>
      <c r="Q5" s="3421"/>
      <c r="R5" s="3426"/>
      <c r="S5" s="3427"/>
      <c r="T5" s="3426"/>
      <c r="U5" s="3427"/>
      <c r="V5" s="3400"/>
      <c r="W5" s="3400"/>
      <c r="X5" s="1265"/>
      <c r="Y5" s="3426"/>
      <c r="Z5" s="3427"/>
      <c r="AA5" s="3412"/>
      <c r="AB5" s="3412"/>
      <c r="AC5" s="3412"/>
    </row>
    <row r="6" spans="1:29" ht="15" thickBot="1">
      <c r="A6" s="350"/>
      <c r="B6" s="351"/>
      <c r="C6" s="3430" t="s">
        <v>1677</v>
      </c>
      <c r="D6" s="3431"/>
      <c r="E6" s="3437" t="s">
        <v>1677</v>
      </c>
      <c r="F6" s="3438"/>
      <c r="G6" s="3430" t="s">
        <v>1677</v>
      </c>
      <c r="H6" s="3431"/>
      <c r="I6" s="3430" t="s">
        <v>1677</v>
      </c>
      <c r="J6" s="3431"/>
      <c r="K6" s="537" t="s">
        <v>1678</v>
      </c>
      <c r="L6" s="860"/>
      <c r="M6" s="861"/>
      <c r="N6" s="861"/>
      <c r="O6" s="861"/>
      <c r="P6" s="3422"/>
      <c r="Q6" s="3423"/>
      <c r="R6" s="3426"/>
      <c r="S6" s="3427"/>
      <c r="T6" s="3428"/>
      <c r="U6" s="3429"/>
      <c r="V6" s="3400"/>
      <c r="W6" s="3400"/>
      <c r="X6" s="1265"/>
      <c r="Y6" s="3428"/>
      <c r="Z6" s="3429"/>
      <c r="AA6" s="3413"/>
      <c r="AB6" s="3413"/>
      <c r="AC6" s="3413"/>
    </row>
    <row r="7" spans="1:29" s="102" customFormat="1" ht="14.5" thickBot="1">
      <c r="A7" s="352" t="s">
        <v>1679</v>
      </c>
      <c r="B7" s="353"/>
      <c r="C7" s="354">
        <f>'数据-取费表'!B2</f>
        <v>45967</v>
      </c>
      <c r="D7" s="355">
        <v>100</v>
      </c>
      <c r="E7" s="356"/>
      <c r="F7" s="357">
        <f>SUMIF(52:52,YEAR(E7)&amp;"-"&amp;MONTH(E7),53:53)</f>
        <v>0</v>
      </c>
      <c r="G7" s="356"/>
      <c r="H7" s="355">
        <f>SUMIF(52:52,YEAR(G7)&amp;"-"&amp;MONTH(G7),53:53)</f>
        <v>0</v>
      </c>
      <c r="I7" s="356"/>
      <c r="J7" s="355">
        <f>SUMIF(52:52,YEAR(I7)&amp;"-"&amp;MONTH(I7),53:53)</f>
        <v>0</v>
      </c>
      <c r="K7" s="38"/>
      <c r="L7" s="862"/>
      <c r="M7" s="863"/>
      <c r="N7" s="863"/>
      <c r="O7" s="863"/>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4" t="s">
        <v>1683</v>
      </c>
      <c r="Q8" s="3435"/>
      <c r="R8" s="664" t="s">
        <v>14</v>
      </c>
      <c r="S8" s="665">
        <f t="shared" si="0"/>
        <v>100</v>
      </c>
      <c r="T8" s="664" t="s">
        <v>14</v>
      </c>
      <c r="U8" s="665">
        <f t="shared" si="1"/>
        <v>100</v>
      </c>
      <c r="V8" s="664" t="s">
        <v>14</v>
      </c>
      <c r="W8" s="665">
        <f t="shared" si="2"/>
        <v>100</v>
      </c>
      <c r="X8" s="666"/>
      <c r="Y8" s="3434" t="s">
        <v>1683</v>
      </c>
      <c r="Z8" s="343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9"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99"/>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9"/>
      <c r="Q11" s="530" t="str">
        <f t="shared" si="6"/>
        <v>容积率</v>
      </c>
      <c r="R11" s="664" t="s">
        <v>14</v>
      </c>
      <c r="S11" s="665">
        <f t="shared" si="0"/>
        <v>100</v>
      </c>
      <c r="T11" s="664" t="s">
        <v>14</v>
      </c>
      <c r="U11" s="665">
        <f t="shared" si="1"/>
        <v>100</v>
      </c>
      <c r="V11" s="664" t="s">
        <v>14</v>
      </c>
      <c r="W11" s="665">
        <f t="shared" si="2"/>
        <v>100</v>
      </c>
      <c r="X11" s="666"/>
      <c r="Y11" s="3274"/>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9"/>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9"/>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9"/>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02"/>
      <c r="Q16" s="1263"/>
      <c r="R16" s="667"/>
      <c r="S16" s="668"/>
      <c r="T16" s="667"/>
      <c r="U16" s="668"/>
      <c r="V16" s="667"/>
      <c r="W16" s="668"/>
      <c r="X16" s="1265"/>
      <c r="Y16" s="3402"/>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02"/>
      <c r="Q18" s="1263"/>
      <c r="R18" s="667"/>
      <c r="S18" s="668"/>
      <c r="T18" s="667"/>
      <c r="U18" s="668"/>
      <c r="V18" s="667"/>
      <c r="W18" s="668"/>
      <c r="X18" s="1265"/>
      <c r="Y18" s="3402"/>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2"/>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02"/>
      <c r="Q20" s="1263"/>
      <c r="R20" s="667"/>
      <c r="S20" s="668"/>
      <c r="T20" s="667"/>
      <c r="U20" s="668"/>
      <c r="V20" s="667"/>
      <c r="W20" s="668"/>
      <c r="X20" s="1265"/>
      <c r="Y20" s="3402"/>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2"/>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02"/>
      <c r="Q22" s="1263"/>
      <c r="R22" s="667"/>
      <c r="S22" s="668"/>
      <c r="T22" s="667"/>
      <c r="U22" s="668"/>
      <c r="V22" s="667"/>
      <c r="W22" s="668"/>
      <c r="X22" s="1265"/>
      <c r="Y22" s="3402"/>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2"/>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02"/>
      <c r="Q24" s="1263"/>
      <c r="R24" s="667"/>
      <c r="S24" s="668"/>
      <c r="T24" s="667"/>
      <c r="U24" s="668"/>
      <c r="V24" s="667"/>
      <c r="W24" s="668"/>
      <c r="X24" s="1265"/>
      <c r="Y24" s="3402"/>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2"/>
      <c r="Q25" s="1263">
        <f>B25</f>
        <v>111</v>
      </c>
      <c r="R25" s="667" t="s">
        <v>14</v>
      </c>
      <c r="S25" s="668">
        <f>F25</f>
        <v>100</v>
      </c>
      <c r="T25" s="667" t="s">
        <v>14</v>
      </c>
      <c r="U25" s="668">
        <f>H25</f>
        <v>100</v>
      </c>
      <c r="V25" s="667" t="s">
        <v>14</v>
      </c>
      <c r="W25" s="668">
        <f>J25</f>
        <v>100</v>
      </c>
      <c r="X25" s="1265"/>
      <c r="Y25" s="3402"/>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2"/>
      <c r="Q26" s="1263">
        <f t="shared" ref="Q26:Q40" si="11">B26</f>
        <v>111</v>
      </c>
      <c r="R26" s="667" t="s">
        <v>14</v>
      </c>
      <c r="S26" s="668">
        <f>F26</f>
        <v>100</v>
      </c>
      <c r="T26" s="667" t="s">
        <v>14</v>
      </c>
      <c r="U26" s="668">
        <f>H26</f>
        <v>100</v>
      </c>
      <c r="V26" s="667" t="s">
        <v>14</v>
      </c>
      <c r="W26" s="668">
        <f>J26</f>
        <v>100</v>
      </c>
      <c r="X26" s="1265"/>
      <c r="Y26" s="3402"/>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2"/>
      <c r="Q27" s="530">
        <f t="shared" si="11"/>
        <v>111</v>
      </c>
      <c r="R27" s="664" t="s">
        <v>14</v>
      </c>
      <c r="S27" s="665">
        <f>F27</f>
        <v>100</v>
      </c>
      <c r="T27" s="664" t="s">
        <v>14</v>
      </c>
      <c r="U27" s="665">
        <f>H27</f>
        <v>100</v>
      </c>
      <c r="V27" s="664" t="s">
        <v>14</v>
      </c>
      <c r="W27" s="665">
        <f>J27</f>
        <v>100</v>
      </c>
      <c r="X27" s="666"/>
      <c r="Y27" s="3402"/>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2"/>
      <c r="Q28" s="1263">
        <f t="shared" si="11"/>
        <v>111</v>
      </c>
      <c r="R28" s="667" t="s">
        <v>14</v>
      </c>
      <c r="S28" s="668">
        <f t="shared" ref="S28:S40" si="12">F28</f>
        <v>100</v>
      </c>
      <c r="T28" s="667" t="s">
        <v>14</v>
      </c>
      <c r="U28" s="668">
        <f t="shared" ref="U28:U40" si="13">H28</f>
        <v>100</v>
      </c>
      <c r="V28" s="667" t="s">
        <v>14</v>
      </c>
      <c r="W28" s="668">
        <f t="shared" ref="W28:W40" si="14">J28</f>
        <v>100</v>
      </c>
      <c r="X28" s="1265"/>
      <c r="Y28" s="3402"/>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7" t="s">
        <v>1696</v>
      </c>
      <c r="Q29" s="1263" t="str">
        <f t="shared" si="11"/>
        <v>建筑类型</v>
      </c>
      <c r="R29" s="667" t="s">
        <v>14</v>
      </c>
      <c r="S29" s="668">
        <f t="shared" si="12"/>
        <v>100</v>
      </c>
      <c r="T29" s="667" t="s">
        <v>14</v>
      </c>
      <c r="U29" s="668">
        <f t="shared" si="13"/>
        <v>100</v>
      </c>
      <c r="V29" s="667" t="s">
        <v>14</v>
      </c>
      <c r="W29" s="668">
        <f t="shared" si="14"/>
        <v>100</v>
      </c>
      <c r="X29" s="1265"/>
      <c r="Y29" s="3406"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6"/>
      <c r="Q30" s="531" t="str">
        <f t="shared" si="11"/>
        <v>项目建筑规模</v>
      </c>
      <c r="R30" s="669" t="s">
        <v>14</v>
      </c>
      <c r="S30" s="670" t="e">
        <f t="shared" si="12"/>
        <v>#N/A</v>
      </c>
      <c r="T30" s="669" t="s">
        <v>14</v>
      </c>
      <c r="U30" s="670" t="e">
        <f t="shared" si="13"/>
        <v>#N/A</v>
      </c>
      <c r="V30" s="669" t="s">
        <v>14</v>
      </c>
      <c r="W30" s="670" t="e">
        <f t="shared" si="14"/>
        <v>#N/A</v>
      </c>
      <c r="X30" s="671"/>
      <c r="Y30" s="3406"/>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6"/>
      <c r="Q31" s="1263" t="str">
        <f t="shared" si="11"/>
        <v>建筑结构</v>
      </c>
      <c r="R31" s="667" t="s">
        <v>14</v>
      </c>
      <c r="S31" s="668">
        <f t="shared" si="12"/>
        <v>100</v>
      </c>
      <c r="T31" s="667" t="s">
        <v>14</v>
      </c>
      <c r="U31" s="668">
        <f t="shared" si="13"/>
        <v>100</v>
      </c>
      <c r="V31" s="667" t="s">
        <v>14</v>
      </c>
      <c r="W31" s="668">
        <f t="shared" si="14"/>
        <v>100</v>
      </c>
      <c r="X31" s="1265"/>
      <c r="Y31" s="3406"/>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6"/>
      <c r="Q32" s="1263" t="str">
        <f t="shared" si="11"/>
        <v>公共部分装修</v>
      </c>
      <c r="R32" s="667" t="s">
        <v>14</v>
      </c>
      <c r="S32" s="668">
        <f t="shared" si="12"/>
        <v>100</v>
      </c>
      <c r="T32" s="667" t="s">
        <v>14</v>
      </c>
      <c r="U32" s="668">
        <f t="shared" si="13"/>
        <v>100</v>
      </c>
      <c r="V32" s="667" t="s">
        <v>14</v>
      </c>
      <c r="W32" s="668">
        <f t="shared" si="14"/>
        <v>100</v>
      </c>
      <c r="X32" s="1265"/>
      <c r="Y32" s="3406"/>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6"/>
      <c r="Q33" s="1263" t="str">
        <f t="shared" si="11"/>
        <v>成新度</v>
      </c>
      <c r="R33" s="667" t="s">
        <v>14</v>
      </c>
      <c r="S33" s="668" t="e">
        <f t="shared" si="12"/>
        <v>#N/A</v>
      </c>
      <c r="T33" s="667" t="s">
        <v>14</v>
      </c>
      <c r="U33" s="668" t="e">
        <f t="shared" si="13"/>
        <v>#N/A</v>
      </c>
      <c r="V33" s="667" t="s">
        <v>14</v>
      </c>
      <c r="W33" s="668" t="e">
        <f t="shared" si="14"/>
        <v>#N/A</v>
      </c>
      <c r="X33" s="1265"/>
      <c r="Y33" s="3406"/>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6"/>
      <c r="Q34" s="530" t="str">
        <f t="shared" si="11"/>
        <v>物业管理</v>
      </c>
      <c r="R34" s="664" t="s">
        <v>14</v>
      </c>
      <c r="S34" s="665">
        <f t="shared" si="12"/>
        <v>100</v>
      </c>
      <c r="T34" s="664" t="s">
        <v>14</v>
      </c>
      <c r="U34" s="665">
        <f t="shared" si="13"/>
        <v>100</v>
      </c>
      <c r="V34" s="664" t="s">
        <v>14</v>
      </c>
      <c r="W34" s="665">
        <f t="shared" si="14"/>
        <v>100</v>
      </c>
      <c r="X34" s="666"/>
      <c r="Y34" s="3406"/>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6" t="s">
        <v>1696</v>
      </c>
      <c r="Q35" s="1263" t="str">
        <f t="shared" si="11"/>
        <v>市政基础设施</v>
      </c>
      <c r="R35" s="667" t="s">
        <v>14</v>
      </c>
      <c r="S35" s="668">
        <f t="shared" si="12"/>
        <v>100</v>
      </c>
      <c r="T35" s="667" t="s">
        <v>14</v>
      </c>
      <c r="U35" s="668">
        <f t="shared" si="13"/>
        <v>100</v>
      </c>
      <c r="V35" s="667" t="s">
        <v>14</v>
      </c>
      <c r="W35" s="668">
        <f t="shared" si="14"/>
        <v>100</v>
      </c>
      <c r="X35" s="1265"/>
      <c r="Y35" s="3406"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6"/>
      <c r="Q36" s="1263" t="str">
        <f t="shared" si="11"/>
        <v>内部装修</v>
      </c>
      <c r="R36" s="667" t="s">
        <v>14</v>
      </c>
      <c r="S36" s="668">
        <f t="shared" si="12"/>
        <v>100</v>
      </c>
      <c r="T36" s="667" t="s">
        <v>14</v>
      </c>
      <c r="U36" s="668">
        <f t="shared" si="13"/>
        <v>100</v>
      </c>
      <c r="V36" s="667" t="s">
        <v>14</v>
      </c>
      <c r="W36" s="668">
        <f t="shared" si="14"/>
        <v>100</v>
      </c>
      <c r="X36" s="1265"/>
      <c r="Y36" s="3406"/>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6"/>
      <c r="Q37" s="1263" t="str">
        <f t="shared" si="11"/>
        <v>内部装修状况</v>
      </c>
      <c r="R37" s="667" t="s">
        <v>14</v>
      </c>
      <c r="S37" s="668">
        <f t="shared" si="12"/>
        <v>100</v>
      </c>
      <c r="T37" s="667" t="s">
        <v>14</v>
      </c>
      <c r="U37" s="668">
        <f t="shared" si="13"/>
        <v>100</v>
      </c>
      <c r="V37" s="667" t="s">
        <v>14</v>
      </c>
      <c r="W37" s="668">
        <f t="shared" si="14"/>
        <v>100</v>
      </c>
      <c r="X37" s="1265"/>
      <c r="Y37" s="3406"/>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6"/>
      <c r="Q38" s="531">
        <f t="shared" si="11"/>
        <v>111</v>
      </c>
      <c r="R38" s="669" t="s">
        <v>14</v>
      </c>
      <c r="S38" s="670">
        <f t="shared" si="12"/>
        <v>100</v>
      </c>
      <c r="T38" s="669" t="s">
        <v>14</v>
      </c>
      <c r="U38" s="670">
        <f t="shared" si="13"/>
        <v>100</v>
      </c>
      <c r="V38" s="669" t="s">
        <v>14</v>
      </c>
      <c r="W38" s="670">
        <f t="shared" si="14"/>
        <v>100</v>
      </c>
      <c r="X38" s="671"/>
      <c r="Y38" s="3406"/>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6"/>
      <c r="Q39" s="1263">
        <f t="shared" si="11"/>
        <v>111</v>
      </c>
      <c r="R39" s="667" t="s">
        <v>14</v>
      </c>
      <c r="S39" s="668">
        <f t="shared" si="12"/>
        <v>100</v>
      </c>
      <c r="T39" s="667" t="s">
        <v>14</v>
      </c>
      <c r="U39" s="668">
        <f t="shared" si="13"/>
        <v>100</v>
      </c>
      <c r="V39" s="667" t="s">
        <v>14</v>
      </c>
      <c r="W39" s="668">
        <f t="shared" si="14"/>
        <v>100</v>
      </c>
      <c r="X39" s="1265"/>
      <c r="Y39" s="3406"/>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7"/>
      <c r="Q40" s="1263">
        <f t="shared" si="11"/>
        <v>111</v>
      </c>
      <c r="R40" s="667" t="s">
        <v>14</v>
      </c>
      <c r="S40" s="668">
        <f t="shared" si="12"/>
        <v>100</v>
      </c>
      <c r="T40" s="667" t="s">
        <v>14</v>
      </c>
      <c r="U40" s="668">
        <f t="shared" si="13"/>
        <v>100</v>
      </c>
      <c r="V40" s="667" t="s">
        <v>14</v>
      </c>
      <c r="W40" s="668">
        <f t="shared" si="14"/>
        <v>100</v>
      </c>
      <c r="X40" s="1265"/>
      <c r="Y40" s="3407"/>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99" t="str">
        <f>A41</f>
        <v>成交单价（元/平方米）</v>
      </c>
      <c r="Q41" s="3399"/>
      <c r="R41" s="3400">
        <f>E41</f>
        <v>0</v>
      </c>
      <c r="S41" s="3400"/>
      <c r="T41" s="3400">
        <f>G41</f>
        <v>0</v>
      </c>
      <c r="U41" s="3400"/>
      <c r="V41" s="3400">
        <f>I41</f>
        <v>0</v>
      </c>
      <c r="W41" s="3400"/>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9" t="str">
        <f>A42</f>
        <v>比较价值（元/平方米）</v>
      </c>
      <c r="Q42" s="3399"/>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96" t="str">
        <f>A43</f>
        <v>估价对象XX用房的比较价值（楼面单价，元/平方米）</v>
      </c>
      <c r="Q43" s="3397"/>
      <c r="R43" s="3398" t="e">
        <f>IF(F1="售价",ROUND(IF(D42="简单平均",AVERAGE(R42:V42),R42*F42+T42*H42+V42*J42),0),ROUND(IF(D42="简单平均",AVERAGE(R42:V42),R42*F42+T42*H42+V42*J42),1))</f>
        <v>#DIV/0!</v>
      </c>
      <c r="S43" s="3398"/>
      <c r="T43" s="3398"/>
      <c r="U43" s="3398"/>
      <c r="V43" s="3398"/>
      <c r="W43" s="3398"/>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8"/>
      <c r="O54" s="2539"/>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c r="A4" s="345" t="s">
        <v>1769</v>
      </c>
      <c r="B4" s="346"/>
      <c r="C4" s="3414" t="s">
        <v>1770</v>
      </c>
      <c r="D4" s="3415"/>
      <c r="E4" s="3416" t="s">
        <v>1771</v>
      </c>
      <c r="F4" s="3417"/>
      <c r="G4" s="3414" t="s">
        <v>1772</v>
      </c>
      <c r="H4" s="3415"/>
      <c r="I4" s="3414" t="s">
        <v>1773</v>
      </c>
      <c r="J4" s="3415"/>
      <c r="K4" s="537" t="s">
        <v>1774</v>
      </c>
      <c r="L4" s="2486"/>
      <c r="M4" s="2487"/>
      <c r="N4" s="2487"/>
      <c r="O4" s="2487"/>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2486"/>
      <c r="M5" s="2487"/>
      <c r="N5" s="2487"/>
      <c r="O5" s="2487"/>
      <c r="P5" s="3420"/>
      <c r="Q5" s="3421"/>
      <c r="R5" s="3426"/>
      <c r="S5" s="3427"/>
      <c r="T5" s="3426"/>
      <c r="U5" s="3427"/>
      <c r="V5" s="3400"/>
      <c r="W5" s="3400"/>
      <c r="X5" s="1265"/>
      <c r="Y5" s="3426"/>
      <c r="Z5" s="3427"/>
      <c r="AA5" s="3412"/>
      <c r="AB5" s="3412"/>
      <c r="AC5" s="3412"/>
    </row>
    <row r="6" spans="1:29" ht="15" thickBot="1">
      <c r="A6" s="350"/>
      <c r="B6" s="351"/>
      <c r="C6" s="3430" t="s">
        <v>1677</v>
      </c>
      <c r="D6" s="3431"/>
      <c r="E6" s="3437" t="s">
        <v>1677</v>
      </c>
      <c r="F6" s="3438"/>
      <c r="G6" s="3430" t="s">
        <v>1677</v>
      </c>
      <c r="H6" s="3431"/>
      <c r="I6" s="3430" t="s">
        <v>1677</v>
      </c>
      <c r="J6" s="3431"/>
      <c r="K6" s="537" t="s">
        <v>1678</v>
      </c>
      <c r="L6" s="2486"/>
      <c r="M6" s="2487"/>
      <c r="N6" s="2487"/>
      <c r="O6" s="2487"/>
      <c r="P6" s="3422"/>
      <c r="Q6" s="3423"/>
      <c r="R6" s="3426"/>
      <c r="S6" s="3427"/>
      <c r="T6" s="3428"/>
      <c r="U6" s="3429"/>
      <c r="V6" s="3400"/>
      <c r="W6" s="3400"/>
      <c r="X6" s="1265"/>
      <c r="Y6" s="3428"/>
      <c r="Z6" s="3429"/>
      <c r="AA6" s="3413"/>
      <c r="AB6" s="3413"/>
      <c r="AC6" s="3413"/>
    </row>
    <row r="7" spans="1:29" s="102" customFormat="1" ht="14.5" thickBot="1">
      <c r="A7" s="352" t="s">
        <v>1679</v>
      </c>
      <c r="B7" s="353"/>
      <c r="C7" s="354">
        <f>'数据-取费表'!B2</f>
        <v>45967</v>
      </c>
      <c r="D7" s="355">
        <v>100</v>
      </c>
      <c r="E7" s="356"/>
      <c r="F7" s="357">
        <f>SUMIF(48:48,YEAR(E7)&amp;"-"&amp;MONTH(E7),49:49)</f>
        <v>0</v>
      </c>
      <c r="G7" s="356"/>
      <c r="H7" s="355">
        <f>SUMIF(48:48,YEAR(G7)&amp;"-"&amp;MONTH(G7),49:49)</f>
        <v>0</v>
      </c>
      <c r="I7" s="356"/>
      <c r="J7" s="355">
        <f>SUMIF(48:48,YEAR(I7)&amp;"-"&amp;MONTH(I7),49:49)</f>
        <v>0</v>
      </c>
      <c r="K7" s="38"/>
      <c r="L7" s="2488"/>
      <c r="M7" s="2440"/>
      <c r="N7" s="2440"/>
      <c r="O7" s="2440"/>
      <c r="P7" s="3434" t="s">
        <v>1680</v>
      </c>
      <c r="Q7" s="3436"/>
      <c r="R7" s="664" t="s">
        <v>14</v>
      </c>
      <c r="S7" s="665">
        <f t="shared" ref="S7:S14" si="0">F7</f>
        <v>0</v>
      </c>
      <c r="T7" s="664" t="s">
        <v>14</v>
      </c>
      <c r="U7" s="665">
        <f t="shared" ref="U7:U14" si="1">H7</f>
        <v>0</v>
      </c>
      <c r="V7" s="664" t="s">
        <v>14</v>
      </c>
      <c r="W7" s="665">
        <f t="shared" ref="W7:W14" si="2">J7</f>
        <v>0</v>
      </c>
      <c r="X7" s="666"/>
      <c r="Y7" s="3434" t="s">
        <v>1680</v>
      </c>
      <c r="Z7" s="3435"/>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34" t="s">
        <v>1683</v>
      </c>
      <c r="Q8" s="3435"/>
      <c r="R8" s="664" t="s">
        <v>14</v>
      </c>
      <c r="S8" s="665">
        <f t="shared" si="0"/>
        <v>100</v>
      </c>
      <c r="T8" s="664" t="s">
        <v>14</v>
      </c>
      <c r="U8" s="665">
        <f t="shared" si="1"/>
        <v>100</v>
      </c>
      <c r="V8" s="664" t="s">
        <v>14</v>
      </c>
      <c r="W8" s="665">
        <f t="shared" si="2"/>
        <v>100</v>
      </c>
      <c r="X8" s="666"/>
      <c r="Y8" s="3434" t="s">
        <v>1683</v>
      </c>
      <c r="Z8" s="343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99" t="s">
        <v>1686</v>
      </c>
      <c r="Q9" s="530" t="str">
        <f t="shared" ref="Q9:Q14" si="6">B9</f>
        <v>用途</v>
      </c>
      <c r="R9" s="664" t="s">
        <v>14</v>
      </c>
      <c r="S9" s="665">
        <f t="shared" si="0"/>
        <v>100</v>
      </c>
      <c r="T9" s="664" t="s">
        <v>14</v>
      </c>
      <c r="U9" s="665">
        <f t="shared" si="1"/>
        <v>100</v>
      </c>
      <c r="V9" s="664" t="s">
        <v>14</v>
      </c>
      <c r="W9" s="665">
        <f t="shared" si="2"/>
        <v>100</v>
      </c>
      <c r="X9" s="666"/>
      <c r="Y9" s="3274" t="s">
        <v>1687</v>
      </c>
      <c r="Z9" s="50" t="str">
        <f t="shared" ref="Z9:Z14" si="7">Q9</f>
        <v>用途</v>
      </c>
      <c r="AA9" s="50">
        <f t="shared" si="3"/>
        <v>1</v>
      </c>
      <c r="AB9" s="50">
        <f t="shared" si="4"/>
        <v>1</v>
      </c>
      <c r="AC9" s="50">
        <f t="shared" si="5"/>
        <v>1</v>
      </c>
    </row>
    <row r="10" spans="1:29" s="366" customFormat="1" ht="2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99"/>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99"/>
      <c r="Q11" s="530">
        <f t="shared" si="6"/>
        <v>111</v>
      </c>
      <c r="R11" s="664" t="s">
        <v>14</v>
      </c>
      <c r="S11" s="665">
        <f t="shared" si="0"/>
        <v>100</v>
      </c>
      <c r="T11" s="664" t="s">
        <v>14</v>
      </c>
      <c r="U11" s="665">
        <f t="shared" si="1"/>
        <v>100</v>
      </c>
      <c r="V11" s="664" t="s">
        <v>14</v>
      </c>
      <c r="W11" s="665">
        <f t="shared" si="2"/>
        <v>100</v>
      </c>
      <c r="X11" s="666"/>
      <c r="Y11" s="3274"/>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99"/>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99"/>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2"/>
      <c r="M15" s="2487"/>
      <c r="N15" s="2487"/>
      <c r="O15" s="2487"/>
      <c r="P15" s="3402"/>
      <c r="Q15" s="1263"/>
      <c r="R15" s="667"/>
      <c r="S15" s="668"/>
      <c r="T15" s="667"/>
      <c r="U15" s="668"/>
      <c r="V15" s="667"/>
      <c r="W15" s="668"/>
      <c r="X15" s="1265"/>
      <c r="Y15" s="3402"/>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2"/>
      <c r="M17" s="2487"/>
      <c r="N17" s="2487"/>
      <c r="O17" s="2487"/>
      <c r="P17" s="3402"/>
      <c r="Q17" s="1263"/>
      <c r="R17" s="667"/>
      <c r="S17" s="668"/>
      <c r="T17" s="667"/>
      <c r="U17" s="668"/>
      <c r="V17" s="667"/>
      <c r="W17" s="668"/>
      <c r="X17" s="1265"/>
      <c r="Y17" s="3402"/>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2"/>
      <c r="M19" s="2487"/>
      <c r="N19" s="2487"/>
      <c r="O19" s="2487"/>
      <c r="P19" s="3402"/>
      <c r="Q19" s="1263"/>
      <c r="R19" s="667"/>
      <c r="S19" s="668"/>
      <c r="T19" s="667"/>
      <c r="U19" s="668"/>
      <c r="V19" s="667"/>
      <c r="W19" s="668"/>
      <c r="X19" s="1265"/>
      <c r="Y19" s="3402"/>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2"/>
      <c r="M21" s="2487"/>
      <c r="N21" s="2487"/>
      <c r="O21" s="2487"/>
      <c r="P21" s="3402"/>
      <c r="Q21" s="1263"/>
      <c r="R21" s="667"/>
      <c r="S21" s="668"/>
      <c r="T21" s="667"/>
      <c r="U21" s="668"/>
      <c r="V21" s="667"/>
      <c r="W21" s="668"/>
      <c r="X21" s="1265"/>
      <c r="Y21" s="3402"/>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2"/>
      <c r="Q24" s="1263">
        <f t="shared" ref="Q24:Q36"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6"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6"/>
      <c r="Q27" s="531" t="str">
        <f t="shared" si="11"/>
        <v>项目停车位配比</v>
      </c>
      <c r="R27" s="669" t="s">
        <v>14</v>
      </c>
      <c r="S27" s="670">
        <f t="shared" si="12"/>
        <v>100</v>
      </c>
      <c r="T27" s="669" t="s">
        <v>14</v>
      </c>
      <c r="U27" s="670">
        <f t="shared" si="13"/>
        <v>100</v>
      </c>
      <c r="V27" s="669" t="s">
        <v>14</v>
      </c>
      <c r="W27" s="670">
        <f t="shared" si="14"/>
        <v>100</v>
      </c>
      <c r="X27" s="671"/>
      <c r="Y27" s="3406"/>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6"/>
      <c r="Q28" s="1263" t="str">
        <f t="shared" si="11"/>
        <v>公共部分装修</v>
      </c>
      <c r="R28" s="667" t="s">
        <v>14</v>
      </c>
      <c r="S28" s="668">
        <f t="shared" si="12"/>
        <v>100</v>
      </c>
      <c r="T28" s="667" t="s">
        <v>14</v>
      </c>
      <c r="U28" s="668">
        <f t="shared" si="13"/>
        <v>100</v>
      </c>
      <c r="V28" s="667" t="s">
        <v>14</v>
      </c>
      <c r="W28" s="668">
        <f t="shared" si="14"/>
        <v>100</v>
      </c>
      <c r="X28" s="1265"/>
      <c r="Y28" s="3406"/>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6"/>
      <c r="Q29" s="1263" t="str">
        <f t="shared" si="11"/>
        <v>成新率</v>
      </c>
      <c r="R29" s="667" t="s">
        <v>14</v>
      </c>
      <c r="S29" s="668" t="e">
        <f t="shared" si="12"/>
        <v>#N/A</v>
      </c>
      <c r="T29" s="667" t="s">
        <v>14</v>
      </c>
      <c r="U29" s="668" t="e">
        <f t="shared" si="13"/>
        <v>#N/A</v>
      </c>
      <c r="V29" s="667" t="s">
        <v>14</v>
      </c>
      <c r="W29" s="668" t="e">
        <f t="shared" si="14"/>
        <v>#N/A</v>
      </c>
      <c r="X29" s="1265"/>
      <c r="Y29" s="3406"/>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6"/>
      <c r="Q30" s="1263" t="str">
        <f t="shared" si="11"/>
        <v>物业等级</v>
      </c>
      <c r="R30" s="667" t="s">
        <v>14</v>
      </c>
      <c r="S30" s="668">
        <f t="shared" si="12"/>
        <v>100</v>
      </c>
      <c r="T30" s="667" t="s">
        <v>14</v>
      </c>
      <c r="U30" s="668">
        <f t="shared" si="13"/>
        <v>100</v>
      </c>
      <c r="V30" s="667" t="s">
        <v>14</v>
      </c>
      <c r="W30" s="668">
        <f t="shared" si="14"/>
        <v>100</v>
      </c>
      <c r="X30" s="1265"/>
      <c r="Y30" s="3406"/>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06"/>
      <c r="Q31" s="530" t="str">
        <f t="shared" si="11"/>
        <v>停车位面积</v>
      </c>
      <c r="R31" s="664" t="s">
        <v>14</v>
      </c>
      <c r="S31" s="665" t="e">
        <f t="shared" si="12"/>
        <v>#N/A</v>
      </c>
      <c r="T31" s="664" t="s">
        <v>14</v>
      </c>
      <c r="U31" s="665" t="e">
        <f t="shared" si="13"/>
        <v>#N/A</v>
      </c>
      <c r="V31" s="664" t="s">
        <v>14</v>
      </c>
      <c r="W31" s="665" t="e">
        <f t="shared" si="14"/>
        <v>#N/A</v>
      </c>
      <c r="X31" s="666"/>
      <c r="Y31" s="3406"/>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6" t="s">
        <v>1696</v>
      </c>
      <c r="Q32" s="1263" t="str">
        <f t="shared" si="11"/>
        <v>车位类型</v>
      </c>
      <c r="R32" s="667" t="s">
        <v>14</v>
      </c>
      <c r="S32" s="668">
        <f t="shared" si="12"/>
        <v>100</v>
      </c>
      <c r="T32" s="667" t="s">
        <v>14</v>
      </c>
      <c r="U32" s="668">
        <f t="shared" si="13"/>
        <v>100</v>
      </c>
      <c r="V32" s="667" t="s">
        <v>14</v>
      </c>
      <c r="W32" s="668">
        <f t="shared" si="14"/>
        <v>100</v>
      </c>
      <c r="X32" s="1265"/>
      <c r="Y32" s="3406"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6"/>
      <c r="Q33" s="1263" t="str">
        <f t="shared" si="11"/>
        <v>是否直接入户</v>
      </c>
      <c r="R33" s="667" t="s">
        <v>14</v>
      </c>
      <c r="S33" s="668">
        <f t="shared" si="12"/>
        <v>100</v>
      </c>
      <c r="T33" s="667" t="s">
        <v>14</v>
      </c>
      <c r="U33" s="668">
        <f t="shared" si="13"/>
        <v>100</v>
      </c>
      <c r="V33" s="667" t="s">
        <v>14</v>
      </c>
      <c r="W33" s="668">
        <f t="shared" si="14"/>
        <v>100</v>
      </c>
      <c r="X33" s="1265"/>
      <c r="Y33" s="3406"/>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6"/>
      <c r="Q35" s="531">
        <f t="shared" si="11"/>
        <v>111</v>
      </c>
      <c r="R35" s="669" t="s">
        <v>14</v>
      </c>
      <c r="S35" s="670">
        <f t="shared" si="12"/>
        <v>100</v>
      </c>
      <c r="T35" s="669" t="s">
        <v>14</v>
      </c>
      <c r="U35" s="670">
        <f t="shared" si="13"/>
        <v>100</v>
      </c>
      <c r="V35" s="669" t="s">
        <v>14</v>
      </c>
      <c r="W35" s="670">
        <f t="shared" si="14"/>
        <v>100</v>
      </c>
      <c r="X35" s="671"/>
      <c r="Y35" s="3406"/>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6"/>
      <c r="Q36" s="1263">
        <f t="shared" si="11"/>
        <v>111</v>
      </c>
      <c r="R36" s="667" t="s">
        <v>14</v>
      </c>
      <c r="S36" s="668">
        <f t="shared" si="12"/>
        <v>100</v>
      </c>
      <c r="T36" s="667" t="s">
        <v>14</v>
      </c>
      <c r="U36" s="668">
        <f t="shared" si="13"/>
        <v>100</v>
      </c>
      <c r="V36" s="667" t="s">
        <v>14</v>
      </c>
      <c r="W36" s="668">
        <f t="shared" si="14"/>
        <v>100</v>
      </c>
      <c r="X36" s="1265"/>
      <c r="Y36" s="3406"/>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4"/>
      <c r="M37" s="2487"/>
      <c r="N37" s="2487"/>
      <c r="O37" s="2487"/>
      <c r="P37" s="3399" t="str">
        <f>A37</f>
        <v>成交单价</v>
      </c>
      <c r="Q37" s="3399"/>
      <c r="R37" s="3400">
        <f>E37</f>
        <v>0</v>
      </c>
      <c r="S37" s="3400"/>
      <c r="T37" s="3400">
        <f>G37</f>
        <v>0</v>
      </c>
      <c r="U37" s="3400"/>
      <c r="V37" s="3400">
        <f>I37</f>
        <v>0</v>
      </c>
      <c r="W37" s="3400"/>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99" t="str">
        <f>A38</f>
        <v>比较价值（元/平方米）</v>
      </c>
      <c r="Q38" s="3399"/>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4"/>
      <c r="M39" s="2487"/>
      <c r="N39" s="2487"/>
      <c r="O39" s="2487"/>
      <c r="P39" s="3396" t="str">
        <f>A39</f>
        <v>估价对象XX用房的比较价值（楼面单价，元/平方米）</v>
      </c>
      <c r="Q39" s="3397"/>
      <c r="R39" s="3458" t="e">
        <f>IF(F1="售价",ROUND(IF(D38="简单平均",AVERAGE(R38:W38),R38*F38+T38*H38+V38*J38),0),ROUND(IF(D38="简单平均",AVERAGE(R38:V38),R38*F38+T38*H38+V38*J38),1))</f>
        <v>#DIV/0!</v>
      </c>
      <c r="S39" s="3458"/>
      <c r="T39" s="3458"/>
      <c r="U39" s="3458"/>
      <c r="V39" s="3458"/>
      <c r="W39" s="3458"/>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14" t="s">
        <v>1770</v>
      </c>
      <c r="D4" s="3415"/>
      <c r="E4" s="3416" t="s">
        <v>1771</v>
      </c>
      <c r="F4" s="3417"/>
      <c r="G4" s="3414" t="s">
        <v>1772</v>
      </c>
      <c r="H4" s="3415"/>
      <c r="I4" s="3414" t="s">
        <v>1773</v>
      </c>
      <c r="J4" s="3415"/>
      <c r="K4" s="537" t="s">
        <v>1774</v>
      </c>
      <c r="L4" s="2486"/>
      <c r="M4" s="2487"/>
      <c r="N4" s="2487"/>
      <c r="O4" s="2487"/>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2486"/>
      <c r="M5" s="2487"/>
      <c r="N5" s="2487"/>
      <c r="O5" s="2487"/>
      <c r="P5" s="3420"/>
      <c r="Q5" s="3421"/>
      <c r="R5" s="3426"/>
      <c r="S5" s="3427"/>
      <c r="T5" s="3426"/>
      <c r="U5" s="3427"/>
      <c r="V5" s="3400"/>
      <c r="W5" s="3400"/>
      <c r="X5" s="1265"/>
      <c r="Y5" s="3426"/>
      <c r="Z5" s="3427"/>
      <c r="AA5" s="3412"/>
      <c r="AB5" s="3412"/>
      <c r="AC5" s="3412"/>
    </row>
    <row r="6" spans="1:29" ht="15" thickBot="1">
      <c r="A6" s="350"/>
      <c r="B6" s="351"/>
      <c r="C6" s="3430" t="s">
        <v>1677</v>
      </c>
      <c r="D6" s="3431"/>
      <c r="E6" s="3437" t="s">
        <v>1677</v>
      </c>
      <c r="F6" s="3438"/>
      <c r="G6" s="3430" t="s">
        <v>1677</v>
      </c>
      <c r="H6" s="3431"/>
      <c r="I6" s="3430" t="s">
        <v>1677</v>
      </c>
      <c r="J6" s="3431"/>
      <c r="K6" s="537" t="s">
        <v>1678</v>
      </c>
      <c r="L6" s="2486"/>
      <c r="M6" s="2487"/>
      <c r="N6" s="2487"/>
      <c r="O6" s="2487"/>
      <c r="P6" s="3422"/>
      <c r="Q6" s="3423"/>
      <c r="R6" s="3426"/>
      <c r="S6" s="3427"/>
      <c r="T6" s="3428"/>
      <c r="U6" s="3429"/>
      <c r="V6" s="3400"/>
      <c r="W6" s="3400"/>
      <c r="X6" s="1265"/>
      <c r="Y6" s="3428"/>
      <c r="Z6" s="3429"/>
      <c r="AA6" s="3413"/>
      <c r="AB6" s="3413"/>
      <c r="AC6" s="3413"/>
    </row>
    <row r="7" spans="1:29" s="102" customFormat="1" ht="14.5" thickBot="1">
      <c r="A7" s="352" t="s">
        <v>1679</v>
      </c>
      <c r="B7" s="353"/>
      <c r="C7" s="354">
        <f>'数据-取费表'!B2</f>
        <v>45967</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34" t="s">
        <v>1680</v>
      </c>
      <c r="Q7" s="3436"/>
      <c r="R7" s="664" t="s">
        <v>14</v>
      </c>
      <c r="S7" s="665">
        <f t="shared" ref="S7:S14" si="0">F7</f>
        <v>0</v>
      </c>
      <c r="T7" s="664" t="s">
        <v>14</v>
      </c>
      <c r="U7" s="665">
        <f t="shared" ref="U7:U14" si="1">H7</f>
        <v>0</v>
      </c>
      <c r="V7" s="664" t="s">
        <v>14</v>
      </c>
      <c r="W7" s="665">
        <f t="shared" ref="W7:W14" si="2">J7</f>
        <v>0</v>
      </c>
      <c r="X7" s="666"/>
      <c r="Y7" s="3434" t="s">
        <v>1680</v>
      </c>
      <c r="Z7" s="3435"/>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34" t="s">
        <v>1683</v>
      </c>
      <c r="Q8" s="3435"/>
      <c r="R8" s="664" t="s">
        <v>14</v>
      </c>
      <c r="S8" s="665">
        <f t="shared" si="0"/>
        <v>100</v>
      </c>
      <c r="T8" s="664" t="s">
        <v>14</v>
      </c>
      <c r="U8" s="665">
        <f t="shared" si="1"/>
        <v>100</v>
      </c>
      <c r="V8" s="664" t="s">
        <v>14</v>
      </c>
      <c r="W8" s="665">
        <f t="shared" si="2"/>
        <v>100</v>
      </c>
      <c r="X8" s="666"/>
      <c r="Y8" s="3434" t="s">
        <v>1683</v>
      </c>
      <c r="Z8" s="343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99" t="s">
        <v>1686</v>
      </c>
      <c r="Q9" s="530" t="str">
        <f t="shared" ref="Q9:Q14" si="6">B9</f>
        <v>用途</v>
      </c>
      <c r="R9" s="664" t="s">
        <v>14</v>
      </c>
      <c r="S9" s="665">
        <f t="shared" si="0"/>
        <v>100</v>
      </c>
      <c r="T9" s="664" t="s">
        <v>14</v>
      </c>
      <c r="U9" s="665">
        <f t="shared" si="1"/>
        <v>100</v>
      </c>
      <c r="V9" s="664" t="s">
        <v>14</v>
      </c>
      <c r="W9" s="665">
        <f t="shared" si="2"/>
        <v>100</v>
      </c>
      <c r="X9" s="666"/>
      <c r="Y9" s="3274" t="s">
        <v>1687</v>
      </c>
      <c r="Z9" s="50" t="str">
        <f t="shared" ref="Z9:Z14" si="7">Q9</f>
        <v>用途</v>
      </c>
      <c r="AA9" s="50">
        <f t="shared" si="3"/>
        <v>1</v>
      </c>
      <c r="AB9" s="50">
        <f t="shared" si="4"/>
        <v>1</v>
      </c>
      <c r="AC9" s="50">
        <f t="shared" si="5"/>
        <v>1</v>
      </c>
    </row>
    <row r="10" spans="1:29" s="366" customFormat="1" ht="2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99"/>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99"/>
      <c r="Q11" s="530">
        <f t="shared" si="6"/>
        <v>111</v>
      </c>
      <c r="R11" s="664" t="s">
        <v>14</v>
      </c>
      <c r="S11" s="665">
        <f t="shared" si="0"/>
        <v>100</v>
      </c>
      <c r="T11" s="664" t="s">
        <v>14</v>
      </c>
      <c r="U11" s="665">
        <f t="shared" si="1"/>
        <v>100</v>
      </c>
      <c r="V11" s="664" t="s">
        <v>14</v>
      </c>
      <c r="W11" s="665">
        <f t="shared" si="2"/>
        <v>100</v>
      </c>
      <c r="X11" s="666"/>
      <c r="Y11" s="3274"/>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99"/>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99"/>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2"/>
      <c r="M15" s="2487"/>
      <c r="N15" s="2487"/>
      <c r="O15" s="2542"/>
      <c r="P15" s="3402"/>
      <c r="Q15" s="1263"/>
      <c r="R15" s="667"/>
      <c r="S15" s="668"/>
      <c r="T15" s="667"/>
      <c r="U15" s="668"/>
      <c r="V15" s="667"/>
      <c r="W15" s="668"/>
      <c r="X15" s="1265"/>
      <c r="Y15" s="3402"/>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2"/>
      <c r="M17" s="2487"/>
      <c r="N17" s="2487"/>
      <c r="O17" s="2542"/>
      <c r="P17" s="3402"/>
      <c r="Q17" s="1263"/>
      <c r="R17" s="667"/>
      <c r="S17" s="668"/>
      <c r="T17" s="667"/>
      <c r="U17" s="668"/>
      <c r="V17" s="667"/>
      <c r="W17" s="668"/>
      <c r="X17" s="1265"/>
      <c r="Y17" s="3402"/>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2"/>
      <c r="M19" s="2487"/>
      <c r="N19" s="2487"/>
      <c r="O19" s="2542"/>
      <c r="P19" s="3402"/>
      <c r="Q19" s="1263"/>
      <c r="R19" s="667"/>
      <c r="S19" s="668"/>
      <c r="T19" s="667"/>
      <c r="U19" s="668"/>
      <c r="V19" s="667"/>
      <c r="W19" s="668"/>
      <c r="X19" s="1265"/>
      <c r="Y19" s="3402"/>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2"/>
      <c r="M21" s="2487"/>
      <c r="N21" s="2487"/>
      <c r="O21" s="2542"/>
      <c r="P21" s="3402"/>
      <c r="Q21" s="1263"/>
      <c r="R21" s="667"/>
      <c r="S21" s="668"/>
      <c r="T21" s="667"/>
      <c r="U21" s="668"/>
      <c r="V21" s="667"/>
      <c r="W21" s="668"/>
      <c r="X21" s="1265"/>
      <c r="Y21" s="3402"/>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2"/>
      <c r="Q24" s="1263">
        <f t="shared" ref="Q24:Q34"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5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6"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6"/>
      <c r="Q27" s="531" t="str">
        <f t="shared" si="11"/>
        <v>成新率</v>
      </c>
      <c r="R27" s="669" t="s">
        <v>14</v>
      </c>
      <c r="S27" s="670" t="e">
        <f t="shared" si="12"/>
        <v>#N/A</v>
      </c>
      <c r="T27" s="669" t="s">
        <v>14</v>
      </c>
      <c r="U27" s="670" t="e">
        <f t="shared" si="13"/>
        <v>#N/A</v>
      </c>
      <c r="V27" s="669" t="s">
        <v>14</v>
      </c>
      <c r="W27" s="670" t="e">
        <f t="shared" si="14"/>
        <v>#N/A</v>
      </c>
      <c r="X27" s="671"/>
      <c r="Y27" s="3406"/>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6"/>
      <c r="Q28" s="1263" t="str">
        <f t="shared" si="11"/>
        <v>物业等级</v>
      </c>
      <c r="R28" s="667" t="s">
        <v>14</v>
      </c>
      <c r="S28" s="668">
        <f t="shared" si="12"/>
        <v>100</v>
      </c>
      <c r="T28" s="667" t="s">
        <v>14</v>
      </c>
      <c r="U28" s="668">
        <f t="shared" si="13"/>
        <v>100</v>
      </c>
      <c r="V28" s="667" t="s">
        <v>14</v>
      </c>
      <c r="W28" s="668">
        <f t="shared" si="14"/>
        <v>100</v>
      </c>
      <c r="X28" s="1265"/>
      <c r="Y28" s="3406"/>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6"/>
      <c r="Q29" s="1263" t="str">
        <f t="shared" si="11"/>
        <v>有无电梯</v>
      </c>
      <c r="R29" s="667" t="s">
        <v>14</v>
      </c>
      <c r="S29" s="668">
        <f t="shared" si="12"/>
        <v>100</v>
      </c>
      <c r="T29" s="667" t="s">
        <v>14</v>
      </c>
      <c r="U29" s="668">
        <f t="shared" si="13"/>
        <v>100</v>
      </c>
      <c r="V29" s="667" t="s">
        <v>14</v>
      </c>
      <c r="W29" s="668">
        <f t="shared" si="14"/>
        <v>100</v>
      </c>
      <c r="X29" s="1265"/>
      <c r="Y29" s="3406"/>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6"/>
      <c r="Q30" s="1263" t="str">
        <f t="shared" si="11"/>
        <v>建筑面积</v>
      </c>
      <c r="R30" s="667" t="s">
        <v>14</v>
      </c>
      <c r="S30" s="668" t="e">
        <f t="shared" si="12"/>
        <v>#N/A</v>
      </c>
      <c r="T30" s="667" t="s">
        <v>14</v>
      </c>
      <c r="U30" s="668" t="e">
        <f t="shared" si="13"/>
        <v>#N/A</v>
      </c>
      <c r="V30" s="667" t="s">
        <v>14</v>
      </c>
      <c r="W30" s="668" t="e">
        <f t="shared" si="14"/>
        <v>#N/A</v>
      </c>
      <c r="X30" s="1265"/>
      <c r="Y30" s="3406"/>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06"/>
      <c r="Q31" s="530" t="str">
        <f t="shared" si="11"/>
        <v>是否封闭</v>
      </c>
      <c r="R31" s="664" t="s">
        <v>14</v>
      </c>
      <c r="S31" s="665">
        <f t="shared" si="12"/>
        <v>100</v>
      </c>
      <c r="T31" s="664" t="s">
        <v>14</v>
      </c>
      <c r="U31" s="665">
        <f t="shared" si="13"/>
        <v>100</v>
      </c>
      <c r="V31" s="664" t="s">
        <v>14</v>
      </c>
      <c r="W31" s="665">
        <f t="shared" si="14"/>
        <v>100</v>
      </c>
      <c r="X31" s="666"/>
      <c r="Y31" s="3406"/>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6" t="s">
        <v>1696</v>
      </c>
      <c r="Q32" s="1263">
        <f t="shared" si="11"/>
        <v>111</v>
      </c>
      <c r="R32" s="667" t="s">
        <v>14</v>
      </c>
      <c r="S32" s="668">
        <f t="shared" si="12"/>
        <v>100</v>
      </c>
      <c r="T32" s="667" t="s">
        <v>14</v>
      </c>
      <c r="U32" s="668">
        <f t="shared" si="13"/>
        <v>100</v>
      </c>
      <c r="V32" s="667" t="s">
        <v>14</v>
      </c>
      <c r="W32" s="668">
        <f t="shared" si="14"/>
        <v>100</v>
      </c>
      <c r="X32" s="1265"/>
      <c r="Y32" s="3406"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6"/>
      <c r="Q33" s="1263">
        <f t="shared" si="11"/>
        <v>111</v>
      </c>
      <c r="R33" s="667" t="s">
        <v>14</v>
      </c>
      <c r="S33" s="668">
        <f t="shared" si="12"/>
        <v>100</v>
      </c>
      <c r="T33" s="667" t="s">
        <v>14</v>
      </c>
      <c r="U33" s="668">
        <f t="shared" si="13"/>
        <v>100</v>
      </c>
      <c r="V33" s="667" t="s">
        <v>14</v>
      </c>
      <c r="W33" s="668">
        <f t="shared" si="14"/>
        <v>100</v>
      </c>
      <c r="X33" s="1265"/>
      <c r="Y33" s="3406"/>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4"/>
      <c r="M35" s="2487"/>
      <c r="N35" s="2487"/>
      <c r="O35" s="2487"/>
      <c r="P35" s="3399" t="str">
        <f>A35</f>
        <v>成交单价（元/平方米）</v>
      </c>
      <c r="Q35" s="3399"/>
      <c r="R35" s="3400">
        <f>E35</f>
        <v>0</v>
      </c>
      <c r="S35" s="3400"/>
      <c r="T35" s="3400">
        <f>G35</f>
        <v>0</v>
      </c>
      <c r="U35" s="3400"/>
      <c r="V35" s="3400">
        <f>I35</f>
        <v>0</v>
      </c>
      <c r="W35" s="3400"/>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99" t="str">
        <f>A36</f>
        <v>比较价值（元/平方米）</v>
      </c>
      <c r="Q36" s="3399"/>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4"/>
      <c r="M37" s="2487"/>
      <c r="N37" s="2487"/>
      <c r="O37" s="2487"/>
      <c r="P37" s="3396" t="str">
        <f>A37</f>
        <v>估价对象XX用房的比较价值（楼面单价，元/平方米）</v>
      </c>
      <c r="Q37" s="3397"/>
      <c r="R37" s="3458" t="e">
        <f>IF(F1="售价",ROUND(IF(D36="简单平均",AVERAGE(R36:W36),R36*F36+T36*H36+V36*J36),0),ROUND(IF(D36="简单平均",AVERAGE(R36:V36),R36*F36+T36*H36+V36*J36),1))</f>
        <v>#DIV/0!</v>
      </c>
      <c r="S37" s="3458"/>
      <c r="T37" s="3458"/>
      <c r="U37" s="3458"/>
      <c r="V37" s="3458"/>
      <c r="W37" s="3458"/>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8.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8.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4.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4.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4.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4.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4.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4.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4.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14" t="s">
        <v>1770</v>
      </c>
      <c r="D4" s="3415"/>
      <c r="E4" s="3416" t="s">
        <v>1771</v>
      </c>
      <c r="F4" s="3417"/>
      <c r="G4" s="3414" t="s">
        <v>1772</v>
      </c>
      <c r="H4" s="3415"/>
      <c r="I4" s="3414" t="s">
        <v>1773</v>
      </c>
      <c r="J4" s="3415"/>
      <c r="K4" s="537" t="s">
        <v>1774</v>
      </c>
      <c r="L4" s="2486"/>
      <c r="M4" s="2487"/>
      <c r="N4" s="2487"/>
      <c r="O4" s="2487"/>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2486"/>
      <c r="M5" s="2487"/>
      <c r="N5" s="2487"/>
      <c r="O5" s="2487"/>
      <c r="P5" s="3420"/>
      <c r="Q5" s="3421"/>
      <c r="R5" s="3426"/>
      <c r="S5" s="3427"/>
      <c r="T5" s="3426"/>
      <c r="U5" s="3427"/>
      <c r="V5" s="3400"/>
      <c r="W5" s="3400"/>
      <c r="X5" s="1265"/>
      <c r="Y5" s="3426"/>
      <c r="Z5" s="3427"/>
      <c r="AA5" s="3412"/>
      <c r="AB5" s="3412"/>
      <c r="AC5" s="3412"/>
    </row>
    <row r="6" spans="1:29" ht="15" thickBot="1">
      <c r="A6" s="350"/>
      <c r="B6" s="351"/>
      <c r="C6" s="3430" t="s">
        <v>1677</v>
      </c>
      <c r="D6" s="3431"/>
      <c r="E6" s="3437" t="s">
        <v>1677</v>
      </c>
      <c r="F6" s="3438"/>
      <c r="G6" s="3430" t="s">
        <v>1677</v>
      </c>
      <c r="H6" s="3431"/>
      <c r="I6" s="3430" t="s">
        <v>1677</v>
      </c>
      <c r="J6" s="3431"/>
      <c r="K6" s="537" t="s">
        <v>1678</v>
      </c>
      <c r="L6" s="2486"/>
      <c r="M6" s="2487"/>
      <c r="N6" s="2487"/>
      <c r="O6" s="2487"/>
      <c r="P6" s="3422"/>
      <c r="Q6" s="3423"/>
      <c r="R6" s="3426"/>
      <c r="S6" s="3427"/>
      <c r="T6" s="3428"/>
      <c r="U6" s="3429"/>
      <c r="V6" s="3400"/>
      <c r="W6" s="3400"/>
      <c r="X6" s="1265"/>
      <c r="Y6" s="3428"/>
      <c r="Z6" s="3429"/>
      <c r="AA6" s="3413"/>
      <c r="AB6" s="3413"/>
      <c r="AC6" s="3413"/>
    </row>
    <row r="7" spans="1:29" s="102" customFormat="1" ht="14.5" thickBot="1">
      <c r="A7" s="352" t="s">
        <v>1679</v>
      </c>
      <c r="B7" s="353"/>
      <c r="C7" s="354">
        <f>'数据-取费表'!B2</f>
        <v>45967</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34" t="s">
        <v>1683</v>
      </c>
      <c r="Q8" s="3435"/>
      <c r="R8" s="664" t="s">
        <v>14</v>
      </c>
      <c r="S8" s="665">
        <f t="shared" si="0"/>
        <v>0</v>
      </c>
      <c r="T8" s="664" t="s">
        <v>14</v>
      </c>
      <c r="U8" s="665">
        <f t="shared" si="1"/>
        <v>0</v>
      </c>
      <c r="V8" s="664" t="s">
        <v>14</v>
      </c>
      <c r="W8" s="665">
        <f t="shared" si="2"/>
        <v>0</v>
      </c>
      <c r="X8" s="666"/>
      <c r="Y8" s="3434" t="s">
        <v>1683</v>
      </c>
      <c r="Z8" s="343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99"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99"/>
      <c r="Q10" s="530" t="str">
        <f t="shared" si="6"/>
        <v>土地使用年限（年）</v>
      </c>
      <c r="R10" s="664" t="s">
        <v>14</v>
      </c>
      <c r="S10" s="665" t="e">
        <f t="shared" si="0"/>
        <v>#DIV/0!</v>
      </c>
      <c r="T10" s="664" t="s">
        <v>14</v>
      </c>
      <c r="U10" s="665" t="e">
        <f t="shared" si="1"/>
        <v>#DIV/0!</v>
      </c>
      <c r="V10" s="664" t="s">
        <v>14</v>
      </c>
      <c r="W10" s="665" t="e">
        <f t="shared" si="2"/>
        <v>#DIV/0!</v>
      </c>
      <c r="X10" s="666"/>
      <c r="Y10" s="3274"/>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99"/>
      <c r="Q11" s="530" t="str">
        <f t="shared" si="6"/>
        <v>容积率</v>
      </c>
      <c r="R11" s="664" t="s">
        <v>14</v>
      </c>
      <c r="S11" s="665" t="e">
        <f t="shared" si="0"/>
        <v>#N/A</v>
      </c>
      <c r="T11" s="664" t="s">
        <v>14</v>
      </c>
      <c r="U11" s="665" t="e">
        <f t="shared" si="1"/>
        <v>#N/A</v>
      </c>
      <c r="V11" s="664" t="s">
        <v>14</v>
      </c>
      <c r="W11" s="665" t="e">
        <f t="shared" si="2"/>
        <v>#N/A</v>
      </c>
      <c r="X11" s="666"/>
      <c r="Y11" s="3274"/>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99"/>
      <c r="Q12" s="530" t="str">
        <f t="shared" si="6"/>
        <v>配建</v>
      </c>
      <c r="R12" s="664" t="s">
        <v>14</v>
      </c>
      <c r="S12" s="665">
        <f t="shared" si="0"/>
        <v>100</v>
      </c>
      <c r="T12" s="664" t="s">
        <v>14</v>
      </c>
      <c r="U12" s="665">
        <f t="shared" si="1"/>
        <v>100</v>
      </c>
      <c r="V12" s="664" t="s">
        <v>14</v>
      </c>
      <c r="W12" s="665">
        <f t="shared" si="2"/>
        <v>100</v>
      </c>
      <c r="X12" s="666"/>
      <c r="Y12" s="3274"/>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99"/>
      <c r="Q13" s="530">
        <f t="shared" si="6"/>
        <v>111</v>
      </c>
      <c r="R13" s="664" t="s">
        <v>14</v>
      </c>
      <c r="S13" s="665">
        <f t="shared" si="0"/>
        <v>100</v>
      </c>
      <c r="T13" s="664" t="s">
        <v>14</v>
      </c>
      <c r="U13" s="665">
        <f t="shared" si="1"/>
        <v>100</v>
      </c>
      <c r="V13" s="664" t="s">
        <v>14</v>
      </c>
      <c r="W13" s="665">
        <f t="shared" si="2"/>
        <v>100</v>
      </c>
      <c r="X13" s="666"/>
      <c r="Y13" s="3274"/>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99"/>
      <c r="Q14" s="530">
        <f t="shared" si="6"/>
        <v>111</v>
      </c>
      <c r="R14" s="664" t="s">
        <v>14</v>
      </c>
      <c r="S14" s="665">
        <f t="shared" si="0"/>
        <v>100</v>
      </c>
      <c r="T14" s="664" t="s">
        <v>14</v>
      </c>
      <c r="U14" s="665">
        <f t="shared" si="1"/>
        <v>100</v>
      </c>
      <c r="V14" s="664" t="s">
        <v>14</v>
      </c>
      <c r="W14" s="665">
        <f t="shared" si="2"/>
        <v>100</v>
      </c>
      <c r="X14" s="666"/>
      <c r="Y14" s="3274"/>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1" t="s">
        <v>1691</v>
      </c>
      <c r="Q15" s="1263" t="str">
        <f t="shared" si="6"/>
        <v>居住社区成熟度</v>
      </c>
      <c r="R15" s="667" t="s">
        <v>14</v>
      </c>
      <c r="S15" s="668">
        <f t="shared" si="0"/>
        <v>100</v>
      </c>
      <c r="T15" s="667" t="s">
        <v>14</v>
      </c>
      <c r="U15" s="668">
        <f t="shared" si="1"/>
        <v>100</v>
      </c>
      <c r="V15" s="667" t="s">
        <v>14</v>
      </c>
      <c r="W15" s="668">
        <f t="shared" si="2"/>
        <v>100</v>
      </c>
      <c r="X15" s="1265"/>
      <c r="Y15" s="3401"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2"/>
      <c r="M16" s="2487"/>
      <c r="N16" s="2487"/>
      <c r="O16" s="2542"/>
      <c r="P16" s="3402"/>
      <c r="Q16" s="1263"/>
      <c r="R16" s="667"/>
      <c r="S16" s="668"/>
      <c r="T16" s="667"/>
      <c r="U16" s="668"/>
      <c r="V16" s="667"/>
      <c r="W16" s="668"/>
      <c r="X16" s="1265"/>
      <c r="Y16" s="3402"/>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2"/>
      <c r="Q17" s="1263" t="str">
        <f>B17</f>
        <v>商业繁华度</v>
      </c>
      <c r="R17" s="667" t="s">
        <v>14</v>
      </c>
      <c r="S17" s="668">
        <f>F17</f>
        <v>100</v>
      </c>
      <c r="T17" s="667" t="s">
        <v>14</v>
      </c>
      <c r="U17" s="668">
        <f>H17</f>
        <v>100</v>
      </c>
      <c r="V17" s="667" t="s">
        <v>14</v>
      </c>
      <c r="W17" s="668">
        <f>J17</f>
        <v>100</v>
      </c>
      <c r="X17" s="1265"/>
      <c r="Y17" s="3402"/>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2"/>
      <c r="M18" s="2487"/>
      <c r="N18" s="2487"/>
      <c r="O18" s="2542"/>
      <c r="P18" s="3402"/>
      <c r="Q18" s="1263"/>
      <c r="R18" s="667"/>
      <c r="S18" s="668"/>
      <c r="T18" s="667"/>
      <c r="U18" s="668"/>
      <c r="V18" s="667"/>
      <c r="W18" s="668"/>
      <c r="X18" s="1265"/>
      <c r="Y18" s="3402"/>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2"/>
      <c r="Q19" s="1263" t="str">
        <f>B19</f>
        <v>办公集聚程度</v>
      </c>
      <c r="R19" s="667" t="s">
        <v>14</v>
      </c>
      <c r="S19" s="668">
        <f>F19</f>
        <v>100</v>
      </c>
      <c r="T19" s="667" t="s">
        <v>14</v>
      </c>
      <c r="U19" s="668">
        <f>H19</f>
        <v>100</v>
      </c>
      <c r="V19" s="667" t="s">
        <v>14</v>
      </c>
      <c r="W19" s="668">
        <f>J19</f>
        <v>100</v>
      </c>
      <c r="X19" s="1265"/>
      <c r="Y19" s="3402"/>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2"/>
      <c r="M20" s="2487"/>
      <c r="N20" s="2487"/>
      <c r="O20" s="2542"/>
      <c r="P20" s="3402"/>
      <c r="Q20" s="1263"/>
      <c r="R20" s="667"/>
      <c r="S20" s="668"/>
      <c r="T20" s="667"/>
      <c r="U20" s="668"/>
      <c r="V20" s="667"/>
      <c r="W20" s="668"/>
      <c r="X20" s="1265"/>
      <c r="Y20" s="3402"/>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2"/>
      <c r="Q21" s="1263" t="str">
        <f>B21</f>
        <v>交通便捷度</v>
      </c>
      <c r="R21" s="667" t="s">
        <v>14</v>
      </c>
      <c r="S21" s="668">
        <f>F21</f>
        <v>100</v>
      </c>
      <c r="T21" s="667" t="s">
        <v>14</v>
      </c>
      <c r="U21" s="668">
        <f>H21</f>
        <v>100</v>
      </c>
      <c r="V21" s="667" t="s">
        <v>14</v>
      </c>
      <c r="W21" s="668">
        <f>J21</f>
        <v>100</v>
      </c>
      <c r="X21" s="1265"/>
      <c r="Y21" s="3402"/>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2"/>
      <c r="M22" s="2487"/>
      <c r="N22" s="2487"/>
      <c r="O22" s="2542"/>
      <c r="P22" s="3402"/>
      <c r="Q22" s="1263"/>
      <c r="R22" s="667"/>
      <c r="S22" s="668"/>
      <c r="T22" s="667"/>
      <c r="U22" s="668"/>
      <c r="V22" s="667"/>
      <c r="W22" s="668"/>
      <c r="X22" s="1265"/>
      <c r="Y22" s="3402"/>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2"/>
      <c r="Q23" s="1263" t="str">
        <f t="shared" ref="Q23:Q37" si="8">B23</f>
        <v>区域土地利用方向</v>
      </c>
      <c r="R23" s="667" t="s">
        <v>14</v>
      </c>
      <c r="S23" s="668">
        <f>F23</f>
        <v>100</v>
      </c>
      <c r="T23" s="667" t="s">
        <v>14</v>
      </c>
      <c r="U23" s="668">
        <f>H23</f>
        <v>100</v>
      </c>
      <c r="V23" s="667" t="s">
        <v>14</v>
      </c>
      <c r="W23" s="668">
        <f>J23</f>
        <v>100</v>
      </c>
      <c r="X23" s="1265"/>
      <c r="Y23" s="3402"/>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2"/>
      <c r="M24" s="2487"/>
      <c r="N24" s="2487"/>
      <c r="O24" s="2542"/>
      <c r="P24" s="3402"/>
      <c r="Q24" s="1263"/>
      <c r="R24" s="667"/>
      <c r="S24" s="668"/>
      <c r="T24" s="667"/>
      <c r="U24" s="668"/>
      <c r="V24" s="667"/>
      <c r="W24" s="668"/>
      <c r="X24" s="1265"/>
      <c r="Y24" s="3402"/>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2"/>
      <c r="Q25" s="1263" t="str">
        <f t="shared" si="8"/>
        <v>自然及人文环境状况</v>
      </c>
      <c r="R25" s="667" t="s">
        <v>14</v>
      </c>
      <c r="S25" s="668">
        <f>F25</f>
        <v>100</v>
      </c>
      <c r="T25" s="667" t="s">
        <v>14</v>
      </c>
      <c r="U25" s="668">
        <f>H25</f>
        <v>100</v>
      </c>
      <c r="V25" s="667" t="s">
        <v>14</v>
      </c>
      <c r="W25" s="668">
        <f>J25</f>
        <v>100</v>
      </c>
      <c r="X25" s="1265"/>
      <c r="Y25" s="3402"/>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2"/>
      <c r="M26" s="2487"/>
      <c r="N26" s="2487"/>
      <c r="O26" s="2542"/>
      <c r="P26" s="3402"/>
      <c r="Q26" s="1263"/>
      <c r="R26" s="667"/>
      <c r="S26" s="668"/>
      <c r="T26" s="667"/>
      <c r="U26" s="668"/>
      <c r="V26" s="667"/>
      <c r="W26" s="668"/>
      <c r="X26" s="1265"/>
      <c r="Y26" s="3402"/>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02"/>
      <c r="Q27" s="530" t="str">
        <f t="shared" si="8"/>
        <v>公共配套设施</v>
      </c>
      <c r="R27" s="664" t="s">
        <v>14</v>
      </c>
      <c r="S27" s="665">
        <f>F27</f>
        <v>100</v>
      </c>
      <c r="T27" s="664" t="s">
        <v>14</v>
      </c>
      <c r="U27" s="665">
        <f>H27</f>
        <v>100</v>
      </c>
      <c r="V27" s="664" t="s">
        <v>14</v>
      </c>
      <c r="W27" s="665">
        <f>J27</f>
        <v>100</v>
      </c>
      <c r="X27" s="666"/>
      <c r="Y27" s="3402"/>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8"/>
      <c r="M28" s="2440"/>
      <c r="N28" s="2440"/>
      <c r="O28" s="2540"/>
      <c r="P28" s="3402"/>
      <c r="Q28" s="530"/>
      <c r="R28" s="664"/>
      <c r="S28" s="665"/>
      <c r="T28" s="664"/>
      <c r="U28" s="665"/>
      <c r="V28" s="664"/>
      <c r="W28" s="665"/>
      <c r="X28" s="666"/>
      <c r="Y28" s="3402"/>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02"/>
      <c r="Q29" s="530" t="str">
        <f t="shared" ref="Q29" si="9">B29</f>
        <v>基础设施水平</v>
      </c>
      <c r="R29" s="664" t="s">
        <v>14</v>
      </c>
      <c r="S29" s="665">
        <f>F29</f>
        <v>100</v>
      </c>
      <c r="T29" s="664" t="s">
        <v>14</v>
      </c>
      <c r="U29" s="665">
        <f>H29</f>
        <v>100</v>
      </c>
      <c r="V29" s="664" t="s">
        <v>14</v>
      </c>
      <c r="W29" s="665">
        <f>J29</f>
        <v>100</v>
      </c>
      <c r="X29" s="666"/>
      <c r="Y29" s="3402"/>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8"/>
      <c r="M30" s="2440"/>
      <c r="N30" s="2440"/>
      <c r="O30" s="2540"/>
      <c r="P30" s="3402"/>
      <c r="Q30" s="530"/>
      <c r="R30" s="664"/>
      <c r="S30" s="665"/>
      <c r="T30" s="664"/>
      <c r="U30" s="665"/>
      <c r="V30" s="664"/>
      <c r="W30" s="665"/>
      <c r="X30" s="666"/>
      <c r="Y30" s="3402"/>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2"/>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2"/>
      <c r="Q32" s="1263" t="str">
        <f t="shared" si="8"/>
        <v>毗邻道路的类型与等级</v>
      </c>
      <c r="R32" s="667" t="s">
        <v>14</v>
      </c>
      <c r="S32" s="668">
        <f t="shared" si="10"/>
        <v>100</v>
      </c>
      <c r="T32" s="667" t="s">
        <v>14</v>
      </c>
      <c r="U32" s="668">
        <f t="shared" si="11"/>
        <v>100</v>
      </c>
      <c r="V32" s="667" t="s">
        <v>14</v>
      </c>
      <c r="W32" s="668">
        <f t="shared" si="12"/>
        <v>100</v>
      </c>
      <c r="X32" s="1265"/>
      <c r="Y32" s="3402"/>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2"/>
      <c r="M33" s="2487"/>
      <c r="N33" s="2487"/>
      <c r="O33" s="2542"/>
      <c r="P33" s="3402"/>
      <c r="Q33" s="1263"/>
      <c r="R33" s="667"/>
      <c r="S33" s="668"/>
      <c r="T33" s="667"/>
      <c r="U33" s="668"/>
      <c r="V33" s="667"/>
      <c r="W33" s="668"/>
      <c r="X33" s="1265"/>
      <c r="Y33" s="3402"/>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2"/>
      <c r="Q34" s="1263" t="str">
        <f t="shared" si="8"/>
        <v>土地级别</v>
      </c>
      <c r="R34" s="667" t="s">
        <v>14</v>
      </c>
      <c r="S34" s="668">
        <f t="shared" si="10"/>
        <v>100</v>
      </c>
      <c r="T34" s="667" t="s">
        <v>14</v>
      </c>
      <c r="U34" s="668">
        <f t="shared" si="11"/>
        <v>100</v>
      </c>
      <c r="V34" s="667" t="s">
        <v>14</v>
      </c>
      <c r="W34" s="668">
        <f t="shared" si="12"/>
        <v>100</v>
      </c>
      <c r="X34" s="1265"/>
      <c r="Y34" s="3402"/>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2"/>
      <c r="Q35" s="1263">
        <f t="shared" si="8"/>
        <v>111</v>
      </c>
      <c r="R35" s="667" t="s">
        <v>14</v>
      </c>
      <c r="S35" s="668">
        <f t="shared" si="10"/>
        <v>100</v>
      </c>
      <c r="T35" s="667" t="s">
        <v>14</v>
      </c>
      <c r="U35" s="668">
        <f t="shared" si="11"/>
        <v>100</v>
      </c>
      <c r="V35" s="667" t="s">
        <v>14</v>
      </c>
      <c r="W35" s="668">
        <f t="shared" si="12"/>
        <v>100</v>
      </c>
      <c r="X35" s="1265"/>
      <c r="Y35" s="3402"/>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7" t="s">
        <v>1696</v>
      </c>
      <c r="Q36" s="1263">
        <f t="shared" si="8"/>
        <v>111</v>
      </c>
      <c r="R36" s="667" t="s">
        <v>14</v>
      </c>
      <c r="S36" s="668">
        <f t="shared" si="10"/>
        <v>100</v>
      </c>
      <c r="T36" s="667" t="s">
        <v>14</v>
      </c>
      <c r="U36" s="668">
        <f t="shared" si="11"/>
        <v>100</v>
      </c>
      <c r="V36" s="667" t="s">
        <v>14</v>
      </c>
      <c r="W36" s="668">
        <f t="shared" si="12"/>
        <v>100</v>
      </c>
      <c r="X36" s="1265"/>
      <c r="Y36" s="3406"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6"/>
      <c r="Q37" s="1263">
        <f t="shared" si="8"/>
        <v>111</v>
      </c>
      <c r="R37" s="669" t="s">
        <v>14</v>
      </c>
      <c r="S37" s="670">
        <f t="shared" si="10"/>
        <v>100</v>
      </c>
      <c r="T37" s="669" t="s">
        <v>14</v>
      </c>
      <c r="U37" s="670">
        <f t="shared" si="11"/>
        <v>100</v>
      </c>
      <c r="V37" s="669" t="s">
        <v>14</v>
      </c>
      <c r="W37" s="670">
        <f t="shared" si="12"/>
        <v>100</v>
      </c>
      <c r="X37" s="671"/>
      <c r="Y37" s="3406"/>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6"/>
      <c r="Q38" s="1263" t="str">
        <f>B38</f>
        <v>宗地面积</v>
      </c>
      <c r="R38" s="667" t="s">
        <v>14</v>
      </c>
      <c r="S38" s="668" t="e">
        <f t="shared" si="10"/>
        <v>#N/A</v>
      </c>
      <c r="T38" s="667" t="s">
        <v>14</v>
      </c>
      <c r="U38" s="668" t="e">
        <f t="shared" si="11"/>
        <v>#N/A</v>
      </c>
      <c r="V38" s="667" t="s">
        <v>14</v>
      </c>
      <c r="W38" s="668" t="e">
        <f t="shared" si="12"/>
        <v>#N/A</v>
      </c>
      <c r="X38" s="1265"/>
      <c r="Y38" s="3406"/>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06"/>
      <c r="Q39" s="1263" t="str">
        <f t="shared" ref="Q39:Q45" si="14">B39</f>
        <v>宗地形状</v>
      </c>
      <c r="R39" s="667" t="s">
        <v>14</v>
      </c>
      <c r="S39" s="668">
        <f t="shared" si="10"/>
        <v>100</v>
      </c>
      <c r="T39" s="667" t="s">
        <v>14</v>
      </c>
      <c r="U39" s="668">
        <f t="shared" si="11"/>
        <v>100</v>
      </c>
      <c r="V39" s="667" t="s">
        <v>14</v>
      </c>
      <c r="W39" s="668">
        <f t="shared" si="12"/>
        <v>100</v>
      </c>
      <c r="X39" s="1265"/>
      <c r="Y39" s="3406"/>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06"/>
      <c r="Q40" s="1263" t="str">
        <f t="shared" si="14"/>
        <v>临街宽度及深度</v>
      </c>
      <c r="R40" s="667" t="s">
        <v>14</v>
      </c>
      <c r="S40" s="668">
        <f t="shared" si="10"/>
        <v>100</v>
      </c>
      <c r="T40" s="667" t="s">
        <v>14</v>
      </c>
      <c r="U40" s="668">
        <f t="shared" si="11"/>
        <v>100</v>
      </c>
      <c r="V40" s="667" t="s">
        <v>14</v>
      </c>
      <c r="W40" s="668">
        <f t="shared" si="12"/>
        <v>100</v>
      </c>
      <c r="X40" s="1265"/>
      <c r="Y40" s="3406"/>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06"/>
      <c r="Q41" s="1263" t="str">
        <f t="shared" si="14"/>
        <v>宗地开发程度</v>
      </c>
      <c r="R41" s="664" t="s">
        <v>14</v>
      </c>
      <c r="S41" s="665">
        <f t="shared" si="10"/>
        <v>100</v>
      </c>
      <c r="T41" s="664" t="s">
        <v>14</v>
      </c>
      <c r="U41" s="665">
        <f t="shared" si="11"/>
        <v>100</v>
      </c>
      <c r="V41" s="664" t="s">
        <v>14</v>
      </c>
      <c r="W41" s="665">
        <f t="shared" si="12"/>
        <v>100</v>
      </c>
      <c r="X41" s="666"/>
      <c r="Y41" s="3406"/>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06" t="s">
        <v>1696</v>
      </c>
      <c r="Q42" s="1263" t="str">
        <f t="shared" si="14"/>
        <v>工程地质条件</v>
      </c>
      <c r="R42" s="667" t="s">
        <v>14</v>
      </c>
      <c r="S42" s="668">
        <f t="shared" si="10"/>
        <v>100</v>
      </c>
      <c r="T42" s="667" t="s">
        <v>14</v>
      </c>
      <c r="U42" s="668">
        <f t="shared" si="11"/>
        <v>100</v>
      </c>
      <c r="V42" s="667" t="s">
        <v>14</v>
      </c>
      <c r="W42" s="668">
        <f t="shared" si="12"/>
        <v>100</v>
      </c>
      <c r="X42" s="1265"/>
      <c r="Y42" s="3406"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6"/>
      <c r="Q43" s="1263">
        <f t="shared" si="14"/>
        <v>111</v>
      </c>
      <c r="R43" s="667" t="s">
        <v>14</v>
      </c>
      <c r="S43" s="668">
        <f t="shared" si="10"/>
        <v>100</v>
      </c>
      <c r="T43" s="667" t="s">
        <v>14</v>
      </c>
      <c r="U43" s="668">
        <f t="shared" si="11"/>
        <v>100</v>
      </c>
      <c r="V43" s="667" t="s">
        <v>14</v>
      </c>
      <c r="W43" s="668">
        <f t="shared" si="12"/>
        <v>100</v>
      </c>
      <c r="X43" s="1265"/>
      <c r="Y43" s="3406"/>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6"/>
      <c r="Q44" s="1263">
        <f t="shared" si="14"/>
        <v>111</v>
      </c>
      <c r="R44" s="667" t="s">
        <v>14</v>
      </c>
      <c r="S44" s="668">
        <f t="shared" si="10"/>
        <v>100</v>
      </c>
      <c r="T44" s="667" t="s">
        <v>14</v>
      </c>
      <c r="U44" s="668">
        <f t="shared" si="11"/>
        <v>100</v>
      </c>
      <c r="V44" s="667" t="s">
        <v>14</v>
      </c>
      <c r="W44" s="668">
        <f t="shared" si="12"/>
        <v>100</v>
      </c>
      <c r="X44" s="1265"/>
      <c r="Y44" s="3406"/>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6"/>
      <c r="Q45" s="1263">
        <f t="shared" si="14"/>
        <v>111</v>
      </c>
      <c r="R45" s="669" t="s">
        <v>14</v>
      </c>
      <c r="S45" s="670">
        <f t="shared" si="10"/>
        <v>100</v>
      </c>
      <c r="T45" s="669" t="s">
        <v>14</v>
      </c>
      <c r="U45" s="670">
        <f t="shared" si="11"/>
        <v>100</v>
      </c>
      <c r="V45" s="669" t="s">
        <v>14</v>
      </c>
      <c r="W45" s="670">
        <f t="shared" si="12"/>
        <v>100</v>
      </c>
      <c r="X45" s="671"/>
      <c r="Y45" s="3406"/>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4"/>
      <c r="M46" s="2487"/>
      <c r="N46" s="2487"/>
      <c r="O46" s="2487"/>
      <c r="P46" s="3399" t="str">
        <f>A46</f>
        <v>成交单价</v>
      </c>
      <c r="Q46" s="3399"/>
      <c r="R46" s="3400">
        <f>E46</f>
        <v>0</v>
      </c>
      <c r="S46" s="3400"/>
      <c r="T46" s="3400">
        <f>G46</f>
        <v>0</v>
      </c>
      <c r="U46" s="3400"/>
      <c r="V46" s="3400">
        <f>I46</f>
        <v>0</v>
      </c>
      <c r="W46" s="3400"/>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99" t="str">
        <f>A47</f>
        <v>比较价值（元/平方米）</v>
      </c>
      <c r="Q47" s="3399"/>
      <c r="R47" s="3459" t="e">
        <f>ROUND(PRODUCT(R46,AA7:AA45),0)</f>
        <v>#DIV/0!</v>
      </c>
      <c r="S47" s="3459"/>
      <c r="T47" s="3459" t="e">
        <f>ROUND(PRODUCT(T46,AB7:AB45),0)</f>
        <v>#DIV/0!</v>
      </c>
      <c r="U47" s="3459"/>
      <c r="V47" s="3459" t="e">
        <f>ROUND(PRODUCT(V46,AC7:AC45),0)</f>
        <v>#DIV/0!</v>
      </c>
      <c r="W47" s="3459"/>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4"/>
      <c r="M48" s="2487"/>
      <c r="N48" s="2487"/>
      <c r="O48" s="2487"/>
      <c r="P48" s="3396" t="str">
        <f>A48</f>
        <v>估价对象XX用房的比较价值（楼面单价，元/平方米）</v>
      </c>
      <c r="Q48" s="3397"/>
      <c r="R48" s="3460" t="e">
        <f>ROUND(IF(D47="简单平均",AVERAGE(R47:W47),R47*F47+T47*H47+V47*J47),0)</f>
        <v>#DIV/0!</v>
      </c>
      <c r="S48" s="3460"/>
      <c r="T48" s="3460"/>
      <c r="U48" s="3460"/>
      <c r="V48" s="3460"/>
      <c r="W48" s="3460"/>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14" t="s">
        <v>1887</v>
      </c>
      <c r="H55" s="3461"/>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960</v>
      </c>
      <c r="F56" s="833" t="e">
        <f t="shared" ref="F56:F64" si="15">ROUND(B56*E56/10000,0)</f>
        <v>#DIV/0!</v>
      </c>
      <c r="G56" s="3410"/>
      <c r="H56" s="3399"/>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960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7"/>
      <c r="Q67" s="2487"/>
      <c r="R67" s="2487"/>
      <c r="S67" s="2487"/>
      <c r="T67" s="2487"/>
      <c r="U67" s="2487"/>
      <c r="V67" s="2487"/>
      <c r="W67" s="2487"/>
      <c r="X67" s="2487"/>
      <c r="Y67" s="2487"/>
      <c r="Z67" s="2487"/>
      <c r="AA67" s="2487"/>
      <c r="AB67" s="2487"/>
      <c r="AC67" s="2487"/>
    </row>
    <row r="68" spans="1:29" ht="21.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8.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4.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4.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4.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8.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4.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4.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4.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4.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4.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14" t="s">
        <v>1770</v>
      </c>
      <c r="D4" s="3415"/>
      <c r="E4" s="3416" t="s">
        <v>1771</v>
      </c>
      <c r="F4" s="3417"/>
      <c r="G4" s="3414" t="s">
        <v>1772</v>
      </c>
      <c r="H4" s="3415"/>
      <c r="I4" s="3414" t="s">
        <v>1773</v>
      </c>
      <c r="J4" s="3415"/>
      <c r="K4" s="537" t="s">
        <v>1774</v>
      </c>
      <c r="L4" s="2486"/>
      <c r="M4" s="2487"/>
      <c r="N4" s="2487"/>
      <c r="O4" s="2487"/>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2486"/>
      <c r="M5" s="2487"/>
      <c r="N5" s="2487"/>
      <c r="O5" s="2487"/>
      <c r="P5" s="3420"/>
      <c r="Q5" s="3421"/>
      <c r="R5" s="3426"/>
      <c r="S5" s="3427"/>
      <c r="T5" s="3426"/>
      <c r="U5" s="3427"/>
      <c r="V5" s="3400"/>
      <c r="W5" s="3400"/>
      <c r="X5" s="1265"/>
      <c r="Y5" s="3426"/>
      <c r="Z5" s="3427"/>
      <c r="AA5" s="3412"/>
      <c r="AB5" s="3412"/>
      <c r="AC5" s="3412"/>
    </row>
    <row r="6" spans="1:29" ht="15" thickBot="1">
      <c r="A6" s="350"/>
      <c r="B6" s="351"/>
      <c r="C6" s="3462" t="s">
        <v>1919</v>
      </c>
      <c r="D6" s="3463"/>
      <c r="E6" s="3464" t="s">
        <v>1919</v>
      </c>
      <c r="F6" s="3465"/>
      <c r="G6" s="3462" t="s">
        <v>1919</v>
      </c>
      <c r="H6" s="3463"/>
      <c r="I6" s="3462" t="s">
        <v>1919</v>
      </c>
      <c r="J6" s="3463"/>
      <c r="K6" s="537" t="s">
        <v>1678</v>
      </c>
      <c r="L6" s="2486"/>
      <c r="M6" s="2487"/>
      <c r="N6" s="2487"/>
      <c r="O6" s="2487"/>
      <c r="P6" s="3422"/>
      <c r="Q6" s="3423"/>
      <c r="R6" s="3426"/>
      <c r="S6" s="3427"/>
      <c r="T6" s="3428"/>
      <c r="U6" s="3429"/>
      <c r="V6" s="3400"/>
      <c r="W6" s="3400"/>
      <c r="X6" s="1265"/>
      <c r="Y6" s="3428"/>
      <c r="Z6" s="3429"/>
      <c r="AA6" s="3413"/>
      <c r="AB6" s="3413"/>
      <c r="AC6" s="3413"/>
    </row>
    <row r="7" spans="1:29" s="102" customFormat="1" ht="14.5" thickBot="1">
      <c r="A7" s="352" t="s">
        <v>1679</v>
      </c>
      <c r="B7" s="353"/>
      <c r="C7" s="354">
        <f>'数据-取费表'!B2</f>
        <v>45967</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34" t="s">
        <v>1683</v>
      </c>
      <c r="Q8" s="3435"/>
      <c r="R8" s="664" t="s">
        <v>14</v>
      </c>
      <c r="S8" s="665">
        <f t="shared" si="0"/>
        <v>0</v>
      </c>
      <c r="T8" s="664" t="s">
        <v>14</v>
      </c>
      <c r="U8" s="665">
        <f t="shared" si="1"/>
        <v>0</v>
      </c>
      <c r="V8" s="664" t="s">
        <v>14</v>
      </c>
      <c r="W8" s="665">
        <f t="shared" si="2"/>
        <v>0</v>
      </c>
      <c r="X8" s="666"/>
      <c r="Y8" s="3434" t="s">
        <v>1683</v>
      </c>
      <c r="Z8" s="343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99"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99"/>
      <c r="Q10" s="530" t="str">
        <f t="shared" si="6"/>
        <v>土地使用年限（年）</v>
      </c>
      <c r="R10" s="664" t="s">
        <v>14</v>
      </c>
      <c r="S10" s="665" t="e">
        <f t="shared" si="0"/>
        <v>#DIV/0!</v>
      </c>
      <c r="T10" s="664" t="s">
        <v>14</v>
      </c>
      <c r="U10" s="665" t="e">
        <f t="shared" si="1"/>
        <v>#DIV/0!</v>
      </c>
      <c r="V10" s="664" t="s">
        <v>14</v>
      </c>
      <c r="W10" s="665" t="e">
        <f t="shared" si="2"/>
        <v>#DIV/0!</v>
      </c>
      <c r="X10" s="666"/>
      <c r="Y10" s="3274"/>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99"/>
      <c r="Q11" s="530" t="str">
        <f t="shared" si="6"/>
        <v>容积率</v>
      </c>
      <c r="R11" s="664" t="s">
        <v>14</v>
      </c>
      <c r="S11" s="665" t="e">
        <f t="shared" si="0"/>
        <v>#N/A</v>
      </c>
      <c r="T11" s="664" t="s">
        <v>14</v>
      </c>
      <c r="U11" s="665" t="e">
        <f t="shared" si="1"/>
        <v>#N/A</v>
      </c>
      <c r="V11" s="664" t="s">
        <v>14</v>
      </c>
      <c r="W11" s="665" t="e">
        <f t="shared" si="2"/>
        <v>#N/A</v>
      </c>
      <c r="X11" s="666"/>
      <c r="Y11" s="3274"/>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99"/>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99"/>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99"/>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2"/>
      <c r="M16" s="2487"/>
      <c r="N16" s="2487"/>
      <c r="O16" s="2542"/>
      <c r="P16" s="3402"/>
      <c r="Q16" s="1263"/>
      <c r="R16" s="667"/>
      <c r="S16" s="668"/>
      <c r="T16" s="667"/>
      <c r="U16" s="668"/>
      <c r="V16" s="667"/>
      <c r="W16" s="668"/>
      <c r="X16" s="1265"/>
      <c r="Y16" s="3402"/>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2"/>
      <c r="M18" s="2487"/>
      <c r="N18" s="2487"/>
      <c r="O18" s="2542"/>
      <c r="P18" s="3402"/>
      <c r="Q18" s="1263"/>
      <c r="R18" s="667"/>
      <c r="S18" s="668"/>
      <c r="T18" s="667"/>
      <c r="U18" s="668"/>
      <c r="V18" s="667"/>
      <c r="W18" s="668"/>
      <c r="X18" s="1265"/>
      <c r="Y18" s="3402"/>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2"/>
      <c r="Q19" s="1263" t="str">
        <f t="shared" ref="Q19:Q33" si="8">B19</f>
        <v>区域土地利用方向</v>
      </c>
      <c r="R19" s="667" t="s">
        <v>14</v>
      </c>
      <c r="S19" s="668">
        <f>F19</f>
        <v>100</v>
      </c>
      <c r="T19" s="667" t="s">
        <v>14</v>
      </c>
      <c r="U19" s="668">
        <f>H19</f>
        <v>100</v>
      </c>
      <c r="V19" s="667" t="s">
        <v>14</v>
      </c>
      <c r="W19" s="668">
        <f>J19</f>
        <v>100</v>
      </c>
      <c r="X19" s="1265"/>
      <c r="Y19" s="3402"/>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2"/>
      <c r="M20" s="2487"/>
      <c r="N20" s="2487"/>
      <c r="O20" s="2542"/>
      <c r="P20" s="3402"/>
      <c r="Q20" s="1263"/>
      <c r="R20" s="667"/>
      <c r="S20" s="668"/>
      <c r="T20" s="667"/>
      <c r="U20" s="668"/>
      <c r="V20" s="667"/>
      <c r="W20" s="668"/>
      <c r="X20" s="1265"/>
      <c r="Y20" s="3402"/>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2"/>
      <c r="Q21" s="1263" t="str">
        <f t="shared" si="8"/>
        <v>环境状况</v>
      </c>
      <c r="R21" s="667" t="s">
        <v>14</v>
      </c>
      <c r="S21" s="668">
        <f>F21</f>
        <v>100</v>
      </c>
      <c r="T21" s="667" t="s">
        <v>14</v>
      </c>
      <c r="U21" s="668">
        <f>H21</f>
        <v>100</v>
      </c>
      <c r="V21" s="667" t="s">
        <v>14</v>
      </c>
      <c r="W21" s="668">
        <f>J21</f>
        <v>100</v>
      </c>
      <c r="X21" s="1265"/>
      <c r="Y21" s="3402"/>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2"/>
      <c r="M22" s="2487"/>
      <c r="N22" s="2487"/>
      <c r="O22" s="2542"/>
      <c r="P22" s="3402"/>
      <c r="Q22" s="1263"/>
      <c r="R22" s="667"/>
      <c r="S22" s="668"/>
      <c r="T22" s="667"/>
      <c r="U22" s="668"/>
      <c r="V22" s="667"/>
      <c r="W22" s="668"/>
      <c r="X22" s="1265"/>
      <c r="Y22" s="3402"/>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02"/>
      <c r="Q23" s="530" t="str">
        <f t="shared" si="8"/>
        <v>公共配套设施</v>
      </c>
      <c r="R23" s="664" t="s">
        <v>14</v>
      </c>
      <c r="S23" s="665">
        <f>F23</f>
        <v>100</v>
      </c>
      <c r="T23" s="664" t="s">
        <v>14</v>
      </c>
      <c r="U23" s="665">
        <f>H23</f>
        <v>100</v>
      </c>
      <c r="V23" s="664" t="s">
        <v>14</v>
      </c>
      <c r="W23" s="665">
        <f>J23</f>
        <v>100</v>
      </c>
      <c r="X23" s="666"/>
      <c r="Y23" s="3402"/>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8"/>
      <c r="M24" s="2440"/>
      <c r="N24" s="2440"/>
      <c r="O24" s="2540"/>
      <c r="P24" s="3402"/>
      <c r="Q24" s="530"/>
      <c r="R24" s="664"/>
      <c r="S24" s="665"/>
      <c r="T24" s="664"/>
      <c r="U24" s="665"/>
      <c r="V24" s="664"/>
      <c r="W24" s="665"/>
      <c r="X24" s="666"/>
      <c r="Y24" s="3402"/>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02"/>
      <c r="Q25" s="530" t="str">
        <f t="shared" ref="Q25" si="9">B25</f>
        <v>基础设施水平</v>
      </c>
      <c r="R25" s="664" t="s">
        <v>14</v>
      </c>
      <c r="S25" s="665">
        <f>F25</f>
        <v>100</v>
      </c>
      <c r="T25" s="664" t="s">
        <v>14</v>
      </c>
      <c r="U25" s="665">
        <f>H25</f>
        <v>100</v>
      </c>
      <c r="V25" s="664" t="s">
        <v>14</v>
      </c>
      <c r="W25" s="665">
        <f>J25</f>
        <v>100</v>
      </c>
      <c r="X25" s="666"/>
      <c r="Y25" s="3402"/>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8"/>
      <c r="M26" s="2440"/>
      <c r="N26" s="2440"/>
      <c r="O26" s="2540"/>
      <c r="P26" s="3402"/>
      <c r="Q26" s="530"/>
      <c r="R26" s="664"/>
      <c r="S26" s="665"/>
      <c r="T26" s="664"/>
      <c r="U26" s="665"/>
      <c r="V26" s="664"/>
      <c r="W26" s="665"/>
      <c r="X26" s="666"/>
      <c r="Y26" s="3402"/>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2"/>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2"/>
      <c r="Q28" s="1263" t="str">
        <f t="shared" si="8"/>
        <v>毗邻道路的类型与等级</v>
      </c>
      <c r="R28" s="667" t="s">
        <v>14</v>
      </c>
      <c r="S28" s="668">
        <f t="shared" si="10"/>
        <v>100</v>
      </c>
      <c r="T28" s="667" t="s">
        <v>14</v>
      </c>
      <c r="U28" s="668">
        <f t="shared" si="11"/>
        <v>100</v>
      </c>
      <c r="V28" s="667" t="s">
        <v>14</v>
      </c>
      <c r="W28" s="668">
        <f t="shared" si="12"/>
        <v>100</v>
      </c>
      <c r="X28" s="1265"/>
      <c r="Y28" s="3402"/>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2"/>
      <c r="M29" s="2487"/>
      <c r="N29" s="2487"/>
      <c r="O29" s="2542"/>
      <c r="P29" s="3402"/>
      <c r="Q29" s="1263"/>
      <c r="R29" s="667"/>
      <c r="S29" s="668"/>
      <c r="T29" s="667"/>
      <c r="U29" s="668"/>
      <c r="V29" s="667"/>
      <c r="W29" s="668"/>
      <c r="X29" s="1265"/>
      <c r="Y29" s="3402"/>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2"/>
      <c r="Q30" s="1263" t="str">
        <f t="shared" si="8"/>
        <v>土地级别</v>
      </c>
      <c r="R30" s="667" t="s">
        <v>14</v>
      </c>
      <c r="S30" s="668">
        <f t="shared" si="10"/>
        <v>100</v>
      </c>
      <c r="T30" s="667" t="s">
        <v>14</v>
      </c>
      <c r="U30" s="668">
        <f t="shared" si="11"/>
        <v>100</v>
      </c>
      <c r="V30" s="667" t="s">
        <v>14</v>
      </c>
      <c r="W30" s="668">
        <f t="shared" si="12"/>
        <v>100</v>
      </c>
      <c r="X30" s="1265"/>
      <c r="Y30" s="3402"/>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2"/>
      <c r="Q31" s="1263">
        <f t="shared" si="8"/>
        <v>111</v>
      </c>
      <c r="R31" s="667" t="s">
        <v>14</v>
      </c>
      <c r="S31" s="668">
        <f t="shared" si="10"/>
        <v>100</v>
      </c>
      <c r="T31" s="667" t="s">
        <v>14</v>
      </c>
      <c r="U31" s="668">
        <f t="shared" si="11"/>
        <v>100</v>
      </c>
      <c r="V31" s="667" t="s">
        <v>14</v>
      </c>
      <c r="W31" s="668">
        <f t="shared" si="12"/>
        <v>100</v>
      </c>
      <c r="X31" s="1265"/>
      <c r="Y31" s="3402"/>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7" t="s">
        <v>1696</v>
      </c>
      <c r="Q32" s="1263">
        <f t="shared" si="8"/>
        <v>111</v>
      </c>
      <c r="R32" s="667" t="s">
        <v>14</v>
      </c>
      <c r="S32" s="668">
        <f t="shared" si="10"/>
        <v>100</v>
      </c>
      <c r="T32" s="667" t="s">
        <v>14</v>
      </c>
      <c r="U32" s="668">
        <f t="shared" si="11"/>
        <v>100</v>
      </c>
      <c r="V32" s="667" t="s">
        <v>14</v>
      </c>
      <c r="W32" s="668">
        <f t="shared" si="12"/>
        <v>100</v>
      </c>
      <c r="X32" s="1265"/>
      <c r="Y32" s="3406"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6"/>
      <c r="Q33" s="1263">
        <f t="shared" si="8"/>
        <v>111</v>
      </c>
      <c r="R33" s="669" t="s">
        <v>14</v>
      </c>
      <c r="S33" s="670">
        <f t="shared" si="10"/>
        <v>100</v>
      </c>
      <c r="T33" s="669" t="s">
        <v>14</v>
      </c>
      <c r="U33" s="670">
        <f t="shared" si="11"/>
        <v>100</v>
      </c>
      <c r="V33" s="669" t="s">
        <v>14</v>
      </c>
      <c r="W33" s="670">
        <f t="shared" si="12"/>
        <v>100</v>
      </c>
      <c r="X33" s="671"/>
      <c r="Y33" s="3406"/>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6"/>
      <c r="Q34" s="1263" t="str">
        <f>B34</f>
        <v>宗地面积</v>
      </c>
      <c r="R34" s="667" t="s">
        <v>14</v>
      </c>
      <c r="S34" s="668" t="e">
        <f t="shared" si="10"/>
        <v>#N/A</v>
      </c>
      <c r="T34" s="667" t="s">
        <v>14</v>
      </c>
      <c r="U34" s="668" t="e">
        <f t="shared" si="11"/>
        <v>#N/A</v>
      </c>
      <c r="V34" s="667" t="s">
        <v>14</v>
      </c>
      <c r="W34" s="668" t="e">
        <f t="shared" si="12"/>
        <v>#N/A</v>
      </c>
      <c r="X34" s="1265"/>
      <c r="Y34" s="3406"/>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06"/>
      <c r="Q35" s="1263" t="str">
        <f t="shared" ref="Q35:Q40" si="14">B35</f>
        <v>宗地形状</v>
      </c>
      <c r="R35" s="667" t="s">
        <v>14</v>
      </c>
      <c r="S35" s="668">
        <f t="shared" si="10"/>
        <v>100</v>
      </c>
      <c r="T35" s="667" t="s">
        <v>14</v>
      </c>
      <c r="U35" s="668">
        <f t="shared" si="11"/>
        <v>100</v>
      </c>
      <c r="V35" s="667" t="s">
        <v>14</v>
      </c>
      <c r="W35" s="668">
        <f t="shared" si="12"/>
        <v>100</v>
      </c>
      <c r="X35" s="1265"/>
      <c r="Y35" s="3406"/>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06"/>
      <c r="Q36" s="1263" t="str">
        <f t="shared" si="14"/>
        <v>宗地开发程度</v>
      </c>
      <c r="R36" s="664" t="s">
        <v>14</v>
      </c>
      <c r="S36" s="665">
        <f t="shared" si="10"/>
        <v>100</v>
      </c>
      <c r="T36" s="664" t="s">
        <v>14</v>
      </c>
      <c r="U36" s="665">
        <f t="shared" si="11"/>
        <v>100</v>
      </c>
      <c r="V36" s="664" t="s">
        <v>14</v>
      </c>
      <c r="W36" s="665">
        <f t="shared" si="12"/>
        <v>100</v>
      </c>
      <c r="X36" s="666"/>
      <c r="Y36" s="3406"/>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06" t="s">
        <v>1696</v>
      </c>
      <c r="Q37" s="1263" t="str">
        <f t="shared" si="14"/>
        <v>工程地质条件</v>
      </c>
      <c r="R37" s="667" t="s">
        <v>14</v>
      </c>
      <c r="S37" s="668">
        <f t="shared" si="10"/>
        <v>100</v>
      </c>
      <c r="T37" s="667" t="s">
        <v>14</v>
      </c>
      <c r="U37" s="668">
        <f t="shared" si="11"/>
        <v>100</v>
      </c>
      <c r="V37" s="667" t="s">
        <v>14</v>
      </c>
      <c r="W37" s="668">
        <f t="shared" si="12"/>
        <v>100</v>
      </c>
      <c r="X37" s="1265"/>
      <c r="Y37" s="3406"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6"/>
      <c r="Q38" s="1263">
        <f t="shared" si="14"/>
        <v>111</v>
      </c>
      <c r="R38" s="667" t="s">
        <v>14</v>
      </c>
      <c r="S38" s="668">
        <f t="shared" si="10"/>
        <v>100</v>
      </c>
      <c r="T38" s="667" t="s">
        <v>14</v>
      </c>
      <c r="U38" s="668">
        <f t="shared" si="11"/>
        <v>100</v>
      </c>
      <c r="V38" s="667" t="s">
        <v>14</v>
      </c>
      <c r="W38" s="668">
        <f t="shared" si="12"/>
        <v>100</v>
      </c>
      <c r="X38" s="1265"/>
      <c r="Y38" s="3406"/>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6"/>
      <c r="Q39" s="1263">
        <f t="shared" si="14"/>
        <v>111</v>
      </c>
      <c r="R39" s="667" t="s">
        <v>14</v>
      </c>
      <c r="S39" s="668">
        <f t="shared" si="10"/>
        <v>100</v>
      </c>
      <c r="T39" s="667" t="s">
        <v>14</v>
      </c>
      <c r="U39" s="668">
        <f t="shared" si="11"/>
        <v>100</v>
      </c>
      <c r="V39" s="667" t="s">
        <v>14</v>
      </c>
      <c r="W39" s="668">
        <f t="shared" si="12"/>
        <v>100</v>
      </c>
      <c r="X39" s="1265"/>
      <c r="Y39" s="3406"/>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6"/>
      <c r="Q40" s="1263">
        <f t="shared" si="14"/>
        <v>111</v>
      </c>
      <c r="R40" s="669" t="s">
        <v>14</v>
      </c>
      <c r="S40" s="670">
        <f t="shared" si="10"/>
        <v>100</v>
      </c>
      <c r="T40" s="669" t="s">
        <v>14</v>
      </c>
      <c r="U40" s="670">
        <f t="shared" si="11"/>
        <v>100</v>
      </c>
      <c r="V40" s="669" t="s">
        <v>14</v>
      </c>
      <c r="W40" s="670">
        <f t="shared" si="12"/>
        <v>100</v>
      </c>
      <c r="X40" s="671"/>
      <c r="Y40" s="3406"/>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4"/>
      <c r="M41" s="2487"/>
      <c r="N41" s="2487"/>
      <c r="O41" s="2487"/>
      <c r="P41" s="3399" t="str">
        <f>A41</f>
        <v>成交单价</v>
      </c>
      <c r="Q41" s="3399"/>
      <c r="R41" s="3400">
        <f>E41</f>
        <v>0</v>
      </c>
      <c r="S41" s="3400"/>
      <c r="T41" s="3400">
        <f>G41</f>
        <v>0</v>
      </c>
      <c r="U41" s="3400"/>
      <c r="V41" s="3400">
        <f>I41</f>
        <v>0</v>
      </c>
      <c r="W41" s="3400"/>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99" t="str">
        <f>A42</f>
        <v>比较价值（元/平方米）</v>
      </c>
      <c r="Q42" s="3399"/>
      <c r="R42" s="3459" t="e">
        <f>ROUND(PRODUCT(R41,AA7:AA40),0)</f>
        <v>#DIV/0!</v>
      </c>
      <c r="S42" s="3459"/>
      <c r="T42" s="3459" t="e">
        <f>ROUND(PRODUCT(T41,AB7:AB40),0)</f>
        <v>#DIV/0!</v>
      </c>
      <c r="U42" s="3459"/>
      <c r="V42" s="3459" t="e">
        <f>ROUND(PRODUCT(V41,AC7:AC40),0)</f>
        <v>#DIV/0!</v>
      </c>
      <c r="W42" s="3459"/>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4"/>
      <c r="M43" s="2487"/>
      <c r="N43" s="2487"/>
      <c r="O43" s="2487"/>
      <c r="P43" s="3396" t="str">
        <f>A43</f>
        <v>估价对象XX用房的比较价值（楼面单价，元/平方米）</v>
      </c>
      <c r="Q43" s="3397"/>
      <c r="R43" s="3460" t="e">
        <f>ROUND(IF(D42="简单平均",AVERAGE(R42:W42),R42*F42+T42*H42+V42*J42),0)</f>
        <v>#DIV/0!</v>
      </c>
      <c r="S43" s="3460"/>
      <c r="T43" s="3460"/>
      <c r="U43" s="3460"/>
      <c r="V43" s="3460"/>
      <c r="W43" s="3460"/>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
      <c r="A50" s="604" t="s">
        <v>1881</v>
      </c>
      <c r="B50" s="605" t="s">
        <v>1882</v>
      </c>
      <c r="C50" s="1831" t="s">
        <v>1883</v>
      </c>
      <c r="D50" s="1832" t="s">
        <v>1884</v>
      </c>
      <c r="E50" s="606" t="s">
        <v>1885</v>
      </c>
      <c r="F50" s="607" t="s">
        <v>1886</v>
      </c>
      <c r="G50" s="3414" t="s">
        <v>1887</v>
      </c>
      <c r="H50" s="3461"/>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960</v>
      </c>
      <c r="F51" s="611" t="e">
        <f t="shared" ref="F51:F60" si="15">ROUND(B51*E51/10000,0)</f>
        <v>#DIV/0!</v>
      </c>
      <c r="G51" s="3410"/>
      <c r="H51" s="3399"/>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7"/>
      <c r="Q63" s="2487"/>
      <c r="R63" s="2487"/>
      <c r="S63" s="2487"/>
      <c r="T63" s="2487"/>
      <c r="U63" s="2487"/>
      <c r="V63" s="2487"/>
      <c r="W63" s="2487"/>
      <c r="X63" s="2487"/>
      <c r="Y63" s="2487"/>
      <c r="Z63" s="2487"/>
      <c r="AA63" s="2487"/>
      <c r="AB63" s="2487"/>
      <c r="AC63" s="2487"/>
      <c r="AD63" s="2487"/>
      <c r="AE63" s="2487"/>
    </row>
    <row r="64" spans="1:31" ht="21.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8.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4.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8.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4.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4.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4.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4.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9" t="s">
        <v>2084</v>
      </c>
      <c r="D1" s="3470"/>
      <c r="E1" s="3470"/>
      <c r="F1" s="3470"/>
      <c r="G1" s="3470"/>
      <c r="H1" s="3470"/>
      <c r="I1" s="3470"/>
      <c r="J1" s="3470"/>
      <c r="K1" s="3470"/>
      <c r="L1" s="3470"/>
      <c r="M1" s="3470"/>
      <c r="N1" s="3470"/>
      <c r="O1" s="3470"/>
      <c r="P1" s="3470"/>
      <c r="Q1" s="3470"/>
      <c r="R1" s="3470"/>
      <c r="S1" s="3471"/>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6" t="s">
        <v>27</v>
      </c>
      <c r="D22" s="3467"/>
      <c r="E22" s="3467"/>
      <c r="F22" s="3467"/>
      <c r="G22" s="3467"/>
      <c r="H22" s="3467"/>
      <c r="I22" s="3467"/>
      <c r="J22" s="3467"/>
      <c r="K22" s="3467"/>
      <c r="L22" s="3467"/>
      <c r="M22" s="3467"/>
      <c r="N22" s="3467"/>
      <c r="O22" s="3467"/>
      <c r="P22" s="3467"/>
      <c r="Q22" s="3468"/>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5">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5">
      <c r="A3" s="1984" t="s">
        <v>2076</v>
      </c>
      <c r="B3" s="2388" t="e">
        <f ca="1">ROUND(B2*10000/E2,0)</f>
        <v>#DIV/0!</v>
      </c>
      <c r="C3" s="1984" t="s">
        <v>2082</v>
      </c>
      <c r="D3" s="2544"/>
      <c r="E3" s="2544"/>
      <c r="F3" s="2544"/>
      <c r="G3" s="2544"/>
      <c r="H3" s="2544"/>
      <c r="I3" s="2544"/>
      <c r="J3" s="2544"/>
      <c r="K3" s="2544"/>
      <c r="L3" s="2544"/>
      <c r="M3" s="2544"/>
      <c r="N3" s="2544"/>
      <c r="O3" s="2544"/>
      <c r="P3" s="2544"/>
    </row>
    <row r="4" spans="1:16" ht="15.5">
      <c r="A4" s="2556"/>
      <c r="B4" s="2544"/>
      <c r="C4" s="2544"/>
      <c r="D4" s="2544"/>
      <c r="E4" s="2544"/>
      <c r="F4" s="2544"/>
      <c r="G4" s="2544"/>
      <c r="H4" s="2544"/>
      <c r="I4" s="2544"/>
      <c r="J4" s="2544"/>
      <c r="K4" s="2544"/>
      <c r="L4" s="2544"/>
      <c r="M4" s="2544"/>
      <c r="N4" s="2544"/>
      <c r="O4" s="2544"/>
      <c r="P4" s="2544"/>
    </row>
    <row r="5" spans="1:16" ht="30">
      <c r="A5" s="2394" t="s">
        <v>2077</v>
      </c>
      <c r="B5" s="2396" t="s">
        <v>2078</v>
      </c>
      <c r="C5" s="1985"/>
      <c r="D5" s="2544"/>
      <c r="E5" s="2397" t="s">
        <v>2079</v>
      </c>
      <c r="F5" s="2544"/>
      <c r="G5" s="2544"/>
      <c r="H5" s="2544"/>
      <c r="I5" s="2544"/>
      <c r="J5" s="2544"/>
      <c r="K5" s="2544"/>
      <c r="L5" s="2544"/>
      <c r="M5" s="2544"/>
      <c r="N5" s="2544"/>
      <c r="O5" s="2544"/>
      <c r="P5" s="2544"/>
    </row>
    <row r="6" spans="1:16" ht="15.5">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39" sqref="F39:F48"/>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5">
      <c r="A4" s="3479"/>
      <c r="B4" s="3480"/>
      <c r="C4" s="3480"/>
      <c r="D4" s="3481"/>
      <c r="E4" s="3481"/>
      <c r="F4" s="3481"/>
      <c r="G4" s="3481"/>
      <c r="H4" s="3481"/>
      <c r="I4" s="3481"/>
      <c r="J4" s="348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6.5"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76" t="s">
        <v>1960</v>
      </c>
      <c r="X8" s="347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78"/>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7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7"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6.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6">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6">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
      <c r="A20" s="3483" t="s">
        <v>3254</v>
      </c>
      <c r="B20" s="159" t="s">
        <v>1994</v>
      </c>
      <c r="C20" s="3031" t="e">
        <f>ROUND(IF(F21="与级别开发程度一致",0,(G21-E21)/C21),0)</f>
        <v>#DIV/0!</v>
      </c>
      <c r="D20" s="3046" t="s">
        <v>1998</v>
      </c>
      <c r="E20" s="3047"/>
      <c r="F20" s="3489" t="s">
        <v>1995</v>
      </c>
      <c r="G20" s="3490"/>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5" thickBot="1">
      <c r="A21" s="3484"/>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4.5" thickBot="1">
      <c r="A22" s="1996" t="s">
        <v>363</v>
      </c>
      <c r="B22" s="1997" t="s">
        <v>2000</v>
      </c>
      <c r="C22" s="1998">
        <f>SUMIF(修正!C20:C53,E3,修正!E20:E53)</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45967</v>
      </c>
      <c r="H23" s="3048"/>
      <c r="I23" s="3049" t="str">
        <f>IF(H23="季度增幅（自定义）",SUMIF(N25:N28,E2,O25:O28),"")</f>
        <v/>
      </c>
      <c r="J23" s="3141"/>
      <c r="K23" s="1061"/>
      <c r="L23" s="1897" t="s">
        <v>2004</v>
      </c>
      <c r="M23" s="1241">
        <f>ROUND(SUMIF(地价!B2:G2,E2,地价!B16:G16),0)</f>
        <v>0</v>
      </c>
      <c r="N23" s="1898" t="s">
        <v>2005</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
      <c r="A25" s="1907" t="s">
        <v>366</v>
      </c>
      <c r="B25" s="1908" t="s">
        <v>3333</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7"/>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4"/>
      <c r="K37" s="3061"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8"/>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8"/>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0" t="s">
        <v>3267</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0" t="s">
        <v>3267</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9">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4">
      <c r="A91" s="3078" t="s">
        <v>2612</v>
      </c>
      <c r="B91" s="3079">
        <f>1+E93</f>
        <v>1</v>
      </c>
      <c r="C91" s="3072"/>
      <c r="D91" s="3073"/>
      <c r="E91" s="1675"/>
      <c r="F91" s="1675"/>
      <c r="G91" s="3074"/>
      <c r="H91" s="3075"/>
      <c r="I91" s="3076"/>
      <c r="J91" s="3077"/>
      <c r="K91" s="3077"/>
      <c r="L91" s="3077"/>
      <c r="M91" s="3077"/>
      <c r="N91" s="3077"/>
    </row>
    <row r="92" spans="1:37" ht="26">
      <c r="A92" s="3080" t="s">
        <v>3269</v>
      </c>
      <c r="B92" s="2310"/>
      <c r="C92" s="2310" t="s">
        <v>3278</v>
      </c>
      <c r="D92" s="2310" t="s">
        <v>3279</v>
      </c>
      <c r="E92" s="3052" t="s">
        <v>3280</v>
      </c>
      <c r="F92" s="3082" t="s">
        <v>3281</v>
      </c>
      <c r="G92" s="2310" t="s">
        <v>3282</v>
      </c>
      <c r="H92" s="3089" t="s">
        <v>3285</v>
      </c>
      <c r="I92" s="2310" t="s">
        <v>3286</v>
      </c>
      <c r="J92" s="2150" t="s">
        <v>3287</v>
      </c>
      <c r="K92" s="2150" t="s">
        <v>3288</v>
      </c>
      <c r="L92" s="2150" t="s">
        <v>3289</v>
      </c>
      <c r="M92" s="2150" t="s">
        <v>3290</v>
      </c>
      <c r="N92" s="2150" t="s">
        <v>3291</v>
      </c>
    </row>
    <row r="93" spans="1:37" ht="26">
      <c r="A93" s="3070" t="s">
        <v>3270</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0">
      <c r="A94" s="3080" t="s">
        <v>3271</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9">
      <c r="A95" s="3070" t="s">
        <v>3267</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9">
      <c r="A96" s="3080" t="s">
        <v>3272</v>
      </c>
      <c r="B96" s="3086" t="s">
        <v>3283</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6">
      <c r="A97" s="3080" t="s">
        <v>3273</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6">
      <c r="A98" s="3080" t="s">
        <v>3274</v>
      </c>
      <c r="B98" s="3087" t="s">
        <v>3284</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
      <c r="A99" s="3080" t="s">
        <v>3275</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
      <c r="A100" s="3080" t="s">
        <v>3276</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5" thickBot="1">
      <c r="A101" s="3081" t="s">
        <v>3277</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ht="13">
      <c r="A103" s="3485" t="s">
        <v>3292</v>
      </c>
      <c r="B103" s="3485"/>
      <c r="C103" s="3485"/>
      <c r="D103" s="3485"/>
      <c r="E103" s="3485"/>
      <c r="F103" s="3485"/>
      <c r="G103" s="3485"/>
      <c r="H103" s="3485"/>
      <c r="I103" s="3485"/>
      <c r="J103" s="3485"/>
      <c r="K103" s="1667"/>
      <c r="L103" s="1667"/>
      <c r="M103" s="1667"/>
      <c r="N103" s="1667"/>
    </row>
    <row r="104" spans="1:14" ht="13">
      <c r="A104" s="3486" t="s">
        <v>3293</v>
      </c>
      <c r="B104" s="3486" t="s">
        <v>3294</v>
      </c>
      <c r="C104" s="3090" t="s">
        <v>3295</v>
      </c>
      <c r="D104" s="3091"/>
      <c r="E104" s="3091"/>
      <c r="F104" s="3091"/>
      <c r="G104" s="3091"/>
      <c r="H104" s="3091"/>
      <c r="I104" s="3091"/>
      <c r="J104" s="3092"/>
      <c r="K104" s="3093"/>
      <c r="L104" s="3093"/>
      <c r="M104" s="3093"/>
      <c r="N104" s="3093"/>
    </row>
    <row r="105" spans="1:14" ht="13">
      <c r="A105" s="3486"/>
      <c r="B105" s="3486"/>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72"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ht="13">
      <c r="A111" s="3473"/>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4"/>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ht="13">
      <c r="A113" s="3475" t="s">
        <v>3309</v>
      </c>
      <c r="B113" s="3475"/>
      <c r="C113" s="3475"/>
      <c r="D113" s="3475"/>
      <c r="E113" s="3475"/>
      <c r="F113" s="3475"/>
      <c r="G113" s="3475"/>
      <c r="H113" s="3475"/>
      <c r="I113" s="3475"/>
      <c r="J113" s="3475"/>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 thickBot="1">
      <c r="A115" s="3097"/>
      <c r="B115" s="3097"/>
      <c r="C115" s="3097"/>
      <c r="D115" s="3097"/>
      <c r="E115" s="3097"/>
      <c r="F115" s="3097"/>
      <c r="G115" s="3097"/>
      <c r="H115" s="3097"/>
      <c r="I115" s="3097"/>
      <c r="J115" s="3097"/>
      <c r="K115" s="1964"/>
      <c r="L115" s="3097"/>
      <c r="M115" s="3097"/>
      <c r="N115" s="3097"/>
    </row>
    <row r="116" spans="1:14" ht="26" thickBot="1">
      <c r="A116" s="3098" t="s">
        <v>3310</v>
      </c>
      <c r="B116" s="3114">
        <f>G3</f>
        <v>0</v>
      </c>
      <c r="C116" s="3099" t="s">
        <v>3311</v>
      </c>
      <c r="D116" s="3100">
        <f>SUMPRODUCT((A118:A122=F116)*(B117:M117=H116)*B118:M122)</f>
        <v>0</v>
      </c>
      <c r="E116" s="162" t="s">
        <v>3312</v>
      </c>
      <c r="F116" s="3101">
        <f>E2</f>
        <v>0</v>
      </c>
      <c r="G116" s="162" t="s">
        <v>3313</v>
      </c>
      <c r="H116" s="3101">
        <f>G2</f>
        <v>0</v>
      </c>
      <c r="I116" s="162"/>
      <c r="J116" s="3102"/>
      <c r="K116" s="3102"/>
      <c r="L116" s="3102"/>
      <c r="M116" s="3102"/>
      <c r="N116" s="3097"/>
    </row>
    <row r="117" spans="1:14" ht="13">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ht="13">
      <c r="A118" s="3057" t="s">
        <v>3326</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ht="13">
      <c r="A119" s="3057" t="s">
        <v>3327</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ht="13">
      <c r="A120" s="3057" t="s">
        <v>3328</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3329</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ht="13">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3" customWidth="1"/>
    <col min="14" max="14" width="10" style="2813" customWidth="1"/>
    <col min="15" max="16" width="8.26953125" style="2813"/>
    <col min="17" max="17" width="34.08984375" style="2813" customWidth="1"/>
    <col min="18" max="18" width="8.26953125" style="2813" customWidth="1"/>
    <col min="19" max="19" width="8.26953125" style="2813"/>
    <col min="20" max="20" width="11.6328125" style="2813" customWidth="1"/>
    <col min="21" max="16384" width="8.269531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502" t="s">
        <v>2607</v>
      </c>
      <c r="B20" s="3495" t="s">
        <v>2628</v>
      </c>
      <c r="C20" s="3168" t="s">
        <v>2439</v>
      </c>
      <c r="D20" s="3168"/>
      <c r="E20" s="2844">
        <v>1</v>
      </c>
      <c r="F20" s="2845" t="s">
        <v>2440</v>
      </c>
      <c r="G20" s="2845"/>
    </row>
    <row r="21" spans="1:13" ht="19.5" customHeight="1">
      <c r="A21" s="3503"/>
      <c r="B21" s="3491"/>
      <c r="C21" s="2857" t="s">
        <v>2441</v>
      </c>
      <c r="D21" s="2857"/>
      <c r="E21" s="2848">
        <v>1</v>
      </c>
      <c r="F21" s="2845" t="s">
        <v>2442</v>
      </c>
      <c r="G21" s="2845"/>
    </row>
    <row r="22" spans="1:13" ht="19.5" customHeight="1">
      <c r="A22" s="3503"/>
      <c r="B22" s="3491"/>
      <c r="C22" s="2857" t="s">
        <v>2443</v>
      </c>
      <c r="D22" s="2857"/>
      <c r="E22" s="2848">
        <v>0.9</v>
      </c>
      <c r="F22" s="2845" t="s">
        <v>2444</v>
      </c>
      <c r="G22" s="2845"/>
    </row>
    <row r="23" spans="1:13" ht="19.5" customHeight="1">
      <c r="A23" s="3503"/>
      <c r="B23" s="3491"/>
      <c r="C23" s="2857" t="s">
        <v>2445</v>
      </c>
      <c r="D23" s="2857"/>
      <c r="E23" s="2848">
        <v>0.9</v>
      </c>
      <c r="F23" s="2845" t="s">
        <v>2446</v>
      </c>
      <c r="G23" s="2845"/>
    </row>
    <row r="24" spans="1:13" ht="19.5" customHeight="1">
      <c r="A24" s="3503"/>
      <c r="B24" s="3491"/>
      <c r="C24" s="2857" t="s">
        <v>2447</v>
      </c>
      <c r="D24" s="2857"/>
      <c r="E24" s="2848">
        <v>0.8</v>
      </c>
      <c r="F24" s="2845" t="s">
        <v>2448</v>
      </c>
      <c r="G24" s="2845"/>
    </row>
    <row r="25" spans="1:13" ht="19.5" customHeight="1">
      <c r="A25" s="3503"/>
      <c r="B25" s="3491"/>
      <c r="C25" s="2857" t="s">
        <v>2449</v>
      </c>
      <c r="D25" s="2857"/>
      <c r="E25" s="2848">
        <v>0.8</v>
      </c>
      <c r="F25" s="2845"/>
      <c r="G25" s="2845"/>
    </row>
    <row r="26" spans="1:13" ht="19.5" customHeight="1">
      <c r="A26" s="3503"/>
      <c r="B26" s="3491"/>
      <c r="C26" s="2857" t="s">
        <v>3407</v>
      </c>
      <c r="D26" s="2857"/>
      <c r="E26" s="2848">
        <v>0.43</v>
      </c>
      <c r="F26" s="2845"/>
      <c r="G26" s="2845"/>
    </row>
    <row r="27" spans="1:13" ht="19.5" customHeight="1" thickBot="1">
      <c r="A27" s="3504"/>
      <c r="B27" s="3496"/>
      <c r="C27" s="3164" t="s">
        <v>3408</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97" t="s">
        <v>2631</v>
      </c>
      <c r="B29" s="3500" t="s">
        <v>2612</v>
      </c>
      <c r="C29" s="2842" t="s">
        <v>2452</v>
      </c>
      <c r="D29" s="2843"/>
      <c r="E29" s="2844">
        <v>1</v>
      </c>
      <c r="F29" s="2845" t="s">
        <v>2453</v>
      </c>
      <c r="G29" s="2845"/>
    </row>
    <row r="30" spans="1:13" ht="19.5" customHeight="1">
      <c r="A30" s="3498"/>
      <c r="B30" s="3494"/>
      <c r="C30" s="2846" t="s">
        <v>2454</v>
      </c>
      <c r="D30" s="2847"/>
      <c r="E30" s="2848">
        <v>1</v>
      </c>
      <c r="F30" s="2845" t="s">
        <v>2455</v>
      </c>
      <c r="G30" s="2845"/>
    </row>
    <row r="31" spans="1:13" ht="19.5" customHeight="1">
      <c r="A31" s="3498"/>
      <c r="B31" s="3494"/>
      <c r="C31" s="2846" t="s">
        <v>2456</v>
      </c>
      <c r="D31" s="2847"/>
      <c r="E31" s="2848">
        <v>0.8</v>
      </c>
      <c r="F31" s="2845" t="s">
        <v>2457</v>
      </c>
      <c r="G31" s="2845"/>
    </row>
    <row r="32" spans="1:13" ht="19.5" customHeight="1">
      <c r="A32" s="3498"/>
      <c r="B32" s="3494"/>
      <c r="C32" s="2846" t="s">
        <v>2458</v>
      </c>
      <c r="D32" s="2847"/>
      <c r="E32" s="2848">
        <v>0.8</v>
      </c>
      <c r="F32" s="2845" t="s">
        <v>2459</v>
      </c>
      <c r="G32" s="2845"/>
    </row>
    <row r="33" spans="1:7" ht="19.5" customHeight="1">
      <c r="A33" s="3498"/>
      <c r="B33" s="3494"/>
      <c r="C33" s="2846" t="s">
        <v>2460</v>
      </c>
      <c r="D33" s="2847"/>
      <c r="E33" s="2848">
        <v>0.8</v>
      </c>
      <c r="F33" s="2845" t="s">
        <v>2461</v>
      </c>
      <c r="G33" s="2845"/>
    </row>
    <row r="34" spans="1:7" ht="19.5" customHeight="1">
      <c r="A34" s="3498"/>
      <c r="B34" s="3494"/>
      <c r="C34" s="2846" t="s">
        <v>2462</v>
      </c>
      <c r="D34" s="2847"/>
      <c r="E34" s="2848">
        <v>0.7</v>
      </c>
      <c r="F34" s="2845" t="s">
        <v>2463</v>
      </c>
      <c r="G34" s="2845"/>
    </row>
    <row r="35" spans="1:7" ht="19.5" customHeight="1">
      <c r="A35" s="3498"/>
      <c r="B35" s="3494"/>
      <c r="C35" s="2846" t="s">
        <v>2464</v>
      </c>
      <c r="D35" s="2847"/>
      <c r="E35" s="2848">
        <v>0.8</v>
      </c>
      <c r="F35" s="2845" t="s">
        <v>2465</v>
      </c>
      <c r="G35" s="2845"/>
    </row>
    <row r="36" spans="1:7" ht="19.5" customHeight="1">
      <c r="A36" s="3498"/>
      <c r="B36" s="3494"/>
      <c r="C36" s="2846" t="s">
        <v>2466</v>
      </c>
      <c r="D36" s="2847"/>
      <c r="E36" s="2848">
        <v>0.6</v>
      </c>
      <c r="F36" s="2845" t="s">
        <v>2467</v>
      </c>
      <c r="G36" s="2845"/>
    </row>
    <row r="37" spans="1:7" ht="19.5" customHeight="1">
      <c r="A37" s="3498"/>
      <c r="B37" s="3494"/>
      <c r="C37" s="2846" t="s">
        <v>2468</v>
      </c>
      <c r="D37" s="2847"/>
      <c r="E37" s="2848">
        <v>0.2</v>
      </c>
      <c r="F37" s="2845" t="s">
        <v>2469</v>
      </c>
      <c r="G37" s="2845"/>
    </row>
    <row r="38" spans="1:7" ht="19.5" customHeight="1">
      <c r="A38" s="3498"/>
      <c r="B38" s="3494"/>
      <c r="C38" s="2846" t="s">
        <v>2470</v>
      </c>
      <c r="D38" s="2847"/>
      <c r="E38" s="2848">
        <v>0.2</v>
      </c>
      <c r="F38" s="2845" t="s">
        <v>2471</v>
      </c>
      <c r="G38" s="2845"/>
    </row>
    <row r="39" spans="1:7" ht="19.5" customHeight="1">
      <c r="A39" s="3498"/>
      <c r="B39" s="3492" t="s">
        <v>2632</v>
      </c>
      <c r="C39" s="2846" t="s">
        <v>2472</v>
      </c>
      <c r="D39" s="2847"/>
      <c r="E39" s="2848">
        <v>0.6</v>
      </c>
      <c r="F39" s="2845" t="s">
        <v>2473</v>
      </c>
      <c r="G39" s="2845"/>
    </row>
    <row r="40" spans="1:7" ht="19.5" customHeight="1">
      <c r="A40" s="3498"/>
      <c r="B40" s="3494"/>
      <c r="C40" s="2846" t="s">
        <v>2474</v>
      </c>
      <c r="D40" s="2847"/>
      <c r="E40" s="2848">
        <v>0.6</v>
      </c>
      <c r="F40" s="2845" t="s">
        <v>2475</v>
      </c>
      <c r="G40" s="2845"/>
    </row>
    <row r="41" spans="1:7" ht="19.5" customHeight="1" thickBot="1">
      <c r="A41" s="3499"/>
      <c r="B41" s="3501"/>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502" t="s">
        <v>2610</v>
      </c>
      <c r="B43" s="3500" t="s">
        <v>2634</v>
      </c>
      <c r="C43" s="2842" t="s">
        <v>2479</v>
      </c>
      <c r="D43" s="2843"/>
      <c r="E43" s="2844">
        <v>1</v>
      </c>
      <c r="F43" s="2845" t="s">
        <v>2480</v>
      </c>
      <c r="G43" s="2845"/>
    </row>
    <row r="44" spans="1:7" ht="19.5" customHeight="1">
      <c r="A44" s="3503"/>
      <c r="B44" s="3494"/>
      <c r="C44" s="2846" t="s">
        <v>2481</v>
      </c>
      <c r="D44" s="2847"/>
      <c r="E44" s="2848">
        <v>1</v>
      </c>
      <c r="F44" s="2845" t="s">
        <v>2482</v>
      </c>
      <c r="G44" s="2845"/>
    </row>
    <row r="45" spans="1:7" ht="19.5" customHeight="1">
      <c r="A45" s="3503"/>
      <c r="B45" s="3493"/>
      <c r="C45" s="2846" t="s">
        <v>2483</v>
      </c>
      <c r="D45" s="2847"/>
      <c r="E45" s="2848">
        <v>1.5</v>
      </c>
      <c r="F45" s="2845" t="s">
        <v>2484</v>
      </c>
      <c r="G45" s="2845"/>
    </row>
    <row r="46" spans="1:7" ht="19.5" customHeight="1">
      <c r="A46" s="3503"/>
      <c r="B46" s="2857" t="s">
        <v>2635</v>
      </c>
      <c r="C46" s="2846" t="s">
        <v>2636</v>
      </c>
      <c r="D46" s="2847"/>
      <c r="E46" s="2848">
        <v>2</v>
      </c>
      <c r="F46" s="2845" t="s">
        <v>2485</v>
      </c>
      <c r="G46" s="2845"/>
    </row>
    <row r="47" spans="1:7" ht="19.5" customHeight="1">
      <c r="A47" s="3503"/>
      <c r="B47" s="3492" t="s">
        <v>2637</v>
      </c>
      <c r="C47" s="2846" t="s">
        <v>2486</v>
      </c>
      <c r="D47" s="2847"/>
      <c r="E47" s="2848">
        <v>1</v>
      </c>
      <c r="F47" s="2845" t="s">
        <v>2487</v>
      </c>
      <c r="G47" s="2845"/>
    </row>
    <row r="48" spans="1:7" ht="19.5" customHeight="1">
      <c r="A48" s="3503"/>
      <c r="B48" s="3494"/>
      <c r="C48" s="2846" t="s">
        <v>2488</v>
      </c>
      <c r="D48" s="2847"/>
      <c r="E48" s="2848">
        <v>1</v>
      </c>
      <c r="F48" s="2845" t="s">
        <v>2489</v>
      </c>
      <c r="G48" s="2845"/>
    </row>
    <row r="49" spans="1:7" ht="19.5" customHeight="1">
      <c r="A49" s="3503"/>
      <c r="B49" s="3494"/>
      <c r="C49" s="2846" t="s">
        <v>2490</v>
      </c>
      <c r="D49" s="2847"/>
      <c r="E49" s="2848">
        <v>1</v>
      </c>
      <c r="F49" s="2845" t="s">
        <v>2491</v>
      </c>
      <c r="G49" s="2845"/>
    </row>
    <row r="50" spans="1:7" ht="19.5" customHeight="1">
      <c r="A50" s="3503"/>
      <c r="B50" s="3494"/>
      <c r="C50" s="2846" t="s">
        <v>2492</v>
      </c>
      <c r="D50" s="2847"/>
      <c r="E50" s="2848">
        <v>1</v>
      </c>
      <c r="F50" s="2845" t="s">
        <v>2493</v>
      </c>
      <c r="G50" s="2845"/>
    </row>
    <row r="51" spans="1:7" ht="19.5" customHeight="1">
      <c r="A51" s="3503"/>
      <c r="B51" s="3494"/>
      <c r="C51" s="2846" t="s">
        <v>2494</v>
      </c>
      <c r="D51" s="2847"/>
      <c r="E51" s="2848">
        <v>1</v>
      </c>
      <c r="F51" s="2845" t="s">
        <v>2495</v>
      </c>
      <c r="G51" s="2845"/>
    </row>
    <row r="52" spans="1:7" ht="19.5" customHeight="1">
      <c r="A52" s="3503"/>
      <c r="B52" s="3494"/>
      <c r="C52" s="2846" t="s">
        <v>2496</v>
      </c>
      <c r="D52" s="2847"/>
      <c r="E52" s="2848">
        <v>1</v>
      </c>
      <c r="F52" s="2845" t="s">
        <v>2497</v>
      </c>
      <c r="G52" s="2845"/>
    </row>
    <row r="53" spans="1:7" ht="19.5" customHeight="1" thickBot="1">
      <c r="A53" s="3504"/>
      <c r="B53" s="3501"/>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4">
      <c r="A74" s="2857"/>
      <c r="B74" s="2857"/>
      <c r="C74" s="2857" t="s">
        <v>2650</v>
      </c>
      <c r="D74" s="2857"/>
      <c r="E74" s="2857" t="s">
        <v>2621</v>
      </c>
      <c r="F74" s="2857" t="s">
        <v>2621</v>
      </c>
    </row>
    <row r="75" spans="1:7" ht="14">
      <c r="A75" s="2857">
        <v>1</v>
      </c>
      <c r="B75" s="3492" t="s">
        <v>2651</v>
      </c>
      <c r="C75" s="2831" t="s">
        <v>2652</v>
      </c>
      <c r="D75" s="2831" t="s">
        <v>2653</v>
      </c>
      <c r="E75" s="2857">
        <v>0.2</v>
      </c>
      <c r="F75" s="2857">
        <v>25</v>
      </c>
    </row>
    <row r="76" spans="1:7" ht="26">
      <c r="A76" s="2857">
        <v>2</v>
      </c>
      <c r="B76" s="3494"/>
      <c r="C76" s="2831" t="s">
        <v>2654</v>
      </c>
      <c r="D76" s="2831" t="s">
        <v>2655</v>
      </c>
      <c r="E76" s="2857">
        <v>0.2</v>
      </c>
      <c r="F76" s="2857">
        <v>25</v>
      </c>
    </row>
    <row r="77" spans="1:7" ht="26">
      <c r="A77" s="2857">
        <v>3</v>
      </c>
      <c r="B77" s="3494"/>
      <c r="C77" s="2831" t="s">
        <v>2656</v>
      </c>
      <c r="D77" s="2831" t="s">
        <v>2657</v>
      </c>
      <c r="E77" s="2857">
        <v>0.2</v>
      </c>
      <c r="F77" s="2857">
        <v>25</v>
      </c>
    </row>
    <row r="78" spans="1:7" ht="14">
      <c r="A78" s="2857">
        <v>4</v>
      </c>
      <c r="B78" s="3494"/>
      <c r="C78" s="2831" t="s">
        <v>2658</v>
      </c>
      <c r="D78" s="2831" t="s">
        <v>2659</v>
      </c>
      <c r="E78" s="2857">
        <v>0.15</v>
      </c>
      <c r="F78" s="2857">
        <v>20</v>
      </c>
    </row>
    <row r="79" spans="1:7" ht="26">
      <c r="A79" s="2857">
        <v>5</v>
      </c>
      <c r="B79" s="3494"/>
      <c r="C79" s="2831" t="s">
        <v>2660</v>
      </c>
      <c r="D79" s="2831" t="s">
        <v>2661</v>
      </c>
      <c r="E79" s="2857">
        <v>0.15</v>
      </c>
      <c r="F79" s="2857">
        <v>20</v>
      </c>
    </row>
    <row r="80" spans="1:7" ht="26">
      <c r="A80" s="2857">
        <v>6</v>
      </c>
      <c r="B80" s="3494"/>
      <c r="C80" s="2831" t="s">
        <v>2662</v>
      </c>
      <c r="D80" s="2831" t="s">
        <v>2663</v>
      </c>
      <c r="E80" s="2857">
        <v>0.15</v>
      </c>
      <c r="F80" s="2857">
        <v>20</v>
      </c>
    </row>
    <row r="81" spans="1:6" ht="26">
      <c r="A81" s="2857">
        <v>7</v>
      </c>
      <c r="B81" s="3494"/>
      <c r="C81" s="2831" t="s">
        <v>2664</v>
      </c>
      <c r="D81" s="2831" t="s">
        <v>2665</v>
      </c>
      <c r="E81" s="2857">
        <v>0.15</v>
      </c>
      <c r="F81" s="2857">
        <v>20</v>
      </c>
    </row>
    <row r="82" spans="1:6" ht="26">
      <c r="A82" s="2857">
        <v>8</v>
      </c>
      <c r="B82" s="3494"/>
      <c r="C82" s="2831" t="s">
        <v>2666</v>
      </c>
      <c r="D82" s="2831" t="s">
        <v>2667</v>
      </c>
      <c r="E82" s="2857">
        <v>0.1</v>
      </c>
      <c r="F82" s="2857">
        <v>15</v>
      </c>
    </row>
    <row r="83" spans="1:6" ht="26">
      <c r="A83" s="2857">
        <v>9</v>
      </c>
      <c r="B83" s="3494"/>
      <c r="C83" s="2831" t="s">
        <v>2668</v>
      </c>
      <c r="D83" s="2831" t="s">
        <v>2669</v>
      </c>
      <c r="E83" s="2857">
        <v>0.1</v>
      </c>
      <c r="F83" s="2857">
        <v>15</v>
      </c>
    </row>
    <row r="84" spans="1:6" ht="26">
      <c r="A84" s="2857">
        <v>10</v>
      </c>
      <c r="B84" s="3494"/>
      <c r="C84" s="2831" t="s">
        <v>2670</v>
      </c>
      <c r="D84" s="2831" t="s">
        <v>2671</v>
      </c>
      <c r="E84" s="2857">
        <v>0.1</v>
      </c>
      <c r="F84" s="2857">
        <v>15</v>
      </c>
    </row>
    <row r="85" spans="1:6" ht="26">
      <c r="A85" s="2857">
        <v>11</v>
      </c>
      <c r="B85" s="3494"/>
      <c r="C85" s="2831" t="s">
        <v>2672</v>
      </c>
      <c r="D85" s="2831" t="s">
        <v>2673</v>
      </c>
      <c r="E85" s="2857">
        <v>0.1</v>
      </c>
      <c r="F85" s="2857">
        <v>15</v>
      </c>
    </row>
    <row r="86" spans="1:6" ht="26">
      <c r="A86" s="2857">
        <v>12</v>
      </c>
      <c r="B86" s="3494"/>
      <c r="C86" s="2831" t="s">
        <v>2674</v>
      </c>
      <c r="D86" s="2831" t="s">
        <v>2675</v>
      </c>
      <c r="E86" s="2857">
        <v>0.1</v>
      </c>
      <c r="F86" s="2857">
        <v>15</v>
      </c>
    </row>
    <row r="87" spans="1:6" ht="14">
      <c r="A87" s="2857">
        <v>13</v>
      </c>
      <c r="B87" s="3494"/>
      <c r="C87" s="2831" t="s">
        <v>2676</v>
      </c>
      <c r="D87" s="2831" t="s">
        <v>2677</v>
      </c>
      <c r="E87" s="2857">
        <v>0.1</v>
      </c>
      <c r="F87" s="2857">
        <v>15</v>
      </c>
    </row>
    <row r="88" spans="1:6" ht="14">
      <c r="A88" s="2857">
        <v>14</v>
      </c>
      <c r="B88" s="3494"/>
      <c r="C88" s="2831" t="s">
        <v>2678</v>
      </c>
      <c r="D88" s="2831" t="s">
        <v>2679</v>
      </c>
      <c r="E88" s="2857">
        <v>0.1</v>
      </c>
      <c r="F88" s="2857">
        <v>15</v>
      </c>
    </row>
    <row r="89" spans="1:6" ht="14">
      <c r="A89" s="2857">
        <v>15</v>
      </c>
      <c r="B89" s="3494"/>
      <c r="C89" s="2831" t="s">
        <v>2680</v>
      </c>
      <c r="D89" s="2831" t="s">
        <v>2681</v>
      </c>
      <c r="E89" s="2857">
        <v>0.1</v>
      </c>
      <c r="F89" s="2857">
        <v>15</v>
      </c>
    </row>
    <row r="90" spans="1:6" ht="26">
      <c r="A90" s="2857">
        <v>16</v>
      </c>
      <c r="B90" s="3494"/>
      <c r="C90" s="2831" t="s">
        <v>2682</v>
      </c>
      <c r="D90" s="2831" t="s">
        <v>2683</v>
      </c>
      <c r="E90" s="2857">
        <v>0.1</v>
      </c>
      <c r="F90" s="2857">
        <v>15</v>
      </c>
    </row>
    <row r="91" spans="1:6" ht="26">
      <c r="A91" s="2857">
        <v>17</v>
      </c>
      <c r="B91" s="3493"/>
      <c r="C91" s="2831" t="s">
        <v>2684</v>
      </c>
      <c r="D91" s="2831" t="s">
        <v>2685</v>
      </c>
      <c r="E91" s="2857">
        <v>0.1</v>
      </c>
      <c r="F91" s="2857">
        <v>15</v>
      </c>
    </row>
    <row r="92" spans="1:6" ht="14">
      <c r="A92" s="2857">
        <v>18</v>
      </c>
      <c r="B92" s="3492" t="s">
        <v>2686</v>
      </c>
      <c r="C92" s="2831" t="s">
        <v>2687</v>
      </c>
      <c r="D92" s="2831" t="s">
        <v>2688</v>
      </c>
      <c r="E92" s="2857">
        <v>0.2</v>
      </c>
      <c r="F92" s="2857">
        <v>25</v>
      </c>
    </row>
    <row r="93" spans="1:6" ht="26">
      <c r="A93" s="2857">
        <v>19</v>
      </c>
      <c r="B93" s="3494"/>
      <c r="C93" s="2831" t="s">
        <v>2689</v>
      </c>
      <c r="D93" s="2831" t="s">
        <v>2690</v>
      </c>
      <c r="E93" s="2857">
        <v>0.2</v>
      </c>
      <c r="F93" s="2857">
        <v>25</v>
      </c>
    </row>
    <row r="94" spans="1:6" ht="14">
      <c r="A94" s="2857">
        <v>20</v>
      </c>
      <c r="B94" s="3494"/>
      <c r="C94" s="2831" t="s">
        <v>2691</v>
      </c>
      <c r="D94" s="2831" t="s">
        <v>2692</v>
      </c>
      <c r="E94" s="2857">
        <v>0.15</v>
      </c>
      <c r="F94" s="2857">
        <v>20</v>
      </c>
    </row>
    <row r="95" spans="1:6" ht="26">
      <c r="A95" s="2857">
        <v>21</v>
      </c>
      <c r="B95" s="3494"/>
      <c r="C95" s="2831" t="s">
        <v>2693</v>
      </c>
      <c r="D95" s="2831" t="s">
        <v>2694</v>
      </c>
      <c r="E95" s="2857">
        <v>0.15</v>
      </c>
      <c r="F95" s="2857">
        <v>20</v>
      </c>
    </row>
    <row r="96" spans="1:6" ht="26">
      <c r="A96" s="2857">
        <v>22</v>
      </c>
      <c r="B96" s="3494"/>
      <c r="C96" s="2831" t="s">
        <v>2695</v>
      </c>
      <c r="D96" s="2831" t="s">
        <v>2696</v>
      </c>
      <c r="E96" s="2857">
        <v>0.15</v>
      </c>
      <c r="F96" s="2857">
        <v>20</v>
      </c>
    </row>
    <row r="97" spans="1:6" ht="39">
      <c r="A97" s="2857">
        <v>23</v>
      </c>
      <c r="B97" s="3494"/>
      <c r="C97" s="2831" t="s">
        <v>2697</v>
      </c>
      <c r="D97" s="2831" t="s">
        <v>2698</v>
      </c>
      <c r="E97" s="2857">
        <v>0.15</v>
      </c>
      <c r="F97" s="2857">
        <v>20</v>
      </c>
    </row>
    <row r="98" spans="1:6" ht="14">
      <c r="A98" s="2857">
        <v>24</v>
      </c>
      <c r="B98" s="3494"/>
      <c r="C98" s="2831" t="s">
        <v>2699</v>
      </c>
      <c r="D98" s="2831" t="s">
        <v>2700</v>
      </c>
      <c r="E98" s="2857">
        <v>0.1</v>
      </c>
      <c r="F98" s="2857">
        <v>15</v>
      </c>
    </row>
    <row r="99" spans="1:6" ht="26">
      <c r="A99" s="2857">
        <v>25</v>
      </c>
      <c r="B99" s="3494"/>
      <c r="C99" s="2831" t="s">
        <v>2701</v>
      </c>
      <c r="D99" s="2831" t="s">
        <v>2702</v>
      </c>
      <c r="E99" s="2857">
        <v>0.1</v>
      </c>
      <c r="F99" s="2857">
        <v>15</v>
      </c>
    </row>
    <row r="100" spans="1:6" ht="26">
      <c r="A100" s="2857">
        <v>26</v>
      </c>
      <c r="B100" s="3494"/>
      <c r="C100" s="2831" t="s">
        <v>2703</v>
      </c>
      <c r="D100" s="2831" t="s">
        <v>2704</v>
      </c>
      <c r="E100" s="2857">
        <v>0.1</v>
      </c>
      <c r="F100" s="2857">
        <v>15</v>
      </c>
    </row>
    <row r="101" spans="1:6" ht="26">
      <c r="A101" s="2857">
        <v>27</v>
      </c>
      <c r="B101" s="3494"/>
      <c r="C101" s="2831" t="s">
        <v>2705</v>
      </c>
      <c r="D101" s="2831" t="s">
        <v>2706</v>
      </c>
      <c r="E101" s="2857">
        <v>0.1</v>
      </c>
      <c r="F101" s="2857">
        <v>15</v>
      </c>
    </row>
    <row r="102" spans="1:6" ht="26">
      <c r="A102" s="2857">
        <v>28</v>
      </c>
      <c r="B102" s="3494"/>
      <c r="C102" s="2831" t="s">
        <v>2707</v>
      </c>
      <c r="D102" s="2831" t="s">
        <v>2708</v>
      </c>
      <c r="E102" s="2857">
        <v>0.1</v>
      </c>
      <c r="F102" s="2857">
        <v>15</v>
      </c>
    </row>
    <row r="103" spans="1:6" ht="26">
      <c r="A103" s="2857">
        <v>29</v>
      </c>
      <c r="B103" s="3494"/>
      <c r="C103" s="2831" t="s">
        <v>2709</v>
      </c>
      <c r="D103" s="2831" t="s">
        <v>2710</v>
      </c>
      <c r="E103" s="2857">
        <v>0.1</v>
      </c>
      <c r="F103" s="2857">
        <v>15</v>
      </c>
    </row>
    <row r="104" spans="1:6" ht="26">
      <c r="A104" s="2857">
        <v>30</v>
      </c>
      <c r="B104" s="3494"/>
      <c r="C104" s="2831" t="s">
        <v>2711</v>
      </c>
      <c r="D104" s="2831" t="s">
        <v>2712</v>
      </c>
      <c r="E104" s="2857">
        <v>0.1</v>
      </c>
      <c r="F104" s="2857">
        <v>15</v>
      </c>
    </row>
    <row r="105" spans="1:6" ht="26">
      <c r="A105" s="2857">
        <v>31</v>
      </c>
      <c r="B105" s="3494"/>
      <c r="C105" s="2831" t="s">
        <v>2713</v>
      </c>
      <c r="D105" s="2831" t="s">
        <v>2714</v>
      </c>
      <c r="E105" s="2857">
        <v>0.1</v>
      </c>
      <c r="F105" s="2857">
        <v>15</v>
      </c>
    </row>
    <row r="106" spans="1:6" ht="26">
      <c r="A106" s="2857">
        <v>32</v>
      </c>
      <c r="B106" s="3494"/>
      <c r="C106" s="2831" t="s">
        <v>2715</v>
      </c>
      <c r="D106" s="2831" t="s">
        <v>2716</v>
      </c>
      <c r="E106" s="2857">
        <v>0.1</v>
      </c>
      <c r="F106" s="2857">
        <v>15</v>
      </c>
    </row>
    <row r="107" spans="1:6" ht="26">
      <c r="A107" s="2857">
        <v>33</v>
      </c>
      <c r="B107" s="3494"/>
      <c r="C107" s="2831" t="s">
        <v>2717</v>
      </c>
      <c r="D107" s="2831" t="s">
        <v>2718</v>
      </c>
      <c r="E107" s="2857">
        <v>0.1</v>
      </c>
      <c r="F107" s="2857">
        <v>15</v>
      </c>
    </row>
    <row r="108" spans="1:6" ht="26">
      <c r="A108" s="2857">
        <v>34</v>
      </c>
      <c r="B108" s="3493"/>
      <c r="C108" s="2831" t="s">
        <v>2719</v>
      </c>
      <c r="D108" s="2831" t="s">
        <v>2720</v>
      </c>
      <c r="E108" s="2857">
        <v>0.1</v>
      </c>
      <c r="F108" s="2857">
        <v>15</v>
      </c>
    </row>
    <row r="109" spans="1:6" ht="26">
      <c r="A109" s="2857">
        <v>35</v>
      </c>
      <c r="B109" s="3492" t="s">
        <v>2721</v>
      </c>
      <c r="C109" s="2857" t="s">
        <v>2722</v>
      </c>
      <c r="D109" s="2831" t="s">
        <v>2723</v>
      </c>
      <c r="E109" s="2857">
        <v>0.15</v>
      </c>
      <c r="F109" s="2857">
        <v>20</v>
      </c>
    </row>
    <row r="110" spans="1:6" ht="26">
      <c r="A110" s="2857">
        <v>36</v>
      </c>
      <c r="B110" s="3494"/>
      <c r="C110" s="2857" t="s">
        <v>2724</v>
      </c>
      <c r="D110" s="2831" t="s">
        <v>2725</v>
      </c>
      <c r="E110" s="2857">
        <v>0.15</v>
      </c>
      <c r="F110" s="2857">
        <v>20</v>
      </c>
    </row>
    <row r="111" spans="1:6" ht="26">
      <c r="A111" s="2857">
        <v>37</v>
      </c>
      <c r="B111" s="3494"/>
      <c r="C111" s="2857" t="s">
        <v>2726</v>
      </c>
      <c r="D111" s="2831" t="s">
        <v>2727</v>
      </c>
      <c r="E111" s="2857">
        <v>0.15</v>
      </c>
      <c r="F111" s="2857">
        <v>20</v>
      </c>
    </row>
    <row r="112" spans="1:6" ht="14">
      <c r="A112" s="2857">
        <v>38</v>
      </c>
      <c r="B112" s="3494"/>
      <c r="C112" s="2857" t="s">
        <v>2728</v>
      </c>
      <c r="D112" s="2831" t="s">
        <v>2729</v>
      </c>
      <c r="E112" s="2857">
        <v>0.1</v>
      </c>
      <c r="F112" s="2857">
        <v>15</v>
      </c>
    </row>
    <row r="113" spans="1:6" ht="26">
      <c r="A113" s="2857">
        <v>39</v>
      </c>
      <c r="B113" s="3494"/>
      <c r="C113" s="2857" t="s">
        <v>2730</v>
      </c>
      <c r="D113" s="2831" t="s">
        <v>2731</v>
      </c>
      <c r="E113" s="2857">
        <v>0.1</v>
      </c>
      <c r="F113" s="2857">
        <v>15</v>
      </c>
    </row>
    <row r="114" spans="1:6" ht="26">
      <c r="A114" s="2857">
        <v>40</v>
      </c>
      <c r="B114" s="3493"/>
      <c r="C114" s="2857" t="s">
        <v>2732</v>
      </c>
      <c r="D114" s="2831" t="s">
        <v>2733</v>
      </c>
      <c r="E114" s="2857">
        <v>0.1</v>
      </c>
      <c r="F114" s="2857">
        <v>15</v>
      </c>
    </row>
    <row r="115" spans="1:6" ht="26">
      <c r="A115" s="2857">
        <v>41</v>
      </c>
      <c r="B115" s="3491" t="s">
        <v>2734</v>
      </c>
      <c r="C115" s="2857" t="s">
        <v>2735</v>
      </c>
      <c r="D115" s="2831" t="s">
        <v>2736</v>
      </c>
      <c r="E115" s="2857">
        <v>0.1</v>
      </c>
      <c r="F115" s="2857">
        <v>15</v>
      </c>
    </row>
    <row r="116" spans="1:6" ht="14">
      <c r="A116" s="2857">
        <v>42</v>
      </c>
      <c r="B116" s="3491"/>
      <c r="C116" s="2857" t="s">
        <v>2737</v>
      </c>
      <c r="D116" s="2831" t="s">
        <v>2738</v>
      </c>
      <c r="E116" s="2857">
        <v>0.1</v>
      </c>
      <c r="F116" s="2857">
        <v>15</v>
      </c>
    </row>
    <row r="117" spans="1:6" ht="26">
      <c r="A117" s="2857">
        <v>43</v>
      </c>
      <c r="B117" s="3491"/>
      <c r="C117" s="2857" t="s">
        <v>2739</v>
      </c>
      <c r="D117" s="2831" t="s">
        <v>2740</v>
      </c>
      <c r="E117" s="2857">
        <v>0.1</v>
      </c>
      <c r="F117" s="2857">
        <v>15</v>
      </c>
    </row>
    <row r="118" spans="1:6" ht="26">
      <c r="A118" s="2857">
        <v>44</v>
      </c>
      <c r="B118" s="3492" t="s">
        <v>2741</v>
      </c>
      <c r="C118" s="2857" t="s">
        <v>2742</v>
      </c>
      <c r="D118" s="2831" t="s">
        <v>2743</v>
      </c>
      <c r="E118" s="2857">
        <v>0.1</v>
      </c>
      <c r="F118" s="2857">
        <v>15</v>
      </c>
    </row>
    <row r="119" spans="1:6" ht="26">
      <c r="A119" s="2857">
        <v>45</v>
      </c>
      <c r="B119" s="3493"/>
      <c r="C119" s="2831" t="s">
        <v>2744</v>
      </c>
      <c r="D119" s="2831" t="s">
        <v>2745</v>
      </c>
      <c r="E119" s="2857">
        <v>0.1</v>
      </c>
      <c r="F119" s="2857">
        <v>15</v>
      </c>
    </row>
    <row r="120" spans="1:6" ht="26">
      <c r="A120" s="2857">
        <v>46</v>
      </c>
      <c r="B120" s="3492" t="s">
        <v>2746</v>
      </c>
      <c r="C120" s="2857" t="s">
        <v>2747</v>
      </c>
      <c r="D120" s="2831" t="s">
        <v>2748</v>
      </c>
      <c r="E120" s="2857">
        <v>0.1</v>
      </c>
      <c r="F120" s="2857">
        <v>15</v>
      </c>
    </row>
    <row r="121" spans="1:6" ht="26">
      <c r="A121" s="2857">
        <v>47</v>
      </c>
      <c r="B121" s="3493"/>
      <c r="C121" s="2857" t="s">
        <v>2749</v>
      </c>
      <c r="D121" s="2831" t="s">
        <v>2750</v>
      </c>
      <c r="E121" s="2857">
        <v>0.1</v>
      </c>
      <c r="F121" s="2857">
        <v>15</v>
      </c>
    </row>
    <row r="122" spans="1:6" ht="26">
      <c r="A122" s="2857">
        <v>48</v>
      </c>
      <c r="B122" s="3492" t="s">
        <v>2751</v>
      </c>
      <c r="C122" s="2857" t="s">
        <v>2752</v>
      </c>
      <c r="D122" s="2831" t="s">
        <v>2753</v>
      </c>
      <c r="E122" s="2857">
        <v>0.1</v>
      </c>
      <c r="F122" s="2857">
        <v>15</v>
      </c>
    </row>
    <row r="123" spans="1:6" ht="14">
      <c r="A123" s="2857">
        <v>49</v>
      </c>
      <c r="B123" s="3493"/>
      <c r="C123" s="2857" t="s">
        <v>2754</v>
      </c>
      <c r="D123" s="2831" t="s">
        <v>2755</v>
      </c>
      <c r="E123" s="2857">
        <v>0.1</v>
      </c>
      <c r="F123" s="2857">
        <v>15</v>
      </c>
    </row>
    <row r="124" spans="1:6" ht="26">
      <c r="A124" s="2857">
        <v>50</v>
      </c>
      <c r="B124" s="3491" t="s">
        <v>2756</v>
      </c>
      <c r="C124" s="2857" t="s">
        <v>2757</v>
      </c>
      <c r="D124" s="2831" t="s">
        <v>2758</v>
      </c>
      <c r="E124" s="2857">
        <v>0.1</v>
      </c>
      <c r="F124" s="2857">
        <v>15</v>
      </c>
    </row>
    <row r="125" spans="1:6" ht="26">
      <c r="A125" s="2857">
        <v>51</v>
      </c>
      <c r="B125" s="3491"/>
      <c r="C125" s="2857" t="s">
        <v>2759</v>
      </c>
      <c r="D125" s="2831" t="s">
        <v>2760</v>
      </c>
      <c r="E125" s="2857">
        <v>0.1</v>
      </c>
      <c r="F125" s="2857">
        <v>15</v>
      </c>
    </row>
    <row r="126" spans="1:6" ht="26">
      <c r="A126" s="2857">
        <v>52</v>
      </c>
      <c r="B126" s="3491" t="s">
        <v>2761</v>
      </c>
      <c r="C126" s="2857" t="s">
        <v>2762</v>
      </c>
      <c r="D126" s="2831" t="s">
        <v>2763</v>
      </c>
      <c r="E126" s="2857">
        <v>0.1</v>
      </c>
      <c r="F126" s="2857">
        <v>15</v>
      </c>
    </row>
    <row r="127" spans="1:6" ht="26">
      <c r="A127" s="2857">
        <v>53</v>
      </c>
      <c r="B127" s="3491"/>
      <c r="C127" s="2857" t="s">
        <v>2764</v>
      </c>
      <c r="D127" s="2831" t="s">
        <v>2765</v>
      </c>
      <c r="E127" s="2857">
        <v>0.1</v>
      </c>
      <c r="F127" s="2857">
        <v>15</v>
      </c>
    </row>
    <row r="128" spans="1:6" ht="26">
      <c r="A128" s="2857">
        <v>54</v>
      </c>
      <c r="B128" s="2857" t="s">
        <v>2766</v>
      </c>
      <c r="C128" s="2857" t="s">
        <v>2767</v>
      </c>
      <c r="D128" s="2831" t="s">
        <v>2768</v>
      </c>
      <c r="E128" s="2857">
        <v>0.1</v>
      </c>
      <c r="F128" s="2857">
        <v>15</v>
      </c>
    </row>
    <row r="129" spans="1:6" ht="14">
      <c r="A129" s="2857">
        <v>55</v>
      </c>
      <c r="B129" s="3491" t="s">
        <v>2769</v>
      </c>
      <c r="C129" s="2857" t="s">
        <v>2770</v>
      </c>
      <c r="D129" s="2831" t="s">
        <v>2771</v>
      </c>
      <c r="E129" s="2857">
        <v>0.1</v>
      </c>
      <c r="F129" s="2857">
        <v>15</v>
      </c>
    </row>
    <row r="130" spans="1:6" ht="14">
      <c r="A130" s="2857">
        <v>56</v>
      </c>
      <c r="B130" s="3491"/>
      <c r="C130" s="2857" t="s">
        <v>2772</v>
      </c>
      <c r="D130" s="2831" t="s">
        <v>2773</v>
      </c>
      <c r="E130" s="2857">
        <v>0.1</v>
      </c>
      <c r="F130" s="2857">
        <v>15</v>
      </c>
    </row>
    <row r="131" spans="1:6" ht="26">
      <c r="A131" s="2857">
        <v>57</v>
      </c>
      <c r="B131" s="3491"/>
      <c r="C131" s="2857" t="s">
        <v>2774</v>
      </c>
      <c r="D131" s="2831" t="s">
        <v>2775</v>
      </c>
      <c r="E131" s="2857">
        <v>0.1</v>
      </c>
      <c r="F131" s="2857">
        <v>15</v>
      </c>
    </row>
    <row r="132" spans="1:6" ht="26">
      <c r="A132" s="2857">
        <v>58</v>
      </c>
      <c r="B132" s="3491" t="s">
        <v>2776</v>
      </c>
      <c r="C132" s="2857" t="s">
        <v>2777</v>
      </c>
      <c r="D132" s="2831" t="s">
        <v>2778</v>
      </c>
      <c r="E132" s="2857">
        <v>0.1</v>
      </c>
      <c r="F132" s="2857">
        <v>15</v>
      </c>
    </row>
    <row r="133" spans="1:6" ht="26">
      <c r="A133" s="2857">
        <v>59</v>
      </c>
      <c r="B133" s="3491"/>
      <c r="C133" s="2857" t="s">
        <v>2779</v>
      </c>
      <c r="D133" s="2831" t="s">
        <v>2780</v>
      </c>
      <c r="E133" s="2857">
        <v>0.1</v>
      </c>
      <c r="F133" s="2857">
        <v>15</v>
      </c>
    </row>
    <row r="134" spans="1:6" ht="26">
      <c r="A134" s="2857">
        <v>60</v>
      </c>
      <c r="B134" s="3492" t="s">
        <v>2781</v>
      </c>
      <c r="C134" s="2857" t="s">
        <v>2782</v>
      </c>
      <c r="D134" s="2831" t="s">
        <v>2783</v>
      </c>
      <c r="E134" s="2857">
        <v>0.1</v>
      </c>
      <c r="F134" s="2857">
        <v>15</v>
      </c>
    </row>
    <row r="135" spans="1:6" ht="26">
      <c r="A135" s="2857">
        <v>61</v>
      </c>
      <c r="B135" s="3493"/>
      <c r="C135" s="2857" t="s">
        <v>2784</v>
      </c>
      <c r="D135" s="2831" t="s">
        <v>2785</v>
      </c>
      <c r="E135" s="2857">
        <v>0.1</v>
      </c>
      <c r="F135" s="2857">
        <v>15</v>
      </c>
    </row>
    <row r="136" spans="1:6" ht="26">
      <c r="A136" s="2857">
        <v>62</v>
      </c>
      <c r="B136" s="2857" t="s">
        <v>2786</v>
      </c>
      <c r="C136" s="2857" t="s">
        <v>2787</v>
      </c>
      <c r="D136" s="2831" t="s">
        <v>2788</v>
      </c>
      <c r="E136" s="2857">
        <v>0.1</v>
      </c>
      <c r="F136" s="2857">
        <v>15</v>
      </c>
    </row>
    <row r="137" spans="1:6" ht="26">
      <c r="A137" s="2857">
        <v>63</v>
      </c>
      <c r="B137" s="3491" t="s">
        <v>2789</v>
      </c>
      <c r="C137" s="2857" t="s">
        <v>2790</v>
      </c>
      <c r="D137" s="2831" t="s">
        <v>2791</v>
      </c>
      <c r="E137" s="2857">
        <v>0.1</v>
      </c>
      <c r="F137" s="2857">
        <v>15</v>
      </c>
    </row>
    <row r="138" spans="1:6" ht="14">
      <c r="A138" s="2857">
        <v>64</v>
      </c>
      <c r="B138" s="3491"/>
      <c r="C138" s="2857" t="s">
        <v>2792</v>
      </c>
      <c r="D138" s="2831" t="s">
        <v>2793</v>
      </c>
      <c r="E138" s="2857">
        <v>0.1</v>
      </c>
      <c r="F138" s="2857">
        <v>15</v>
      </c>
    </row>
    <row r="139" spans="1:6" ht="26">
      <c r="A139" s="2857">
        <v>65</v>
      </c>
      <c r="B139" s="2857" t="s">
        <v>2794</v>
      </c>
      <c r="C139" s="2857" t="s">
        <v>2795</v>
      </c>
      <c r="D139" s="2831" t="s">
        <v>2796</v>
      </c>
      <c r="E139" s="2857">
        <v>0.1</v>
      </c>
      <c r="F139" s="2857">
        <v>15</v>
      </c>
    </row>
    <row r="140" spans="1:6" ht="14">
      <c r="A140" s="2857"/>
      <c r="B140" s="2857"/>
      <c r="C140" s="2857"/>
      <c r="D140" s="2857"/>
      <c r="E140" s="2857" t="s">
        <v>2797</v>
      </c>
      <c r="F140" s="285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9"/>
  </cols>
  <sheetData>
    <row r="1" spans="1:20" ht="15.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0"/>
      <c r="C2" s="3190"/>
      <c r="D2" s="3190"/>
      <c r="E2" s="3190"/>
    </row>
    <row r="3" spans="1:5" ht="18">
      <c r="A3" s="3191" t="str">
        <f>IF(项目基本情况!B9="房地产市场价值","估价结果一览表（市场价值不需“结果表-1”）","估价结果一览表")</f>
        <v>估价结果一览表</v>
      </c>
      <c r="B3" s="3191"/>
      <c r="C3" s="3191"/>
      <c r="D3" s="3191"/>
      <c r="E3" s="3191"/>
    </row>
    <row r="4" spans="1:5" ht="18.5" thickBot="1">
      <c r="A4" s="1391"/>
      <c r="B4" s="3189" t="s">
        <v>917</v>
      </c>
      <c r="C4" s="3189"/>
      <c r="D4" s="3189"/>
      <c r="E4" s="1391"/>
    </row>
    <row r="5" spans="1:5" ht="16" thickTop="1">
      <c r="B5" s="3187" t="s">
        <v>909</v>
      </c>
      <c r="C5" s="1392" t="s">
        <v>910</v>
      </c>
      <c r="D5" s="797" t="e">
        <f ca="1">结果表!H101</f>
        <v>#REF!</v>
      </c>
    </row>
    <row r="6" spans="1:5" ht="15.5">
      <c r="B6" s="3187"/>
      <c r="C6" s="1392" t="s">
        <v>911</v>
      </c>
      <c r="D6" s="797" t="e">
        <f ca="1">NUMBERSTRING(INT(D5*10000),2)&amp;"元整"</f>
        <v>#REF!</v>
      </c>
    </row>
    <row r="7" spans="1:5" ht="15.5">
      <c r="B7" s="3192"/>
      <c r="C7" s="1393" t="s">
        <v>912</v>
      </c>
      <c r="D7" s="798" t="e">
        <f ca="1">结果表!H102</f>
        <v>#REF!</v>
      </c>
    </row>
    <row r="8" spans="1:5" ht="15.5">
      <c r="B8" s="3193" t="str">
        <f>结果表!E103</f>
        <v>2.估价师知悉的法定优先受偿款</v>
      </c>
      <c r="C8" s="1394" t="s">
        <v>913</v>
      </c>
      <c r="D8" s="798">
        <f>结果表!H103</f>
        <v>0</v>
      </c>
    </row>
    <row r="9" spans="1:5" ht="15.5">
      <c r="B9" s="3195"/>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6" t="str">
        <f>结果表!E107</f>
        <v>3.房地产抵押价值</v>
      </c>
      <c r="C13" s="1397" t="s">
        <v>910</v>
      </c>
      <c r="D13" s="800" t="e">
        <f ca="1">结果表!H107</f>
        <v>#REF!</v>
      </c>
    </row>
    <row r="14" spans="1:5" ht="15.5">
      <c r="B14" s="3187"/>
      <c r="C14" s="1392" t="s">
        <v>911</v>
      </c>
      <c r="D14" s="797" t="e">
        <f ca="1">NUMBERSTRING(INT(D13*10000),2)&amp;"元整"</f>
        <v>#REF!</v>
      </c>
    </row>
    <row r="15" spans="1:5" ht="15.5">
      <c r="B15" s="3192"/>
      <c r="C15" s="1393" t="s">
        <v>921</v>
      </c>
      <c r="D15" s="806" t="e">
        <f ca="1">结果表!H108</f>
        <v>#REF!</v>
      </c>
    </row>
    <row r="16" spans="1:5" ht="15">
      <c r="B16" s="3193" t="str">
        <f>结果表!E109</f>
        <v>——</v>
      </c>
      <c r="C16" s="1397" t="s">
        <v>922</v>
      </c>
      <c r="D16" s="1398" t="str">
        <f>结果表!H109</f>
        <v>——</v>
      </c>
    </row>
    <row r="17" spans="1:5" ht="15.5">
      <c r="B17" s="3194"/>
      <c r="C17" s="1392" t="s">
        <v>923</v>
      </c>
      <c r="D17" s="797" t="e">
        <f>NUMBERSTRING(INT(D16*10000),2)&amp;"元整"</f>
        <v>#VALUE!</v>
      </c>
    </row>
    <row r="18" spans="1:5" ht="15.5">
      <c r="B18" s="3195"/>
      <c r="C18" s="1393" t="s">
        <v>912</v>
      </c>
      <c r="D18" s="806" t="str">
        <f>结果表!H110</f>
        <v>——</v>
      </c>
    </row>
    <row r="19" spans="1:5" ht="15.5">
      <c r="B19" s="3186" t="str">
        <f>结果表!E111</f>
        <v>——</v>
      </c>
      <c r="C19" s="1397" t="s">
        <v>910</v>
      </c>
      <c r="D19" s="798" t="str">
        <f>结果表!H111</f>
        <v>——</v>
      </c>
    </row>
    <row r="20" spans="1:5" ht="15.5">
      <c r="B20" s="3187"/>
      <c r="C20" s="1392" t="s">
        <v>923</v>
      </c>
      <c r="D20" s="797" t="e">
        <f>NUMBERSTRING(INT(D19*10000),2)&amp;"元整"</f>
        <v>#VALUE!</v>
      </c>
    </row>
    <row r="21" spans="1:5" ht="16" thickBot="1">
      <c r="B21" s="3188"/>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t="e">
        <f ca="1">C52</f>
        <v>#DIV/0!</v>
      </c>
      <c r="C2" s="2" t="s">
        <v>106</v>
      </c>
      <c r="D2" s="191"/>
      <c r="E2" s="191"/>
      <c r="F2" s="191"/>
      <c r="G2" s="191"/>
    </row>
    <row r="3" spans="1:7" s="192" customFormat="1" ht="18" customHeight="1" thickBot="1">
      <c r="A3" s="195" t="s">
        <v>58</v>
      </c>
      <c r="B3" s="196" t="e">
        <f ca="1">ROUND(B2*10000/'数据-汇总表'!E3,0)</f>
        <v>#DIV/0!</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19</v>
      </c>
      <c r="D10" s="795">
        <f>'数据-汇总表'!E6</f>
        <v>960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19</v>
      </c>
      <c r="D19" s="204">
        <f>'数据-汇总表'!E3</f>
        <v>960</v>
      </c>
      <c r="E19" s="203">
        <f>'数据-取费表'!B31</f>
        <v>200</v>
      </c>
      <c r="F19" s="223"/>
      <c r="G19" s="1" t="s">
        <v>436</v>
      </c>
    </row>
    <row r="20" spans="1:7" s="206" customFormat="1" ht="13.5" customHeight="1">
      <c r="A20" s="731" t="s">
        <v>419</v>
      </c>
      <c r="B20" s="202" t="s">
        <v>77</v>
      </c>
      <c r="C20" s="224">
        <f>ROUND((C5+C19)*F20,0)</f>
        <v>400</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1286</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1272</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0.05</v>
      </c>
      <c r="D30" s="228" t="s">
        <v>100</v>
      </c>
      <c r="E30" s="233"/>
      <c r="F30" s="229">
        <f>'数据-取费表'!B41</f>
        <v>0.05</v>
      </c>
      <c r="G30" s="226" t="s">
        <v>86</v>
      </c>
    </row>
    <row r="31" spans="1:7" ht="16.5" customHeight="1">
      <c r="A31" s="201">
        <v>1</v>
      </c>
      <c r="B31" s="202" t="s">
        <v>101</v>
      </c>
      <c r="C31" s="203" t="e">
        <f ca="1">ROUND((C5+C19+C20+C22+C27)/(1-C21-D22-D27-C30/(1+'数据-取费表'!B42)),0)</f>
        <v>#DIV/0!</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19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19</v>
      </c>
      <c r="D37" s="209">
        <f>'数据-汇总表'!E3</f>
        <v>960</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7" t="s">
        <v>94</v>
      </c>
    </row>
    <row r="43" spans="1:7" ht="13.5" customHeight="1">
      <c r="A43" s="734" t="s">
        <v>347</v>
      </c>
      <c r="B43" s="207" t="s">
        <v>426</v>
      </c>
      <c r="C43" s="230">
        <f ca="1">ROUND(IF('数据-取费表'!B22&lt;=1,C39*F22*'数据-取费表'!B21/2,C39*(POWER((1+F22),'数据-取费表'!B21/2)-1)),0)</f>
        <v>0</v>
      </c>
      <c r="D43" s="230"/>
      <c r="E43" s="230"/>
      <c r="F43" s="231"/>
      <c r="G43" s="3368"/>
    </row>
    <row r="44" spans="1:7" ht="13.5" customHeight="1">
      <c r="A44" s="734" t="s">
        <v>348</v>
      </c>
      <c r="B44" s="207" t="s">
        <v>428</v>
      </c>
      <c r="C44" s="230">
        <f ca="1">ROUND(IF('数据-取费表'!B22&lt;=1,C40*F22*'数据-取费表'!B21/2,C40*(POWER((1+F22),'数据-取费表'!B21/2)-1)),4)</f>
        <v>5.9999999999999995E-4</v>
      </c>
      <c r="D44" s="230"/>
      <c r="E44" s="230"/>
      <c r="F44" s="231"/>
      <c r="G44" s="3369"/>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0.05</v>
      </c>
      <c r="D48" s="228" t="s">
        <v>103</v>
      </c>
      <c r="E48" s="224"/>
      <c r="F48" s="229"/>
      <c r="G48" s="226" t="s">
        <v>96</v>
      </c>
    </row>
    <row r="49" spans="1:7" ht="16.5" customHeight="1">
      <c r="A49" s="731" t="s">
        <v>343</v>
      </c>
      <c r="B49" s="202" t="s">
        <v>104</v>
      </c>
      <c r="C49" s="224" t="e">
        <f ca="1">ROUND((C33+C39+C41+C45)/(1-C40-D41-D45-C48/(1+'数据-取费表'!B42)),0)</f>
        <v>#DIV/0!</v>
      </c>
      <c r="D49" s="224"/>
      <c r="E49" s="224"/>
      <c r="F49" s="256"/>
      <c r="G49" s="226" t="s">
        <v>435</v>
      </c>
    </row>
    <row r="50" spans="1:7" s="250" customFormat="1" ht="26">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#DIV/0!</v>
      </c>
      <c r="D51" s="224"/>
      <c r="E51" s="224"/>
      <c r="F51" s="256"/>
      <c r="G51" s="226" t="s">
        <v>37</v>
      </c>
    </row>
    <row r="52" spans="1:7" s="200" customFormat="1" ht="16.5" thickBot="1">
      <c r="A52" s="257" t="s">
        <v>38</v>
      </c>
      <c r="B52" s="258"/>
      <c r="C52" s="259" t="e">
        <f ca="1">C31+C51</f>
        <v>#DIV/0!</v>
      </c>
      <c r="D52" s="258"/>
      <c r="E52" s="258"/>
      <c r="F52" s="258"/>
      <c r="G52" s="260"/>
    </row>
    <row r="55" spans="1:7" ht="15.5">
      <c r="B55" s="262" t="s">
        <v>39</v>
      </c>
      <c r="C55" s="263"/>
    </row>
    <row r="56" spans="1:7" ht="13">
      <c r="B56" s="265" t="s">
        <v>40</v>
      </c>
      <c r="C56" s="266" t="e">
        <f ca="1">ROUND(C51/C52,3)</f>
        <v>#DIV/0!</v>
      </c>
    </row>
    <row r="57" spans="1:7" ht="13">
      <c r="B57" s="265" t="s">
        <v>41</v>
      </c>
      <c r="C57" s="267"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7" customWidth="1"/>
    <col min="2" max="2" width="20" style="2967" customWidth="1"/>
    <col min="3" max="7" width="8.90625" style="2967"/>
    <col min="8" max="16384" width="8.90625" style="2813"/>
  </cols>
  <sheetData>
    <row r="1" spans="1:7">
      <c r="A1" s="3505" t="s">
        <v>3181</v>
      </c>
      <c r="B1" s="3505"/>
    </row>
    <row r="2" spans="1:7" ht="14.5" thickBot="1">
      <c r="A2" s="2968"/>
      <c r="B2" s="2968"/>
    </row>
    <row r="3" spans="1:7" ht="14.5" thickBot="1">
      <c r="A3" s="2968"/>
      <c r="B3" s="2968"/>
      <c r="C3" s="2969" t="s">
        <v>2811</v>
      </c>
      <c r="D3" s="2969" t="s">
        <v>2867</v>
      </c>
      <c r="E3" s="2969" t="s">
        <v>2813</v>
      </c>
      <c r="F3" s="2969" t="s">
        <v>2868</v>
      </c>
      <c r="G3" s="2969" t="s">
        <v>2631</v>
      </c>
    </row>
    <row r="4" spans="1:7" ht="14.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3"/>
  </cols>
  <sheetData>
    <row r="1" spans="1:6">
      <c r="A1" s="3506" t="s">
        <v>3232</v>
      </c>
      <c r="B1" s="3506"/>
      <c r="C1" s="3506"/>
      <c r="D1" s="3506"/>
      <c r="E1" s="3506"/>
      <c r="F1" s="3507"/>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7">
        <f>基准地价修正!G23</f>
        <v>45967</v>
      </c>
      <c r="B1" s="2929" t="s">
        <v>3376</v>
      </c>
      <c r="C1" s="2930"/>
      <c r="D1" s="2930"/>
      <c r="E1" s="2930"/>
      <c r="F1" s="2930"/>
      <c r="G1" s="2930"/>
      <c r="H1" s="2930"/>
      <c r="I1" s="2930"/>
      <c r="J1" s="2896"/>
      <c r="K1" s="2930" t="s">
        <v>454</v>
      </c>
      <c r="L1" s="2930"/>
      <c r="M1" s="2930"/>
      <c r="N1" s="2930"/>
      <c r="O1" s="2930"/>
      <c r="P1" s="2930"/>
      <c r="Q1" s="2896"/>
      <c r="R1" s="3508" t="s">
        <v>456</v>
      </c>
      <c r="S1" s="3509"/>
      <c r="T1" s="3509"/>
      <c r="U1" s="3509"/>
      <c r="V1" s="3509"/>
      <c r="W1" s="3509"/>
      <c r="X1" s="2896"/>
      <c r="Y1" s="3508" t="s">
        <v>457</v>
      </c>
      <c r="Z1" s="3509"/>
      <c r="AA1" s="3509"/>
      <c r="AB1" s="3509"/>
      <c r="AC1" s="3509"/>
      <c r="AD1" s="3509"/>
    </row>
    <row r="2" spans="1:44" s="2010" customFormat="1" ht="14.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6" customFormat="1" ht="13">
      <c r="A3" s="2884" t="s">
        <v>2819</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3400</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3">
      <c r="A6" s="2907" t="s">
        <v>3414</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6"/>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6"/>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6"/>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3">
      <c r="A11" s="2905" t="s">
        <v>3374</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3">
      <c r="A12" s="2905" t="s">
        <v>3373</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3">
      <c r="A13" s="2905" t="s">
        <v>3369</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3">
      <c r="A14" s="2905" t="s">
        <v>3368</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3">
      <c r="A15" s="2905" t="s">
        <v>3366</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3">
      <c r="A16" s="2905" t="s">
        <v>3365</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3">
      <c r="A17" s="2905" t="s">
        <v>3364</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3">
      <c r="A18" s="2905" t="s">
        <v>3362</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3">
      <c r="A19" s="2905" t="s">
        <v>3353</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3">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3">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3">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3">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5" thickTop="1"/>
    <row r="26" spans="1:44">
      <c r="A26" s="3143" t="s">
        <v>3379</v>
      </c>
    </row>
    <row r="27" spans="1:44">
      <c r="I27" s="1405" t="s">
        <v>2825</v>
      </c>
    </row>
    <row r="29" spans="1:44" s="2009" customFormat="1" ht="13">
      <c r="B29" s="2929" t="s">
        <v>3377</v>
      </c>
      <c r="C29" s="2930"/>
      <c r="D29" s="2930"/>
      <c r="E29" s="2930"/>
      <c r="F29" s="2930"/>
      <c r="G29" s="2930"/>
      <c r="H29" s="2930"/>
      <c r="I29" s="2930"/>
      <c r="J29" s="2896"/>
      <c r="K29" s="2930" t="s">
        <v>2826</v>
      </c>
      <c r="L29" s="2930"/>
      <c r="M29" s="2930"/>
      <c r="N29" s="2930"/>
      <c r="O29" s="2930"/>
      <c r="P29" s="2930"/>
      <c r="Q29" s="2896"/>
      <c r="R29" s="3508" t="s">
        <v>2827</v>
      </c>
      <c r="S29" s="3509"/>
      <c r="T29" s="3509"/>
      <c r="U29" s="3509"/>
      <c r="V29" s="3509"/>
      <c r="W29" s="3509"/>
      <c r="X29" s="2896"/>
      <c r="Y29" s="3508" t="s">
        <v>2828</v>
      </c>
      <c r="Z29" s="3509"/>
      <c r="AA29" s="3509"/>
      <c r="AB29" s="3509"/>
      <c r="AC29" s="3509"/>
      <c r="AD29" s="3509"/>
    </row>
    <row r="30" spans="1:44" s="2010" customFormat="1" ht="14.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6" customFormat="1" ht="13">
      <c r="A31" s="2884" t="s">
        <v>2834</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9" customFormat="1" ht="13">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3400</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3">
      <c r="A34" s="2907" t="s">
        <v>3416</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6"/>
      <c r="K35" s="2043"/>
      <c r="L35" s="2028">
        <f t="shared" ref="L35" si="142">E35/100</f>
        <v>-3.0999999999999999E-3</v>
      </c>
      <c r="M35" s="2028">
        <f t="shared" ref="M35" si="143">F35/100</f>
        <v>-1.03E-2</v>
      </c>
      <c r="N35" s="2028">
        <f t="shared" ref="N35" si="144">G35/100</f>
        <v>2.9999999999999997E-4</v>
      </c>
      <c r="O35" s="2028"/>
      <c r="P35" s="2028">
        <f t="shared" si="123"/>
        <v>-1.03E-2</v>
      </c>
      <c r="Q35" s="2906"/>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6"/>
      <c r="Y35" s="2028"/>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3">
      <c r="A39" s="2905" t="s">
        <v>3375</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3">
      <c r="A40" s="2905" t="s">
        <v>3372</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3">
      <c r="A41" s="2905" t="s">
        <v>3370</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3">
      <c r="A42" s="2905" t="s">
        <v>3368</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3">
      <c r="A43" s="2905" t="s">
        <v>3367</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3">
      <c r="A44" s="2905" t="s">
        <v>3365</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3">
      <c r="A45" s="2905" t="s">
        <v>3364</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3">
      <c r="A46" s="2905" t="s">
        <v>3363</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3">
      <c r="A47" s="2905" t="s">
        <v>3353</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3">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3">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3">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3">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5" thickTop="1"/>
    <row r="54" spans="1:44">
      <c r="A54" s="3143"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13" t="s">
        <v>452</v>
      </c>
      <c r="C1" s="3513"/>
      <c r="D1" s="3513"/>
      <c r="E1" s="3513"/>
      <c r="F1" s="3513"/>
      <c r="G1" s="3509" t="s">
        <v>453</v>
      </c>
      <c r="H1" s="3509"/>
      <c r="I1" s="3509"/>
      <c r="J1" s="3509"/>
      <c r="K1" s="3509"/>
      <c r="L1" s="3509"/>
      <c r="N1" s="3509" t="s">
        <v>454</v>
      </c>
      <c r="O1" s="3509"/>
      <c r="P1" s="3509"/>
      <c r="Q1" s="3509"/>
      <c r="S1" s="3509" t="s">
        <v>455</v>
      </c>
      <c r="T1" s="3509"/>
      <c r="U1" s="3509"/>
      <c r="V1" s="3509"/>
      <c r="X1" s="3508" t="s">
        <v>456</v>
      </c>
      <c r="Y1" s="3509"/>
      <c r="Z1" s="3509"/>
      <c r="AA1" s="3509"/>
      <c r="AB1" s="3509"/>
      <c r="AD1" s="3508" t="s">
        <v>457</v>
      </c>
      <c r="AE1" s="3509"/>
      <c r="AF1" s="3509"/>
      <c r="AG1" s="3509"/>
      <c r="AH1" s="3509"/>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1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1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1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1">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1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1">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1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2" customWidth="1"/>
    <col min="2" max="2" width="18.6328125" style="2782" customWidth="1"/>
    <col min="3" max="6" width="10.26953125" style="2782" customWidth="1"/>
    <col min="7" max="7" width="10.453125" style="2782" bestFit="1" customWidth="1"/>
    <col min="8" max="8" width="8.90625" style="2781"/>
    <col min="9" max="9" width="13.36328125" style="2781" customWidth="1"/>
    <col min="10" max="13" width="13.36328125" style="2782" customWidth="1"/>
    <col min="14" max="14" width="18.26953125" style="2782" customWidth="1"/>
    <col min="15" max="17" width="15.08984375" style="2782" customWidth="1"/>
    <col min="18" max="20" width="11.453125" style="2782" customWidth="1"/>
    <col min="21" max="16384" width="8.90625" style="2782"/>
  </cols>
  <sheetData>
    <row r="1" spans="1:20" ht="12.5" thickBot="1">
      <c r="A1" s="3521" t="s">
        <v>2839</v>
      </c>
      <c r="B1" s="3521"/>
      <c r="C1" s="3521"/>
      <c r="D1" s="3521"/>
      <c r="E1" s="3521"/>
      <c r="F1" s="3521"/>
      <c r="G1" s="3522"/>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5"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19"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5" thickBot="1">
      <c r="A4" s="3520"/>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5"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5"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5"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5"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5"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5"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45967</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203" t="str">
        <f>IF(项目基本情况!B9="房地产市场价值","估价结果一览表","结果表-2")</f>
        <v>结果表-2</v>
      </c>
      <c r="B1" s="3203"/>
      <c r="C1" s="3203"/>
      <c r="D1" s="3203"/>
      <c r="E1" s="3203"/>
      <c r="F1" s="3203"/>
      <c r="G1" s="3203"/>
      <c r="H1" s="3203"/>
      <c r="I1" s="3203"/>
    </row>
    <row r="2" spans="1:9" ht="30" customHeight="1" thickTop="1">
      <c r="A2" s="3204" t="s">
        <v>928</v>
      </c>
      <c r="B2" s="3204" t="s">
        <v>929</v>
      </c>
      <c r="C2" s="3204" t="s">
        <v>930</v>
      </c>
      <c r="D2" s="3204" t="str">
        <f>结果表!D116</f>
        <v>出让国有建设用地使用权价值</v>
      </c>
      <c r="E2" s="3204"/>
      <c r="F2" s="3204" t="str">
        <f>结果表!F116</f>
        <v>在建建筑物价值</v>
      </c>
      <c r="G2" s="3204"/>
      <c r="H2" s="3204" t="str">
        <f>IF(项目基本情况!B9="房地产市场价值","房地产市场价值","房地产价值")</f>
        <v>房地产价值</v>
      </c>
      <c r="I2" s="3204"/>
    </row>
    <row r="3" spans="1:9" ht="16">
      <c r="A3" s="3199"/>
      <c r="B3" s="3199"/>
      <c r="C3" s="3199"/>
      <c r="D3" s="801" t="s">
        <v>925</v>
      </c>
      <c r="E3" s="801" t="s">
        <v>931</v>
      </c>
      <c r="F3" s="801" t="s">
        <v>925</v>
      </c>
      <c r="G3" s="801" t="s">
        <v>926</v>
      </c>
      <c r="H3" s="801" t="s">
        <v>925</v>
      </c>
      <c r="I3" s="801" t="s">
        <v>926</v>
      </c>
    </row>
    <row r="4" spans="1:9" ht="31">
      <c r="A4" s="1403" t="str">
        <f>项目基本情况!S2</f>
        <v>北京市海淀区西北旺东路10号院21号楼102房地产</v>
      </c>
      <c r="B4" s="801">
        <f>项目基本情况!C17</f>
        <v>960</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9" t="s">
        <v>927</v>
      </c>
      <c r="B5" s="3199"/>
      <c r="C5" s="3199"/>
      <c r="D5" s="3199" t="e">
        <f ca="1">结果表!D119</f>
        <v>#REF!</v>
      </c>
      <c r="E5" s="3199"/>
      <c r="F5" s="3199" t="e">
        <f ca="1">结果表!F119</f>
        <v>#REF!</v>
      </c>
      <c r="G5" s="3199"/>
      <c r="H5" s="3199" t="e">
        <f ca="1">结果表!H119</f>
        <v>#REF!</v>
      </c>
      <c r="I5" s="3199"/>
    </row>
    <row r="6" spans="1:9" ht="15.5">
      <c r="A6" s="3198" t="str">
        <f>结果表!A120</f>
        <v>估价师知悉的法定优先受偿款</v>
      </c>
      <c r="B6" s="3198"/>
      <c r="C6" s="3198"/>
      <c r="D6" s="3198">
        <f>结果表!D120</f>
        <v>0</v>
      </c>
      <c r="E6" s="3198"/>
      <c r="F6" s="3198"/>
      <c r="G6" s="3198"/>
      <c r="H6" s="3198"/>
      <c r="I6" s="3198"/>
    </row>
    <row r="7" spans="1:9" ht="15.5">
      <c r="A7" s="3199" t="s">
        <v>927</v>
      </c>
      <c r="B7" s="3199"/>
      <c r="C7" s="3199"/>
      <c r="D7" s="3200" t="str">
        <f>结果表!D121</f>
        <v>零元整</v>
      </c>
      <c r="E7" s="3201"/>
      <c r="F7" s="3201"/>
      <c r="G7" s="3201"/>
      <c r="H7" s="3201"/>
      <c r="I7" s="3202"/>
    </row>
    <row r="8" spans="1:9" ht="15.5">
      <c r="A8" s="3198" t="str">
        <f>结果表!A122</f>
        <v>房地产抵押价值</v>
      </c>
      <c r="B8" s="3198"/>
      <c r="C8" s="3198"/>
      <c r="D8" s="3198" t="e">
        <f ca="1">结果表!D122</f>
        <v>#REF!</v>
      </c>
      <c r="E8" s="3198"/>
      <c r="F8" s="3198"/>
      <c r="G8" s="3198"/>
      <c r="H8" s="3198"/>
      <c r="I8" s="3198"/>
    </row>
    <row r="9" spans="1:9" ht="15.5">
      <c r="A9" s="3199" t="s">
        <v>927</v>
      </c>
      <c r="B9" s="3199"/>
      <c r="C9" s="3199"/>
      <c r="D9" s="3199" t="e">
        <f ca="1">结果表!D123</f>
        <v>#REF!</v>
      </c>
      <c r="E9" s="3199"/>
      <c r="F9" s="3199"/>
      <c r="G9" s="3199"/>
      <c r="H9" s="3199"/>
      <c r="I9" s="3199"/>
    </row>
    <row r="10" spans="1:9" ht="15.5">
      <c r="A10" s="3198" t="str">
        <f>结果表!A124</f>
        <v/>
      </c>
      <c r="B10" s="3198"/>
      <c r="C10" s="3198"/>
      <c r="D10" s="3198" t="str">
        <f>结果表!D124</f>
        <v>——</v>
      </c>
      <c r="E10" s="3198"/>
      <c r="F10" s="3198"/>
      <c r="G10" s="3198"/>
      <c r="H10" s="3198"/>
      <c r="I10" s="3198"/>
    </row>
    <row r="11" spans="1:9" ht="15.5">
      <c r="A11" s="3199" t="s">
        <v>927</v>
      </c>
      <c r="B11" s="3199"/>
      <c r="C11" s="3199"/>
      <c r="D11" s="3199" t="e">
        <f>结果表!D125</f>
        <v>#VALUE!</v>
      </c>
      <c r="E11" s="3199"/>
      <c r="F11" s="3199"/>
      <c r="G11" s="3199"/>
      <c r="H11" s="3199"/>
      <c r="I11" s="3199"/>
    </row>
    <row r="12" spans="1:9" ht="15.5">
      <c r="A12" s="3198" t="str">
        <f>结果表!A126</f>
        <v/>
      </c>
      <c r="B12" s="3198"/>
      <c r="C12" s="3198"/>
      <c r="D12" s="3198" t="str">
        <f>结果表!D126</f>
        <v>——</v>
      </c>
      <c r="E12" s="3198"/>
      <c r="F12" s="3198"/>
      <c r="G12" s="3198"/>
      <c r="H12" s="3198"/>
      <c r="I12" s="3198"/>
    </row>
    <row r="13" spans="1:9" ht="16" thickBot="1">
      <c r="A13" s="3196" t="s">
        <v>927</v>
      </c>
      <c r="B13" s="3196"/>
      <c r="C13" s="3196"/>
      <c r="D13" s="3196" t="e">
        <f>结果表!D127</f>
        <v>#VALUE!</v>
      </c>
      <c r="E13" s="3196"/>
      <c r="F13" s="3196"/>
      <c r="G13" s="3196"/>
      <c r="H13" s="3196"/>
      <c r="I13" s="3196"/>
    </row>
    <row r="14" spans="1:9" ht="14.5" thickTop="1">
      <c r="A14" s="3197" t="s">
        <v>932</v>
      </c>
      <c r="B14" s="3197"/>
      <c r="C14" s="3197"/>
      <c r="D14" s="3197"/>
      <c r="E14" s="3197"/>
      <c r="F14" s="3197"/>
      <c r="G14" s="3197"/>
      <c r="H14" s="3197"/>
      <c r="I14" s="3197"/>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11" t="s">
        <v>949</v>
      </c>
      <c r="B1" s="3211"/>
      <c r="C1" s="3211"/>
      <c r="D1" s="3211"/>
    </row>
    <row r="2" spans="1:4" ht="18">
      <c r="A2" s="3212" t="s">
        <v>933</v>
      </c>
      <c r="B2" s="3212"/>
      <c r="C2" s="3212"/>
      <c r="D2" s="3212"/>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12" t="s">
        <v>939</v>
      </c>
      <c r="B6" s="3212"/>
      <c r="C6" s="3212"/>
      <c r="D6" s="3212"/>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13" t="s">
        <v>942</v>
      </c>
      <c r="B11" s="3205"/>
      <c r="C11" s="3205"/>
      <c r="D11" s="3205"/>
    </row>
    <row r="12" spans="1:4" ht="15.5">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0"/>
      <c r="C12" s="3210"/>
      <c r="D12" s="3210"/>
    </row>
    <row r="13" spans="1:4" ht="30" customHeight="1">
      <c r="A13" s="3205" t="str">
        <f>IF(项目基本情况!B8="抵押","3.抵押双方在办理抵押登记手续时，应使用本公司出具的正式《房地产评估报告》，特提醒报告使用者注意。","——")</f>
        <v>——</v>
      </c>
      <c r="B13" s="3210"/>
      <c r="C13" s="3210"/>
      <c r="D13" s="3210"/>
    </row>
    <row r="14" spans="1:4" ht="15.75" customHeight="1">
      <c r="A14" s="3205" t="str">
        <f>IF(项目基本情况!B8="抵押","4.本次评估估价师所知悉的法定优先受偿款情况说明如下：","——")</f>
        <v>——</v>
      </c>
      <c r="B14" s="3210"/>
      <c r="C14" s="3210"/>
      <c r="D14" s="3210"/>
    </row>
    <row r="15" spans="1:4" ht="42" customHeight="1">
      <c r="A15" s="3205" t="str">
        <f>IF(项目基本情况!B8="抵押","（1）"&amp;CONCATENATE(项目基本情况!L20,项目基本情况!L21,项目基本情况!L22),"——")</f>
        <v>——</v>
      </c>
      <c r="B15" s="3205"/>
      <c r="C15" s="3205"/>
      <c r="D15" s="3205"/>
    </row>
    <row r="16" spans="1:4" ht="30" customHeight="1">
      <c r="A16" s="3207" t="s">
        <v>943</v>
      </c>
      <c r="B16" s="3207"/>
      <c r="C16" s="3207"/>
      <c r="D16" s="3207"/>
    </row>
    <row r="17" spans="1:4" ht="144" customHeight="1">
      <c r="A17" s="3207" t="s">
        <v>944</v>
      </c>
      <c r="B17" s="3207"/>
      <c r="C17" s="3207"/>
      <c r="D17" s="3207"/>
    </row>
    <row r="18" spans="1:4" ht="15.75" customHeight="1">
      <c r="A18" s="3205" t="str">
        <f>IF(项目基本情况!B8="抵押",结果表!K120,"——")</f>
        <v>——</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5"/>
      <c r="C20" s="3205"/>
      <c r="D20" s="3205"/>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8"/>
      <c r="C21" s="3208"/>
      <c r="D21" s="3208"/>
    </row>
    <row r="22" spans="1:4" ht="18.75" customHeight="1">
      <c r="A22" s="3209" t="s">
        <v>945</v>
      </c>
      <c r="B22" s="3209"/>
      <c r="C22" s="3209"/>
      <c r="D22" s="3209"/>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6">
        <v>42551</v>
      </c>
      <c r="D31" s="32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9" t="s">
        <v>956</v>
      </c>
      <c r="B15" s="3214" t="s">
        <v>109</v>
      </c>
      <c r="C15" s="3215"/>
    </row>
    <row r="16" spans="1:7" ht="14">
      <c r="A16" s="3220"/>
      <c r="B16" s="3214" t="s">
        <v>42</v>
      </c>
      <c r="C16" s="3215"/>
    </row>
    <row r="17" spans="1:3" ht="14">
      <c r="A17" s="3220"/>
      <c r="B17" s="3217" t="s">
        <v>957</v>
      </c>
      <c r="C17" s="1429" t="s">
        <v>956</v>
      </c>
    </row>
    <row r="18" spans="1:3" ht="14">
      <c r="A18" s="3220"/>
      <c r="B18" s="3217"/>
      <c r="C18" s="1429" t="s">
        <v>958</v>
      </c>
    </row>
    <row r="19" spans="1:3" ht="14">
      <c r="A19" s="3220"/>
      <c r="B19" s="3217"/>
      <c r="C19" s="1429" t="s">
        <v>959</v>
      </c>
    </row>
    <row r="20" spans="1:3" ht="14">
      <c r="A20" s="3221"/>
      <c r="B20" s="3216" t="s">
        <v>960</v>
      </c>
      <c r="C20" s="3215"/>
    </row>
    <row r="21" spans="1:3" ht="14">
      <c r="A21" s="1430" t="s">
        <v>961</v>
      </c>
      <c r="B21" s="1431"/>
      <c r="C21" s="1432"/>
    </row>
    <row r="22" spans="1:3" ht="14">
      <c r="A22" s="3218" t="s">
        <v>962</v>
      </c>
      <c r="B22" s="3216" t="s">
        <v>963</v>
      </c>
      <c r="C22" s="3215"/>
    </row>
    <row r="23" spans="1:3" ht="14">
      <c r="A23" s="3218"/>
      <c r="B23" s="3216" t="s">
        <v>964</v>
      </c>
      <c r="C23" s="3215"/>
    </row>
    <row r="24" spans="1:3" ht="14">
      <c r="A24" s="3218"/>
      <c r="B24" s="3216" t="s">
        <v>965</v>
      </c>
      <c r="C24" s="3215"/>
    </row>
    <row r="25" spans="1:3" ht="14">
      <c r="A25" s="3218"/>
      <c r="B25" s="3217" t="s">
        <v>966</v>
      </c>
      <c r="C25" s="1429" t="s">
        <v>967</v>
      </c>
    </row>
    <row r="26" spans="1:3" ht="14">
      <c r="A26" s="3218"/>
      <c r="B26" s="3217"/>
      <c r="C26" s="1429" t="s">
        <v>968</v>
      </c>
    </row>
    <row r="27" spans="1:3" ht="14">
      <c r="A27" s="3218"/>
      <c r="B27" s="3217"/>
      <c r="C27" s="1429" t="s">
        <v>969</v>
      </c>
    </row>
    <row r="28" spans="1:3" ht="14">
      <c r="A28" s="3218"/>
      <c r="B28" s="3217"/>
      <c r="C28" s="1429" t="s">
        <v>970</v>
      </c>
    </row>
    <row r="29" spans="1:3" ht="14">
      <c r="A29" s="3218"/>
      <c r="B29" s="3217"/>
      <c r="C29" s="1429" t="s">
        <v>971</v>
      </c>
    </row>
    <row r="30" spans="1:3" ht="14">
      <c r="A30" s="3218"/>
      <c r="B30" s="3217"/>
      <c r="C30" s="1429" t="s">
        <v>972</v>
      </c>
    </row>
    <row r="31" spans="1:3" ht="14">
      <c r="A31" s="3218"/>
      <c r="B31" s="3217"/>
      <c r="C31" s="1429" t="s">
        <v>973</v>
      </c>
    </row>
    <row r="32" spans="1:3" ht="14">
      <c r="A32" s="3218"/>
      <c r="B32" s="3217"/>
      <c r="C32" s="1429" t="s">
        <v>974</v>
      </c>
    </row>
    <row r="33" spans="1:3" ht="14">
      <c r="A33" s="3218"/>
      <c r="B33" s="3217"/>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46006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2" t="s">
        <v>2160</v>
      </c>
      <c r="B17" s="3222"/>
      <c r="C17" s="3222"/>
      <c r="D17" s="3222"/>
      <c r="E17" s="3222"/>
      <c r="F17" s="3222"/>
      <c r="G17" s="3222"/>
      <c r="H17" s="3222"/>
    </row>
    <row r="18" spans="1:8" ht="24" customHeight="1">
      <c r="A18" s="3223" t="s">
        <v>2161</v>
      </c>
      <c r="B18" s="3223"/>
      <c r="C18" s="3223"/>
      <c r="D18" s="2160"/>
      <c r="E18" s="3224" t="s">
        <v>2162</v>
      </c>
      <c r="F18" s="3223"/>
      <c r="G18" s="322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办公租金案例</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2025-12-15T02:24:27Z</dcterms:modified>
</cp:coreProperties>
</file>