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0156北京市昌平区回龙观东大街338号院1号楼\"/>
    </mc:Choice>
  </mc:AlternateContent>
  <xr:revisionPtr revIDLastSave="0" documentId="13_ncr:1_{5F080C13-674C-4C58-ADDC-201C2ECC337F}"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7" i="81" l="1"/>
  <c r="AF6" i="1"/>
  <c r="N16" i="81"/>
  <c r="P16" i="81"/>
  <c r="D37" i="43"/>
  <c r="P14" i="81"/>
  <c r="N6" i="1"/>
  <c r="P20" i="1" l="1"/>
  <c r="R20" i="1" s="1"/>
  <c r="Q7" i="81"/>
  <c r="U3" i="43" s="1"/>
  <c r="Q6" i="81"/>
  <c r="I13" i="3"/>
  <c r="P19" i="1" s="1"/>
  <c r="R19" i="1" s="1"/>
  <c r="G56" i="80"/>
  <c r="AD6" i="1"/>
  <c r="P10" i="81"/>
  <c r="P9" i="81"/>
  <c r="P8" i="81"/>
  <c r="Y6" i="1"/>
  <c r="K16" i="81"/>
  <c r="J16" i="81"/>
  <c r="L16" i="81" s="1"/>
  <c r="D42" i="43"/>
  <c r="M16" i="81" l="1"/>
  <c r="Q8" i="81"/>
  <c r="P21" i="1"/>
  <c r="R21" i="1" s="1"/>
  <c r="U2" i="43"/>
  <c r="G19" i="6"/>
  <c r="Q11" i="81" s="1"/>
  <c r="S11" i="81" s="1"/>
  <c r="T11" i="81" s="1"/>
  <c r="F19" i="6"/>
  <c r="C60" i="78"/>
  <c r="D60" i="78" s="1"/>
  <c r="D53" i="78"/>
  <c r="D52" i="78"/>
  <c r="B51" i="78"/>
  <c r="B56" i="78" s="1"/>
  <c r="U4" i="43" l="1"/>
  <c r="Q9" i="81"/>
  <c r="D51" i="78"/>
  <c r="C51" i="78" s="1"/>
  <c r="C56" i="78" s="1"/>
  <c r="C58" i="78" s="1"/>
  <c r="B55" i="78"/>
  <c r="D55" i="78" s="1"/>
  <c r="B62" i="78"/>
  <c r="B54" i="78"/>
  <c r="D54" i="78" s="1"/>
  <c r="D56" i="78" l="1"/>
  <c r="U5" i="43"/>
  <c r="Q10" i="81"/>
  <c r="Q12" i="81"/>
  <c r="M2" i="81" s="1"/>
  <c r="U6" i="1" s="1"/>
  <c r="D58" i="78"/>
  <c r="D62" i="78" s="1"/>
  <c r="C62" i="78" s="1"/>
  <c r="U6" i="43" l="1"/>
  <c r="P12" i="81"/>
  <c r="G14" i="73"/>
  <c r="F14" i="73"/>
  <c r="E14" i="73"/>
  <c r="F49" i="15" l="1"/>
  <c r="P13" i="81"/>
  <c r="Z6"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AA28" i="79"/>
  <c r="AD28" i="79" s="1"/>
  <c r="T34" i="79"/>
  <c r="W34" i="79" s="1"/>
  <c r="U40" i="79"/>
  <c r="AD41" i="79"/>
  <c r="S42" i="79"/>
  <c r="U44" i="79"/>
  <c r="AD45"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C28" i="71" s="1"/>
  <c r="N28" i="71"/>
  <c r="B30" i="71"/>
  <c r="B31" i="71" s="1"/>
  <c r="B32" i="71" s="1"/>
  <c r="S32" i="71" s="1"/>
  <c r="E38" i="71"/>
  <c r="E34" i="71"/>
  <c r="C38" i="71"/>
  <c r="D38" i="71" s="1"/>
  <c r="X38" i="71"/>
  <c r="B28" i="71"/>
  <c r="B27" i="71" s="1"/>
  <c r="B26" i="71" s="1"/>
  <c r="P28" i="71"/>
  <c r="E28" i="71" s="1"/>
  <c r="E67" i="71"/>
  <c r="P67" i="71" s="1"/>
  <c r="Q28" i="71"/>
  <c r="F28" i="71" s="1"/>
  <c r="F27" i="71" s="1"/>
  <c r="F26" i="71" s="1"/>
  <c r="D62" i="71"/>
  <c r="E71" i="71"/>
  <c r="E70" i="71" s="1"/>
  <c r="E75" i="71"/>
  <c r="E74" i="71" s="1"/>
  <c r="E79" i="71"/>
  <c r="E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5" i="40"/>
  <c r="U29" i="39"/>
  <c r="S21" i="37"/>
  <c r="U21" i="34"/>
  <c r="AC18" i="35"/>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A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J41" i="33"/>
  <c r="W41" i="33" s="1"/>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s="1"/>
  <c r="Q26" i="36"/>
  <c r="Z26" i="36" s="1"/>
  <c r="H26" i="36"/>
  <c r="AB26" i="36"/>
  <c r="Q25" i="36"/>
  <c r="Z25" i="36" s="1"/>
  <c r="Q24" i="36"/>
  <c r="Z24" i="36" s="1"/>
  <c r="Q23" i="36"/>
  <c r="Z23" i="36"/>
  <c r="J23" i="36"/>
  <c r="AC23" i="36" s="1"/>
  <c r="Q22" i="36"/>
  <c r="Z22" i="36" s="1"/>
  <c r="J22" i="36"/>
  <c r="AC22" i="36"/>
  <c r="Q20" i="36"/>
  <c r="Z20" i="36" s="1"/>
  <c r="Q16" i="36"/>
  <c r="Z16" i="36"/>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AA35" i="35" s="1"/>
  <c r="B97" i="35"/>
  <c r="H34" i="35" s="1"/>
  <c r="B77" i="35"/>
  <c r="B75" i="35"/>
  <c r="B73" i="35"/>
  <c r="B57" i="35"/>
  <c r="H11" i="35" s="1"/>
  <c r="AB11" i="35" s="1"/>
  <c r="B61" i="35"/>
  <c r="B59" i="35"/>
  <c r="H12" i="35" s="1"/>
  <c r="B131" i="34"/>
  <c r="B129" i="34"/>
  <c r="B127" i="34"/>
  <c r="B99" i="34"/>
  <c r="B97" i="34"/>
  <c r="H31" i="34" s="1"/>
  <c r="B95" i="34"/>
  <c r="F30" i="34" s="1"/>
  <c r="S30" i="34" s="1"/>
  <c r="B93" i="34"/>
  <c r="B75" i="34"/>
  <c r="B73" i="34"/>
  <c r="B71" i="34"/>
  <c r="J12" i="34" s="1"/>
  <c r="W12" i="34" s="1"/>
  <c r="B130" i="33"/>
  <c r="B128" i="33"/>
  <c r="H45" i="33" s="1"/>
  <c r="B126" i="33"/>
  <c r="F44" i="33" s="1"/>
  <c r="S44" i="33" s="1"/>
  <c r="B98" i="33"/>
  <c r="B96" i="33"/>
  <c r="B94" i="33"/>
  <c r="B74" i="33"/>
  <c r="J14" i="33" s="1"/>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AC39" i="33"/>
  <c r="Q38" i="33"/>
  <c r="Z38" i="33" s="1"/>
  <c r="J38" i="33"/>
  <c r="AC38" i="33" s="1"/>
  <c r="H38" i="33"/>
  <c r="F38" i="33"/>
  <c r="AA38" i="33"/>
  <c r="Q37" i="33"/>
  <c r="Z37" i="33" s="1"/>
  <c r="Q36" i="33"/>
  <c r="Z36" i="33"/>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s="1"/>
  <c r="E81" i="21"/>
  <c r="F81" i="21"/>
  <c r="G81" i="21" s="1"/>
  <c r="D77" i="21"/>
  <c r="E77" i="21" s="1"/>
  <c r="F77" i="21" s="1"/>
  <c r="G77" i="21" s="1"/>
  <c r="B130" i="21"/>
  <c r="F46" i="21" s="1"/>
  <c r="B128" i="21"/>
  <c r="J45" i="21" s="1"/>
  <c r="W45" i="21" s="1"/>
  <c r="B126" i="21"/>
  <c r="H44" i="21" s="1"/>
  <c r="U44" i="21" s="1"/>
  <c r="B98" i="21"/>
  <c r="B96" i="21"/>
  <c r="F30" i="21" s="1"/>
  <c r="S30" i="21" s="1"/>
  <c r="B94" i="21"/>
  <c r="J29" i="21" s="1"/>
  <c r="AC29" i="21"/>
  <c r="B92" i="21"/>
  <c r="B90" i="21"/>
  <c r="H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J45" i="39"/>
  <c r="W45" i="39" s="1"/>
  <c r="J35" i="39"/>
  <c r="AC35" i="39" s="1"/>
  <c r="F35" i="39"/>
  <c r="AA35" i="39" s="1"/>
  <c r="U9" i="39"/>
  <c r="W40" i="39"/>
  <c r="W31" i="37"/>
  <c r="F29" i="36"/>
  <c r="AA29" i="36" s="1"/>
  <c r="F16" i="36"/>
  <c r="H22" i="35"/>
  <c r="AB22" i="35" s="1"/>
  <c r="U31" i="35"/>
  <c r="F36" i="34"/>
  <c r="J35" i="34"/>
  <c r="H39" i="33"/>
  <c r="AB39" i="33" s="1"/>
  <c r="U33" i="33"/>
  <c r="U35" i="33"/>
  <c r="W39" i="33"/>
  <c r="H39" i="37"/>
  <c r="S27" i="35"/>
  <c r="F11" i="40"/>
  <c r="AA11" i="40" s="1"/>
  <c r="H11" i="40"/>
  <c r="AB11" i="40"/>
  <c r="W8" i="40"/>
  <c r="U9" i="40"/>
  <c r="S34"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F21" i="40"/>
  <c r="AA21" i="40" s="1"/>
  <c r="J21" i="40"/>
  <c r="W21" i="40" s="1"/>
  <c r="H42" i="39"/>
  <c r="AB42" i="39" s="1"/>
  <c r="J34" i="39"/>
  <c r="AC34" i="39" s="1"/>
  <c r="H27" i="39"/>
  <c r="U27" i="39" s="1"/>
  <c r="J19" i="39"/>
  <c r="AC19" i="39" s="1"/>
  <c r="J17" i="39"/>
  <c r="J27" i="39"/>
  <c r="AC27" i="39" s="1"/>
  <c r="F27" i="39"/>
  <c r="F11" i="21"/>
  <c r="S11" i="21" s="1"/>
  <c r="U34" i="21"/>
  <c r="C25" i="39"/>
  <c r="H11" i="39"/>
  <c r="H32" i="33"/>
  <c r="AB32" i="33"/>
  <c r="H11" i="21"/>
  <c r="U11" i="21" s="1"/>
  <c r="J11" i="21"/>
  <c r="W11" i="21" s="1"/>
  <c r="H37" i="40"/>
  <c r="U37" i="40"/>
  <c r="H36" i="40"/>
  <c r="AB36" i="40" s="1"/>
  <c r="F35" i="40"/>
  <c r="AA35" i="40" s="1"/>
  <c r="H23" i="40"/>
  <c r="AB23" i="40" s="1"/>
  <c r="H17" i="40"/>
  <c r="U17" i="40" s="1"/>
  <c r="J15" i="40"/>
  <c r="W15" i="40" s="1"/>
  <c r="J11" i="40"/>
  <c r="W11" i="40"/>
  <c r="AC12" i="34"/>
  <c r="S44" i="39"/>
  <c r="J30" i="35"/>
  <c r="W30" i="35" s="1"/>
  <c r="H30" i="35"/>
  <c r="AB30" i="35" s="1"/>
  <c r="F22" i="35"/>
  <c r="AA22" i="35" s="1"/>
  <c r="H10" i="35"/>
  <c r="U10" i="35" s="1"/>
  <c r="W30" i="36"/>
  <c r="H16" i="36"/>
  <c r="AB16" i="36" s="1"/>
  <c r="J29" i="36"/>
  <c r="AC29" i="36" s="1"/>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H17" i="34"/>
  <c r="F15" i="34"/>
  <c r="AA15" i="34" s="1"/>
  <c r="J15" i="34"/>
  <c r="H15" i="34"/>
  <c r="AB15" i="34" s="1"/>
  <c r="J28" i="34"/>
  <c r="F41" i="33"/>
  <c r="S41" i="33" s="1"/>
  <c r="AA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F15" i="40"/>
  <c r="S15" i="40" s="1"/>
  <c r="H15" i="40"/>
  <c r="AB15" i="40" s="1"/>
  <c r="AC11" i="40"/>
  <c r="F29" i="35"/>
  <c r="H29" i="35"/>
  <c r="AB29" i="35" s="1"/>
  <c r="H33" i="37"/>
  <c r="F33" i="37"/>
  <c r="AA33" i="37" s="1"/>
  <c r="U34" i="37"/>
  <c r="S34" i="37"/>
  <c r="J43" i="34"/>
  <c r="J40" i="34"/>
  <c r="H38" i="34"/>
  <c r="AB38" i="34" s="1"/>
  <c r="J36" i="34"/>
  <c r="W36" i="34"/>
  <c r="H37" i="34"/>
  <c r="U37" i="34" s="1"/>
  <c r="H25" i="34"/>
  <c r="AB25" i="34" s="1"/>
  <c r="J25" i="34"/>
  <c r="AC25"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J42" i="21"/>
  <c r="AC42" i="21" s="1"/>
  <c r="H42" i="21"/>
  <c r="U42" i="21" s="1"/>
  <c r="J44" i="34"/>
  <c r="F44" i="34"/>
  <c r="AA44" i="34" s="1"/>
  <c r="J10" i="35"/>
  <c r="AC10" i="35" s="1"/>
  <c r="F14" i="21"/>
  <c r="S14" i="21" s="1"/>
  <c r="H14" i="21"/>
  <c r="U14" i="21" s="1"/>
  <c r="H28" i="21"/>
  <c r="AB28" i="21" s="1"/>
  <c r="F28" i="21"/>
  <c r="AA28" i="21" s="1"/>
  <c r="J28" i="21"/>
  <c r="W28" i="21" s="1"/>
  <c r="H30" i="21"/>
  <c r="U30" i="21"/>
  <c r="J30" i="21"/>
  <c r="J44" i="21"/>
  <c r="AC44" i="21" s="1"/>
  <c r="F44" i="21"/>
  <c r="AA44" i="21" s="1"/>
  <c r="H46" i="21"/>
  <c r="U46" i="21" s="1"/>
  <c r="J46" i="21"/>
  <c r="AA46" i="2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B27" i="21"/>
  <c r="H29" i="21"/>
  <c r="U29" i="21" s="1"/>
  <c r="J31" i="21"/>
  <c r="AC31" i="21" s="1"/>
  <c r="F45" i="21"/>
  <c r="AA45" i="21" s="1"/>
  <c r="F27" i="33"/>
  <c r="AA27" i="33" s="1"/>
  <c r="J13" i="33"/>
  <c r="AC13" i="33" s="1"/>
  <c r="F13" i="33"/>
  <c r="S13" i="33" s="1"/>
  <c r="H29" i="33"/>
  <c r="U29" i="33" s="1"/>
  <c r="J31" i="33"/>
  <c r="W31" i="33" s="1"/>
  <c r="H31" i="33"/>
  <c r="F31" i="33"/>
  <c r="J45" i="33"/>
  <c r="W45" i="33" s="1"/>
  <c r="F45" i="33"/>
  <c r="AA45" i="33" s="1"/>
  <c r="F14" i="34"/>
  <c r="S14" i="34" s="1"/>
  <c r="H30" i="34"/>
  <c r="AB30" i="34" s="1"/>
  <c r="J30" i="34"/>
  <c r="H32" i="34"/>
  <c r="H46" i="34"/>
  <c r="F46" i="34"/>
  <c r="J46" i="34"/>
  <c r="J11" i="35"/>
  <c r="W11" i="35" s="1"/>
  <c r="AC11" i="35"/>
  <c r="F11" i="35"/>
  <c r="S11" i="35" s="1"/>
  <c r="J26" i="36"/>
  <c r="W26" i="36" s="1"/>
  <c r="H28" i="36"/>
  <c r="U28" i="36" s="1"/>
  <c r="H13" i="36"/>
  <c r="AB13" i="36" s="1"/>
  <c r="F13" i="36"/>
  <c r="S13" i="36"/>
  <c r="E89" i="37"/>
  <c r="F89" i="37" s="1"/>
  <c r="G89" i="37" s="1"/>
  <c r="H89" i="37" s="1"/>
  <c r="I89" i="37" s="1"/>
  <c r="J89" i="37" s="1"/>
  <c r="K89" i="37" s="1"/>
  <c r="L89" i="37" s="1"/>
  <c r="M89" i="37" s="1"/>
  <c r="J29" i="37"/>
  <c r="F29" i="37"/>
  <c r="S29" i="37" s="1"/>
  <c r="F105" i="37"/>
  <c r="G105" i="37" s="1"/>
  <c r="H36" i="37"/>
  <c r="AB36" i="37"/>
  <c r="F107" i="37"/>
  <c r="J37" i="37"/>
  <c r="AC37" i="37" s="1"/>
  <c r="H37" i="37"/>
  <c r="U37" i="37" s="1"/>
  <c r="H40" i="37"/>
  <c r="U40" i="37" s="1"/>
  <c r="J40" i="37"/>
  <c r="AC40" i="37"/>
  <c r="AC12" i="40"/>
  <c r="H14" i="33"/>
  <c r="F14" i="33"/>
  <c r="S14" i="33" s="1"/>
  <c r="J30" i="33"/>
  <c r="H44" i="33"/>
  <c r="J44" i="33"/>
  <c r="AC44" i="33" s="1"/>
  <c r="J46" i="33"/>
  <c r="AC46" i="33" s="1"/>
  <c r="H13" i="34"/>
  <c r="U13" i="34" s="1"/>
  <c r="J13" i="34"/>
  <c r="W13" i="34" s="1"/>
  <c r="F13" i="34"/>
  <c r="AA13" i="34" s="1"/>
  <c r="J31" i="34"/>
  <c r="AC31" i="34" s="1"/>
  <c r="F31" i="34"/>
  <c r="S31" i="34" s="1"/>
  <c r="H47" i="34"/>
  <c r="U47" i="34" s="1"/>
  <c r="F47" i="34"/>
  <c r="S47" i="34" s="1"/>
  <c r="J47" i="34"/>
  <c r="J25" i="35"/>
  <c r="J35" i="35"/>
  <c r="AC35" i="35" s="1"/>
  <c r="H35" i="35"/>
  <c r="H13" i="37"/>
  <c r="F13" i="37"/>
  <c r="S13" i="37" s="1"/>
  <c r="H28" i="37"/>
  <c r="F43" i="39"/>
  <c r="H43" i="39"/>
  <c r="J14" i="39"/>
  <c r="AC14" i="39" s="1"/>
  <c r="F14" i="39"/>
  <c r="H14" i="39"/>
  <c r="AB14" i="39" s="1"/>
  <c r="F12" i="40"/>
  <c r="S12" i="40" s="1"/>
  <c r="H12" i="40"/>
  <c r="AB12" i="40" s="1"/>
  <c r="H30" i="40"/>
  <c r="AB30" i="40" s="1"/>
  <c r="F33" i="40"/>
  <c r="AA33" i="40" s="1"/>
  <c r="H33" i="40"/>
  <c r="U33" i="40"/>
  <c r="J35" i="40"/>
  <c r="AC35" i="40" s="1"/>
  <c r="J37" i="40"/>
  <c r="AC37" i="40" s="1"/>
  <c r="J13" i="40"/>
  <c r="F14" i="37"/>
  <c r="AA14" i="37" s="1"/>
  <c r="F27" i="37"/>
  <c r="F14" i="40"/>
  <c r="AA14" i="40" s="1"/>
  <c r="J14" i="37"/>
  <c r="J27" i="37"/>
  <c r="AC27" i="37" s="1"/>
  <c r="AA44" i="33"/>
  <c r="J36" i="37"/>
  <c r="AC36" i="37" s="1"/>
  <c r="J10" i="36"/>
  <c r="AC10" i="36" s="1"/>
  <c r="AB30" i="21"/>
  <c r="AA14" i="34"/>
  <c r="AC28" i="21"/>
  <c r="F17" i="21"/>
  <c r="AA17" i="21" s="1"/>
  <c r="H17" i="21"/>
  <c r="AB17" i="21" s="1"/>
  <c r="F15" i="21"/>
  <c r="S15" i="21" s="1"/>
  <c r="J41" i="39"/>
  <c r="W41" i="39" s="1"/>
  <c r="S35" i="39"/>
  <c r="G544" i="3"/>
  <c r="G531" i="3"/>
  <c r="G523" i="3"/>
  <c r="G518" i="3"/>
  <c r="G510" i="3"/>
  <c r="G508" i="3"/>
  <c r="G504" i="3"/>
  <c r="G496" i="3"/>
  <c r="G584" i="3"/>
  <c r="G572" i="3"/>
  <c r="G568" i="3"/>
  <c r="G564" i="3"/>
  <c r="G554" i="3"/>
  <c r="BL584" i="3"/>
  <c r="BL576" i="3"/>
  <c r="BL572" i="3"/>
  <c r="BL560" i="3"/>
  <c r="BL534" i="3"/>
  <c r="BL522" i="3"/>
  <c r="BL516" i="3"/>
  <c r="BL512" i="3"/>
  <c r="BL506" i="3"/>
  <c r="BL502" i="3"/>
  <c r="BL498" i="3"/>
  <c r="BL494" i="3"/>
  <c r="BL582" i="3"/>
  <c r="BL578" i="3"/>
  <c r="BL570" i="3"/>
  <c r="BL566" i="3"/>
  <c r="BL562" i="3"/>
  <c r="BL536" i="3"/>
  <c r="G529" i="3"/>
  <c r="G525" i="3"/>
  <c r="BL524" i="3"/>
  <c r="BL518" i="3"/>
  <c r="BL514" i="3"/>
  <c r="BL510" i="3"/>
  <c r="BL504" i="3"/>
  <c r="BL500" i="3"/>
  <c r="BL496" i="3"/>
  <c r="G493" i="3"/>
  <c r="BA582" i="3"/>
  <c r="BA580" i="3"/>
  <c r="BA578" i="3"/>
  <c r="BA574" i="3"/>
  <c r="BA572" i="3"/>
  <c r="AZ572" i="3" s="1"/>
  <c r="BA570" i="3"/>
  <c r="BA566" i="3"/>
  <c r="BA564" i="3"/>
  <c r="BA562" i="3"/>
  <c r="BA558" i="3"/>
  <c r="BA556" i="3"/>
  <c r="AZ556" i="3" s="1"/>
  <c r="BA540" i="3"/>
  <c r="BA534" i="3"/>
  <c r="BA524" i="3"/>
  <c r="AZ524" i="3" s="1"/>
  <c r="BA522" i="3"/>
  <c r="BA520" i="3"/>
  <c r="AZ520" i="3" s="1"/>
  <c r="BA518" i="3"/>
  <c r="BA516" i="3"/>
  <c r="BA514" i="3"/>
  <c r="BA512" i="3"/>
  <c r="BA510" i="3"/>
  <c r="BA508" i="3"/>
  <c r="BA506" i="3"/>
  <c r="BA504" i="3"/>
  <c r="AZ504" i="3" s="1"/>
  <c r="BA502" i="3"/>
  <c r="BA500" i="3"/>
  <c r="BA498" i="3"/>
  <c r="BA496" i="3"/>
  <c r="AZ496" i="3" s="1"/>
  <c r="BA494" i="3"/>
  <c r="BA583" i="3"/>
  <c r="BA581" i="3"/>
  <c r="BA579" i="3"/>
  <c r="BA575" i="3"/>
  <c r="BA573" i="3"/>
  <c r="BA571" i="3"/>
  <c r="BA567" i="3"/>
  <c r="BA565" i="3"/>
  <c r="BA563" i="3"/>
  <c r="BA559" i="3"/>
  <c r="BA555" i="3"/>
  <c r="BA545" i="3"/>
  <c r="BA525" i="3"/>
  <c r="BA523" i="3"/>
  <c r="BA519" i="3"/>
  <c r="BA517" i="3"/>
  <c r="BA515" i="3"/>
  <c r="BA513" i="3"/>
  <c r="BA511" i="3"/>
  <c r="BA507" i="3"/>
  <c r="BA505" i="3"/>
  <c r="BA503" i="3"/>
  <c r="BA501" i="3"/>
  <c r="BA499" i="3"/>
  <c r="BA497" i="3"/>
  <c r="BA495" i="3"/>
  <c r="BA493" i="3"/>
  <c r="G583" i="3"/>
  <c r="G579" i="3"/>
  <c r="G577" i="3"/>
  <c r="G575" i="3"/>
  <c r="G571" i="3"/>
  <c r="G569" i="3"/>
  <c r="G567" i="3"/>
  <c r="G563" i="3"/>
  <c r="G561" i="3"/>
  <c r="BL558" i="3"/>
  <c r="AZ558" i="3" s="1"/>
  <c r="AC557" i="3"/>
  <c r="G557" i="3" s="1"/>
  <c r="BQ557" i="3"/>
  <c r="BL557" i="3" s="1"/>
  <c r="BQ583" i="3"/>
  <c r="BL583" i="3" s="1"/>
  <c r="AZ583" i="3" s="1"/>
  <c r="BQ581" i="3"/>
  <c r="BL581" i="3"/>
  <c r="BQ579" i="3"/>
  <c r="BL579" i="3" s="1"/>
  <c r="BQ577" i="3"/>
  <c r="BL577" i="3" s="1"/>
  <c r="BQ575" i="3"/>
  <c r="BL575" i="3"/>
  <c r="BQ573" i="3"/>
  <c r="BL573" i="3" s="1"/>
  <c r="BQ571" i="3"/>
  <c r="BL571" i="3" s="1"/>
  <c r="BQ569" i="3"/>
  <c r="BQ567" i="3"/>
  <c r="BL567" i="3" s="1"/>
  <c r="BQ565" i="3"/>
  <c r="BL565" i="3" s="1"/>
  <c r="BQ563" i="3"/>
  <c r="BL563" i="3" s="1"/>
  <c r="AZ563" i="3" s="1"/>
  <c r="BQ561" i="3"/>
  <c r="BL561" i="3"/>
  <c r="AZ561" i="3" s="1"/>
  <c r="BQ559" i="3"/>
  <c r="BL559" i="3" s="1"/>
  <c r="AZ559" i="3" s="1"/>
  <c r="G559" i="3"/>
  <c r="G555" i="3"/>
  <c r="G553" i="3"/>
  <c r="G547" i="3"/>
  <c r="G545" i="3"/>
  <c r="G539" i="3"/>
  <c r="G537" i="3"/>
  <c r="BQ555" i="3"/>
  <c r="BQ553" i="3"/>
  <c r="BQ551" i="3"/>
  <c r="BQ549" i="3"/>
  <c r="BQ547" i="3"/>
  <c r="BQ545" i="3"/>
  <c r="BL545" i="3" s="1"/>
  <c r="BQ543" i="3"/>
  <c r="BQ541" i="3"/>
  <c r="BQ539" i="3"/>
  <c r="BQ537" i="3"/>
  <c r="BQ535" i="3"/>
  <c r="BQ533" i="3"/>
  <c r="BQ531" i="3"/>
  <c r="BQ529" i="3"/>
  <c r="BQ527" i="3"/>
  <c r="BQ525" i="3"/>
  <c r="BL525" i="3"/>
  <c r="AZ525" i="3" s="1"/>
  <c r="BQ523" i="3"/>
  <c r="BL523" i="3" s="1"/>
  <c r="AZ523" i="3" s="1"/>
  <c r="BA521" i="3"/>
  <c r="AC521" i="3"/>
  <c r="G521" i="3"/>
  <c r="BQ521" i="3"/>
  <c r="BL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AZ509" i="3" s="1"/>
  <c r="BL508" i="3"/>
  <c r="G507" i="3"/>
  <c r="G505" i="3"/>
  <c r="G503" i="3"/>
  <c r="G501" i="3"/>
  <c r="G499" i="3"/>
  <c r="G497" i="3"/>
  <c r="G495" i="3"/>
  <c r="BQ507" i="3"/>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3" i="37"/>
  <c r="AB23" i="37"/>
  <c r="J32" i="37"/>
  <c r="AC32" i="37" s="1"/>
  <c r="F36" i="37"/>
  <c r="AA36" i="37"/>
  <c r="F37" i="37"/>
  <c r="AA37" i="37" s="1"/>
  <c r="F31" i="40"/>
  <c r="AA31" i="40" s="1"/>
  <c r="H31" i="40"/>
  <c r="U31" i="40" s="1"/>
  <c r="F32" i="40"/>
  <c r="S32" i="40" s="1"/>
  <c r="H32" i="40"/>
  <c r="AB32" i="40" s="1"/>
  <c r="J36" i="40"/>
  <c r="W36" i="40"/>
  <c r="H19" i="37"/>
  <c r="AB19" i="37" s="1"/>
  <c r="H42" i="33"/>
  <c r="AB42" i="33" s="1"/>
  <c r="J43" i="33"/>
  <c r="AC43" i="33" s="1"/>
  <c r="S28" i="31"/>
  <c r="S27" i="31"/>
  <c r="S26" i="31"/>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AB33" i="40"/>
  <c r="W23" i="39"/>
  <c r="AC43" i="39"/>
  <c r="W43"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G4" i="4"/>
  <c r="I4" i="4"/>
  <c r="F61" i="43"/>
  <c r="H64" i="43" s="1"/>
  <c r="AZ49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J5" i="3"/>
  <c r="AZ341" i="3"/>
  <c r="AZ506" i="3"/>
  <c r="G548" i="3"/>
  <c r="G538" i="3"/>
  <c r="G520" i="3"/>
  <c r="G502" i="3"/>
  <c r="BS5" i="3"/>
  <c r="G17" i="3"/>
  <c r="BA17" i="3"/>
  <c r="AZ17" i="3" s="1"/>
  <c r="BA15" i="3"/>
  <c r="G509" i="3"/>
  <c r="BL493" i="3"/>
  <c r="U36" i="40"/>
  <c r="F83" i="43"/>
  <c r="H85" i="43" s="1"/>
  <c r="F50" i="43"/>
  <c r="H54" i="43" s="1"/>
  <c r="G54" i="43" s="1"/>
  <c r="F72" i="43"/>
  <c r="H75" i="43" s="1"/>
  <c r="U17" i="39"/>
  <c r="S14" i="35"/>
  <c r="U35" i="21"/>
  <c r="AC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AC12" i="39"/>
  <c r="W12" i="39"/>
  <c r="AC39" i="40"/>
  <c r="W39" i="40"/>
  <c r="BL14" i="3"/>
  <c r="AC13" i="34"/>
  <c r="AA47" i="34"/>
  <c r="S19" i="39"/>
  <c r="F12" i="33"/>
  <c r="S12" i="33" s="1"/>
  <c r="H12" i="39"/>
  <c r="AB12" i="39" s="1"/>
  <c r="F39" i="40"/>
  <c r="AA39" i="40" s="1"/>
  <c r="BA14" i="3"/>
  <c r="B12" i="1"/>
  <c r="E12" i="1" s="1"/>
  <c r="B10" i="1"/>
  <c r="E10" i="1" s="1"/>
  <c r="K12" i="1"/>
  <c r="M12" i="1" s="1"/>
  <c r="S13" i="1"/>
  <c r="AR13" i="1" s="1"/>
  <c r="R13" i="1"/>
  <c r="J51" i="67"/>
  <c r="AB37" i="40"/>
  <c r="S35" i="40"/>
  <c r="U35" i="40"/>
  <c r="AC36" i="40"/>
  <c r="AA32" i="40"/>
  <c r="S17" i="40"/>
  <c r="S23" i="40"/>
  <c r="AC15" i="40"/>
  <c r="AB27" i="40"/>
  <c r="S28" i="40"/>
  <c r="AA27" i="40"/>
  <c r="U21" i="40"/>
  <c r="AB19" i="40"/>
  <c r="U35" i="39"/>
  <c r="F32" i="39"/>
  <c r="AA32" i="39" s="1"/>
  <c r="F106" i="39"/>
  <c r="G106" i="39" s="1"/>
  <c r="H106" i="39" s="1"/>
  <c r="I106" i="39" s="1"/>
  <c r="J106" i="39" s="1"/>
  <c r="K106" i="39" s="1"/>
  <c r="L106" i="39" s="1"/>
  <c r="M106" i="39" s="1"/>
  <c r="U25" i="39"/>
  <c r="AB27" i="39"/>
  <c r="J21" i="39"/>
  <c r="W21" i="39" s="1"/>
  <c r="F21" i="39"/>
  <c r="AA21" i="39" s="1"/>
  <c r="G94" i="39"/>
  <c r="H21" i="39"/>
  <c r="W19" i="39"/>
  <c r="U19" i="39"/>
  <c r="S17" i="39"/>
  <c r="S9" i="39"/>
  <c r="U14" i="39"/>
  <c r="U26" i="36"/>
  <c r="AA26" i="36"/>
  <c r="AC26" i="36"/>
  <c r="W14" i="36"/>
  <c r="AB14" i="36"/>
  <c r="U22" i="36"/>
  <c r="S24" i="36"/>
  <c r="AB20" i="36"/>
  <c r="U16" i="36"/>
  <c r="S14" i="36"/>
  <c r="S2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U29" i="37"/>
  <c r="AB31" i="37"/>
  <c r="W30" i="37"/>
  <c r="S36" i="37"/>
  <c r="AC35" i="37"/>
  <c r="S30" i="37"/>
  <c r="AC15" i="37"/>
  <c r="J17" i="37"/>
  <c r="W17" i="37" s="1"/>
  <c r="G73" i="37"/>
  <c r="F17" i="37"/>
  <c r="AA17" i="37" s="1"/>
  <c r="F75" i="37"/>
  <c r="G75" i="37" s="1"/>
  <c r="F19" i="37"/>
  <c r="S19" i="37" s="1"/>
  <c r="F79" i="37"/>
  <c r="F23" i="37"/>
  <c r="S23" i="37" s="1"/>
  <c r="U23" i="37"/>
  <c r="U15" i="37"/>
  <c r="AC13" i="37"/>
  <c r="AA13" i="37"/>
  <c r="H10" i="37"/>
  <c r="AB10" i="37" s="1"/>
  <c r="F63" i="37"/>
  <c r="F11" i="37"/>
  <c r="S11" i="37" s="1"/>
  <c r="W25" i="34"/>
  <c r="AB8" i="34"/>
  <c r="U43" i="34"/>
  <c r="W41" i="34"/>
  <c r="AC42" i="34"/>
  <c r="AB35" i="34"/>
  <c r="U39" i="34"/>
  <c r="AB41" i="34"/>
  <c r="AA25" i="34"/>
  <c r="U28" i="34"/>
  <c r="S17" i="34"/>
  <c r="S23" i="34"/>
  <c r="U15" i="34"/>
  <c r="S13" i="34"/>
  <c r="H10" i="34"/>
  <c r="AB10" i="34" s="1"/>
  <c r="F11" i="34"/>
  <c r="S11" i="34" s="1"/>
  <c r="F70" i="34"/>
  <c r="G70" i="34" s="1"/>
  <c r="H70" i="34" s="1"/>
  <c r="I70" i="34" s="1"/>
  <c r="J70" i="34" s="1"/>
  <c r="K70" i="34" s="1"/>
  <c r="L70" i="34" s="1"/>
  <c r="M70" i="34" s="1"/>
  <c r="W42" i="33"/>
  <c r="S27"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J10" i="33"/>
  <c r="W10" i="33" s="1"/>
  <c r="H10" i="33"/>
  <c r="U10" i="33" s="1"/>
  <c r="AC11" i="33"/>
  <c r="W43" i="21"/>
  <c r="W36" i="21"/>
  <c r="W41" i="21"/>
  <c r="AB39" i="21"/>
  <c r="AA43" i="21"/>
  <c r="S39" i="21"/>
  <c r="AA38" i="21"/>
  <c r="AA36" i="21"/>
  <c r="AC40" i="21"/>
  <c r="J15" i="21"/>
  <c r="AC15" i="21" s="1"/>
  <c r="F23" i="21"/>
  <c r="AA23" i="21" s="1"/>
  <c r="AA14" i="21"/>
  <c r="D120" i="9"/>
  <c r="D121" i="9" s="1"/>
  <c r="D7" i="52" s="1"/>
  <c r="G13" i="3"/>
  <c r="BL17" i="3"/>
  <c r="BL13" i="3"/>
  <c r="J56" i="9"/>
  <c r="J57" i="9" s="1"/>
  <c r="J59" i="9" s="1"/>
  <c r="J61" i="9" s="1"/>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S37" i="40"/>
  <c r="AB28" i="40"/>
  <c r="W28" i="40"/>
  <c r="W34" i="40"/>
  <c r="W19" i="40"/>
  <c r="W27" i="40"/>
  <c r="S36" i="40"/>
  <c r="W37" i="40"/>
  <c r="S33" i="40"/>
  <c r="AA15" i="40"/>
  <c r="U11" i="40"/>
  <c r="S31" i="40"/>
  <c r="U15" i="40"/>
  <c r="AB17" i="40"/>
  <c r="U8" i="40"/>
  <c r="S8" i="40"/>
  <c r="AC41" i="39"/>
  <c r="U42" i="39"/>
  <c r="W25" i="39"/>
  <c r="AC25" i="39"/>
  <c r="S14" i="39"/>
  <c r="AA14" i="39"/>
  <c r="U43" i="39"/>
  <c r="AB43" i="39"/>
  <c r="AB11" i="39"/>
  <c r="U11" i="39"/>
  <c r="AA27" i="39"/>
  <c r="S27" i="39"/>
  <c r="W17" i="39"/>
  <c r="AC17" i="39"/>
  <c r="AB39" i="39"/>
  <c r="W34" i="39"/>
  <c r="U38" i="39"/>
  <c r="S8" i="39"/>
  <c r="W29" i="36"/>
  <c r="AC20" i="36"/>
  <c r="AB28" i="36"/>
  <c r="AA13" i="36"/>
  <c r="W9" i="36"/>
  <c r="W22" i="36"/>
  <c r="W23" i="36"/>
  <c r="S35" i="35"/>
  <c r="W35" i="35"/>
  <c r="AA16" i="35"/>
  <c r="AA35" i="37"/>
  <c r="W36" i="37"/>
  <c r="U36" i="37"/>
  <c r="S40" i="37"/>
  <c r="AB37" i="37"/>
  <c r="AC34" i="37"/>
  <c r="AB35" i="37"/>
  <c r="AA31" i="37"/>
  <c r="AA29" i="37"/>
  <c r="U8" i="37"/>
  <c r="AA40" i="34"/>
  <c r="AB40" i="34"/>
  <c r="W19" i="34"/>
  <c r="AA31" i="34"/>
  <c r="AA30" i="34"/>
  <c r="AB47" i="34"/>
  <c r="U25" i="34"/>
  <c r="AB36" i="34"/>
  <c r="W33" i="34"/>
  <c r="W46" i="34"/>
  <c r="AC46" i="34"/>
  <c r="U30" i="34"/>
  <c r="S37" i="34"/>
  <c r="U38" i="34"/>
  <c r="AC40" i="34"/>
  <c r="W40" i="34"/>
  <c r="AA19" i="34"/>
  <c r="S19" i="34"/>
  <c r="AA36" i="34"/>
  <c r="S36" i="34"/>
  <c r="AA8" i="34"/>
  <c r="S8" i="34"/>
  <c r="AB9" i="34"/>
  <c r="U9" i="34"/>
  <c r="S46" i="34"/>
  <c r="AA46" i="34"/>
  <c r="U32" i="34"/>
  <c r="AB32" i="34"/>
  <c r="AC43" i="34"/>
  <c r="W43" i="34"/>
  <c r="W23" i="34"/>
  <c r="AC23" i="34"/>
  <c r="AC35" i="34"/>
  <c r="W35" i="34"/>
  <c r="U39" i="33"/>
  <c r="S33" i="33"/>
  <c r="AB34" i="33"/>
  <c r="U44" i="33"/>
  <c r="AB44" i="33"/>
  <c r="AC14" i="33"/>
  <c r="W14" i="33"/>
  <c r="AC30" i="33"/>
  <c r="W30" i="33"/>
  <c r="S31" i="33"/>
  <c r="AA31" i="33"/>
  <c r="W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J17" i="21"/>
  <c r="AC17" i="21" s="1"/>
  <c r="AC19" i="21"/>
  <c r="W39" i="21"/>
  <c r="AC14" i="21"/>
  <c r="S46" i="21"/>
  <c r="H45" i="21"/>
  <c r="U45" i="21" s="1"/>
  <c r="F29" i="21"/>
  <c r="AA29" i="21" s="1"/>
  <c r="F13" i="21"/>
  <c r="AA13" i="21" s="1"/>
  <c r="AC38" i="21"/>
  <c r="H32" i="21"/>
  <c r="AB32" i="21" s="1"/>
  <c r="H9" i="21"/>
  <c r="J9" i="21"/>
  <c r="J32" i="21"/>
  <c r="W32" i="21" s="1"/>
  <c r="F32" i="21"/>
  <c r="AA32" i="21" s="1"/>
  <c r="U17" i="21"/>
  <c r="W29" i="21"/>
  <c r="S19" i="21"/>
  <c r="S9" i="21"/>
  <c r="AA9" i="21"/>
  <c r="K141" i="21"/>
  <c r="K144" i="21"/>
  <c r="K143" i="21"/>
  <c r="U27" i="21"/>
  <c r="AB25" i="21"/>
  <c r="AB44" i="21"/>
  <c r="AA30" i="21"/>
  <c r="W42" i="21"/>
  <c r="AC45" i="21"/>
  <c r="F10" i="21"/>
  <c r="AA10" i="21" s="1"/>
  <c r="K145" i="21"/>
  <c r="W25" i="21"/>
  <c r="AA15" i="21"/>
  <c r="AC26" i="21"/>
  <c r="AB29" i="21"/>
  <c r="S28" i="21"/>
  <c r="AC34" i="21"/>
  <c r="AB36" i="21"/>
  <c r="W30" i="40"/>
  <c r="C19" i="39"/>
  <c r="C15" i="40"/>
  <c r="C17" i="40"/>
  <c r="C23" i="40"/>
  <c r="C21" i="40"/>
  <c r="U30" i="40"/>
  <c r="B67" i="43"/>
  <c r="B51" i="43"/>
  <c r="B54" i="43"/>
  <c r="B58" i="43"/>
  <c r="B62" i="43"/>
  <c r="B65" i="43"/>
  <c r="B69" i="43"/>
  <c r="E4" i="4"/>
  <c r="B5" i="62" s="1"/>
  <c r="B73" i="72" s="1"/>
  <c r="C4" i="4"/>
  <c r="J32" i="39"/>
  <c r="AC32" i="39" s="1"/>
  <c r="H32" i="39"/>
  <c r="AB32" i="39" s="1"/>
  <c r="S32" i="39"/>
  <c r="AB21" i="39"/>
  <c r="U21" i="39"/>
  <c r="J19" i="37"/>
  <c r="W19" i="37" s="1"/>
  <c r="AA19" i="37"/>
  <c r="J23" i="37"/>
  <c r="G79" i="37"/>
  <c r="J10" i="37"/>
  <c r="W10" i="37" s="1"/>
  <c r="G63" i="37"/>
  <c r="H63" i="37" s="1"/>
  <c r="I63" i="37" s="1"/>
  <c r="J63" i="37" s="1"/>
  <c r="K63" i="37" s="1"/>
  <c r="L63" i="37" s="1"/>
  <c r="M63" i="37" s="1"/>
  <c r="H11" i="37"/>
  <c r="AB11" i="37" s="1"/>
  <c r="H11" i="34"/>
  <c r="U11" i="34" s="1"/>
  <c r="J10" i="34"/>
  <c r="AC10" i="34" s="1"/>
  <c r="AB41" i="33"/>
  <c r="U41" i="33"/>
  <c r="AC35" i="33"/>
  <c r="J36" i="33"/>
  <c r="W36" i="33" s="1"/>
  <c r="H36" i="33"/>
  <c r="U36" i="33" s="1"/>
  <c r="S36" i="33"/>
  <c r="W32" i="33"/>
  <c r="U27" i="33"/>
  <c r="AB27" i="33"/>
  <c r="J27" i="33"/>
  <c r="W27" i="33" s="1"/>
  <c r="U25" i="33"/>
  <c r="AB25" i="33"/>
  <c r="J25" i="33"/>
  <c r="AC25" i="33" s="1"/>
  <c r="AB23" i="33"/>
  <c r="U23" i="33"/>
  <c r="F23" i="33"/>
  <c r="H19" i="33"/>
  <c r="AB19" i="33" s="1"/>
  <c r="G81" i="33"/>
  <c r="H17" i="33"/>
  <c r="U17" i="33" s="1"/>
  <c r="F17" i="33"/>
  <c r="S17" i="33" s="1"/>
  <c r="W17" i="33"/>
  <c r="AC17" i="33"/>
  <c r="J23" i="21"/>
  <c r="W23" i="21" s="1"/>
  <c r="F85" i="21"/>
  <c r="G85" i="21" s="1"/>
  <c r="H23" i="21"/>
  <c r="U23" i="21" s="1"/>
  <c r="S13" i="21"/>
  <c r="D6" i="52"/>
  <c r="AP7" i="1"/>
  <c r="AB9" i="21"/>
  <c r="U9" i="21"/>
  <c r="W9" i="21"/>
  <c r="AC9" i="21"/>
  <c r="W23" i="37"/>
  <c r="AC23" i="37"/>
  <c r="J11" i="37"/>
  <c r="AC11" i="37" s="1"/>
  <c r="J11" i="34"/>
  <c r="W11" i="34" s="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10" i="76"/>
  <c r="AO13" i="1"/>
  <c r="M6" i="67"/>
  <c r="F38" i="67"/>
  <c r="F6" i="73"/>
  <c r="F20" i="31"/>
  <c r="F8" i="67"/>
  <c r="M26" i="67"/>
  <c r="F3" i="73"/>
  <c r="E11" i="76"/>
  <c r="F16" i="15"/>
  <c r="M28" i="67"/>
  <c r="F26" i="67"/>
  <c r="B9" i="76"/>
  <c r="F26" i="15"/>
  <c r="E8" i="76"/>
  <c r="F7" i="73"/>
  <c r="E2" i="69"/>
  <c r="J15" i="15"/>
  <c r="F4" i="73"/>
  <c r="E13" i="76"/>
  <c r="B7" i="76"/>
  <c r="E10" i="76"/>
  <c r="F13" i="15"/>
  <c r="F5" i="73"/>
  <c r="F37" i="15"/>
  <c r="M29" i="15"/>
  <c r="F43" i="15"/>
  <c r="E7" i="76"/>
  <c r="E9" i="76"/>
  <c r="B13" i="76"/>
  <c r="E12" i="76"/>
  <c r="B8" i="76"/>
  <c r="B11" i="76"/>
  <c r="B12" i="76"/>
  <c r="F7" i="67"/>
  <c r="J1" i="73" l="1"/>
  <c r="C7" i="21"/>
  <c r="C7" i="36"/>
  <c r="C46" i="36" s="1"/>
  <c r="D46" i="36" s="1"/>
  <c r="E46" i="36" s="1"/>
  <c r="F46" i="36" s="1"/>
  <c r="G46" i="36" s="1"/>
  <c r="H46" i="36" s="1"/>
  <c r="I46" i="36" s="1"/>
  <c r="G23" i="43"/>
  <c r="C23" i="43" s="1"/>
  <c r="C7" i="33"/>
  <c r="C42" i="1"/>
  <c r="C24" i="12" s="1"/>
  <c r="C7" i="34"/>
  <c r="M47" i="9"/>
  <c r="C7" i="35"/>
  <c r="C48" i="35" s="1"/>
  <c r="D48" i="35" s="1"/>
  <c r="AC25" i="37"/>
  <c r="W25" i="37"/>
  <c r="W25" i="33"/>
  <c r="S25" i="33"/>
  <c r="S17" i="37"/>
  <c r="U15" i="21"/>
  <c r="AB33" i="34"/>
  <c r="U32" i="37"/>
  <c r="AZ373" i="3"/>
  <c r="AZ362" i="3"/>
  <c r="AZ334" i="3"/>
  <c r="AZ390" i="3"/>
  <c r="AZ394" i="3"/>
  <c r="AC31" i="33"/>
  <c r="AZ570" i="3"/>
  <c r="S44" i="34"/>
  <c r="F29" i="33"/>
  <c r="J29" i="33"/>
  <c r="J14" i="34"/>
  <c r="H14" i="34"/>
  <c r="J32" i="34"/>
  <c r="F32" i="34"/>
  <c r="J24" i="35"/>
  <c r="H24" i="35"/>
  <c r="AB24" i="35" s="1"/>
  <c r="S40" i="33"/>
  <c r="AA40" i="33"/>
  <c r="BA584" i="3"/>
  <c r="AZ576" i="3"/>
  <c r="AZ560" i="3"/>
  <c r="AB23" i="21"/>
  <c r="AC27" i="33"/>
  <c r="AA23" i="37"/>
  <c r="S23" i="21"/>
  <c r="U12" i="39"/>
  <c r="AA23" i="39"/>
  <c r="AA20" i="35"/>
  <c r="AZ377" i="3"/>
  <c r="AZ361" i="3"/>
  <c r="AZ345" i="3"/>
  <c r="AZ565" i="3"/>
  <c r="AZ584" i="3"/>
  <c r="AB26" i="37"/>
  <c r="U26" i="37"/>
  <c r="S41" i="21"/>
  <c r="AA41" i="21"/>
  <c r="AZ493" i="3"/>
  <c r="AZ501" i="3"/>
  <c r="J36" i="35"/>
  <c r="AC36" i="35" s="1"/>
  <c r="H33" i="36"/>
  <c r="J33" i="36"/>
  <c r="AC33" i="36" s="1"/>
  <c r="F33" i="36"/>
  <c r="F13" i="40"/>
  <c r="H13" i="40"/>
  <c r="AZ313" i="3"/>
  <c r="AZ327" i="3"/>
  <c r="AZ309" i="3"/>
  <c r="AZ514" i="3"/>
  <c r="S34" i="39"/>
  <c r="AA34" i="39"/>
  <c r="G401" i="3"/>
  <c r="BA410" i="3"/>
  <c r="BL412" i="3"/>
  <c r="G413" i="3"/>
  <c r="BA419" i="3"/>
  <c r="BA424" i="3"/>
  <c r="BA444" i="3"/>
  <c r="BA448" i="3"/>
  <c r="BL451" i="3"/>
  <c r="BL458" i="3"/>
  <c r="BL462" i="3"/>
  <c r="G463" i="3"/>
  <c r="BA464" i="3"/>
  <c r="G467" i="3"/>
  <c r="G472" i="3"/>
  <c r="G489" i="3"/>
  <c r="BA489" i="3"/>
  <c r="G492" i="3"/>
  <c r="G318" i="3"/>
  <c r="BL350" i="3"/>
  <c r="G351" i="3"/>
  <c r="BA366" i="3"/>
  <c r="AZ366" i="3" s="1"/>
  <c r="BA374" i="3"/>
  <c r="AZ374" i="3" s="1"/>
  <c r="BA385" i="3"/>
  <c r="BA386" i="3"/>
  <c r="AZ386" i="3" s="1"/>
  <c r="G214" i="3"/>
  <c r="G220" i="3"/>
  <c r="BL227" i="3"/>
  <c r="G235" i="3"/>
  <c r="BA255" i="3"/>
  <c r="G258" i="3"/>
  <c r="G262" i="3"/>
  <c r="BL267" i="3"/>
  <c r="G283" i="3"/>
  <c r="BA291" i="3"/>
  <c r="G292" i="3"/>
  <c r="G116" i="3"/>
  <c r="BA120" i="3"/>
  <c r="AZ120" i="3" s="1"/>
  <c r="G123" i="3"/>
  <c r="G128" i="3"/>
  <c r="BL135" i="3"/>
  <c r="AZ135" i="3" s="1"/>
  <c r="BL198" i="3"/>
  <c r="G23" i="3"/>
  <c r="G27" i="3"/>
  <c r="G43" i="3"/>
  <c r="G72" i="3"/>
  <c r="BA72" i="3"/>
  <c r="BL74" i="3"/>
  <c r="G75" i="3"/>
  <c r="BL75" i="3"/>
  <c r="BL82" i="3"/>
  <c r="G88" i="3"/>
  <c r="BA105" i="3"/>
  <c r="BL110" i="3"/>
  <c r="W18" i="36"/>
  <c r="S25" i="40"/>
  <c r="D80" i="71"/>
  <c r="AA37" i="71"/>
  <c r="AA38" i="71"/>
  <c r="C59" i="71"/>
  <c r="B63" i="71"/>
  <c r="B64" i="71" s="1"/>
  <c r="S64" i="71" s="1"/>
  <c r="S72" i="71"/>
  <c r="G586" i="3"/>
  <c r="F6" i="1"/>
  <c r="G408" i="3"/>
  <c r="BL419" i="3"/>
  <c r="G422" i="3"/>
  <c r="BL447" i="3"/>
  <c r="BA480" i="3"/>
  <c r="BL484" i="3"/>
  <c r="BL488" i="3"/>
  <c r="G491" i="3"/>
  <c r="G358" i="3"/>
  <c r="G362" i="3"/>
  <c r="G366" i="3"/>
  <c r="G382" i="3"/>
  <c r="BL383" i="3"/>
  <c r="AZ383" i="3" s="1"/>
  <c r="G392" i="3"/>
  <c r="G397" i="3"/>
  <c r="G225" i="3"/>
  <c r="G229" i="3"/>
  <c r="G233" i="3"/>
  <c r="BA240" i="3"/>
  <c r="BL242" i="3"/>
  <c r="BL243" i="3"/>
  <c r="G244" i="3"/>
  <c r="G249" i="3"/>
  <c r="BA250" i="3"/>
  <c r="G253" i="3"/>
  <c r="BA265" i="3"/>
  <c r="G266" i="3"/>
  <c r="G270" i="3"/>
  <c r="BA271" i="3"/>
  <c r="BL271" i="3"/>
  <c r="BA275" i="3"/>
  <c r="G287" i="3"/>
  <c r="G295" i="3"/>
  <c r="BA298" i="3"/>
  <c r="AZ298" i="3" s="1"/>
  <c r="G300" i="3"/>
  <c r="G135" i="3"/>
  <c r="BA145" i="3"/>
  <c r="BL173" i="3"/>
  <c r="G178" i="3"/>
  <c r="BL181" i="3"/>
  <c r="G202" i="3"/>
  <c r="BA205" i="3"/>
  <c r="AZ205" i="3" s="1"/>
  <c r="BA22" i="3"/>
  <c r="BA30" i="3"/>
  <c r="BA50" i="3"/>
  <c r="BA62" i="3"/>
  <c r="G65" i="3"/>
  <c r="G69" i="3"/>
  <c r="BA87" i="3"/>
  <c r="G98" i="3"/>
  <c r="G102" i="3"/>
  <c r="G106" i="3"/>
  <c r="BL106" i="3"/>
  <c r="BA108" i="3"/>
  <c r="G110" i="3"/>
  <c r="C29" i="39"/>
  <c r="AZ499" i="3"/>
  <c r="BL569" i="3"/>
  <c r="AZ569" i="3" s="1"/>
  <c r="AZ510" i="3"/>
  <c r="AZ534" i="3"/>
  <c r="G585" i="3"/>
  <c r="H24" i="36"/>
  <c r="H39" i="40"/>
  <c r="U39" i="40" s="1"/>
  <c r="G570" i="3"/>
  <c r="G556" i="3"/>
  <c r="G550" i="3"/>
  <c r="BL549" i="3"/>
  <c r="G549" i="3"/>
  <c r="BA548" i="3"/>
  <c r="G543" i="3"/>
  <c r="G541" i="3"/>
  <c r="G540" i="3"/>
  <c r="BA537" i="3"/>
  <c r="G535" i="3"/>
  <c r="BI5" i="3"/>
  <c r="G534" i="3"/>
  <c r="BL533" i="3"/>
  <c r="G533" i="3"/>
  <c r="G532" i="3"/>
  <c r="BA529" i="3"/>
  <c r="C43" i="71"/>
  <c r="C44" i="71" s="1"/>
  <c r="D44" i="71" s="1"/>
  <c r="B40" i="71"/>
  <c r="S40" i="71" s="1"/>
  <c r="C63" i="71"/>
  <c r="BL427" i="3"/>
  <c r="G430" i="3"/>
  <c r="BA469" i="3"/>
  <c r="BL472" i="3"/>
  <c r="G474" i="3"/>
  <c r="BL316" i="3"/>
  <c r="BA212" i="3"/>
  <c r="G232" i="3"/>
  <c r="BA233" i="3"/>
  <c r="BL235" i="3"/>
  <c r="BL236" i="3"/>
  <c r="BA257" i="3"/>
  <c r="BL259" i="3"/>
  <c r="BA260" i="3"/>
  <c r="BA132" i="3"/>
  <c r="AZ132" i="3" s="1"/>
  <c r="BA185" i="3"/>
  <c r="BL191" i="3"/>
  <c r="AZ191" i="3" s="1"/>
  <c r="BA193" i="3"/>
  <c r="G205" i="3"/>
  <c r="G44" i="3"/>
  <c r="G52" i="3"/>
  <c r="BL52" i="3"/>
  <c r="BL54" i="3"/>
  <c r="BA77" i="3"/>
  <c r="BL91" i="3"/>
  <c r="BL99" i="3"/>
  <c r="AC21" i="33"/>
  <c r="C40" i="68"/>
  <c r="C21" i="68"/>
  <c r="C18" i="9"/>
  <c r="D18" i="9" s="1"/>
  <c r="S30" i="40"/>
  <c r="AZ389" i="3"/>
  <c r="S22" i="36"/>
  <c r="AA22" i="36"/>
  <c r="S45" i="33"/>
  <c r="W13" i="40"/>
  <c r="AC13" i="40"/>
  <c r="AC13" i="21"/>
  <c r="W13" i="21"/>
  <c r="H31" i="21"/>
  <c r="F31" i="21"/>
  <c r="AC28" i="35"/>
  <c r="W28" i="35"/>
  <c r="J11" i="36"/>
  <c r="AC11" i="36" s="1"/>
  <c r="H11" i="36"/>
  <c r="U11" i="36" s="1"/>
  <c r="F11" i="36"/>
  <c r="H25" i="36"/>
  <c r="J25" i="36"/>
  <c r="F25" i="36"/>
  <c r="F32" i="36"/>
  <c r="J32" i="36"/>
  <c r="W32" i="36" s="1"/>
  <c r="BL554" i="3"/>
  <c r="BA554" i="3"/>
  <c r="BA553" i="3"/>
  <c r="BL552" i="3"/>
  <c r="BA552" i="3"/>
  <c r="AZ552" i="3" s="1"/>
  <c r="BA549" i="3"/>
  <c r="AZ549" i="3" s="1"/>
  <c r="BA547" i="3"/>
  <c r="BL546" i="3"/>
  <c r="BA546" i="3"/>
  <c r="BL544" i="3"/>
  <c r="BA544" i="3"/>
  <c r="BA543" i="3"/>
  <c r="BA542" i="3"/>
  <c r="BA541" i="3"/>
  <c r="BL540" i="3"/>
  <c r="BA539" i="3"/>
  <c r="BL538" i="3"/>
  <c r="BA538" i="3"/>
  <c r="BA536" i="3"/>
  <c r="AZ536" i="3" s="1"/>
  <c r="BA535" i="3"/>
  <c r="BA533" i="3"/>
  <c r="AZ533" i="3" s="1"/>
  <c r="BL532" i="3"/>
  <c r="BM5" i="3"/>
  <c r="BH5" i="3"/>
  <c r="BA532" i="3"/>
  <c r="AZ532" i="3" s="1"/>
  <c r="BA531" i="3"/>
  <c r="BL530" i="3"/>
  <c r="BP5" i="3"/>
  <c r="BK5" i="3"/>
  <c r="BG5" i="3"/>
  <c r="BA530" i="3"/>
  <c r="AZ530" i="3" s="1"/>
  <c r="BC5" i="3"/>
  <c r="BT5" i="3"/>
  <c r="BL529" i="3"/>
  <c r="BO5" i="3"/>
  <c r="BF5" i="3"/>
  <c r="BB5" i="3"/>
  <c r="BA527" i="3"/>
  <c r="AC5" i="3"/>
  <c r="G527" i="3"/>
  <c r="BR5" i="3"/>
  <c r="BL526" i="3"/>
  <c r="BN5" i="3"/>
  <c r="G29" i="6" s="1"/>
  <c r="BA526" i="3"/>
  <c r="BE5" i="3"/>
  <c r="W17" i="21"/>
  <c r="W25" i="35"/>
  <c r="AC25" i="35"/>
  <c r="U14" i="33"/>
  <c r="AB14" i="33"/>
  <c r="W29" i="37"/>
  <c r="AC29" i="37"/>
  <c r="AC30" i="21"/>
  <c r="W30" i="21"/>
  <c r="W17" i="40"/>
  <c r="AC17" i="40"/>
  <c r="W28" i="34"/>
  <c r="AC28" i="34"/>
  <c r="U17" i="34"/>
  <c r="AB17" i="34"/>
  <c r="AC23" i="40"/>
  <c r="W23" i="40"/>
  <c r="AB39" i="37"/>
  <c r="U39" i="37"/>
  <c r="AB43" i="21"/>
  <c r="U43" i="21"/>
  <c r="BA587" i="3"/>
  <c r="BA586" i="3"/>
  <c r="B99" i="43"/>
  <c r="B56" i="43"/>
  <c r="AC33" i="33"/>
  <c r="W33" i="33"/>
  <c r="AB38" i="33"/>
  <c r="U38" i="33"/>
  <c r="F9" i="33"/>
  <c r="AA9" i="33" s="1"/>
  <c r="J9" i="33"/>
  <c r="H9" i="33"/>
  <c r="F28" i="33"/>
  <c r="J28" i="33"/>
  <c r="H28" i="33"/>
  <c r="AC8" i="34"/>
  <c r="W8" i="34"/>
  <c r="H12" i="33"/>
  <c r="U12" i="33" s="1"/>
  <c r="J12" i="33"/>
  <c r="H30" i="33"/>
  <c r="F30" i="33"/>
  <c r="F46" i="33"/>
  <c r="H46" i="33"/>
  <c r="H29" i="34"/>
  <c r="J29" i="34"/>
  <c r="F29" i="34"/>
  <c r="H45" i="34"/>
  <c r="F45" i="34"/>
  <c r="J45" i="34"/>
  <c r="F13" i="35"/>
  <c r="J13" i="35"/>
  <c r="H13" i="35"/>
  <c r="F25" i="35"/>
  <c r="H25" i="35"/>
  <c r="AC22" i="35"/>
  <c r="W22" i="35"/>
  <c r="U32" i="39"/>
  <c r="AA12" i="33"/>
  <c r="S17" i="21"/>
  <c r="W46" i="33"/>
  <c r="S32" i="33"/>
  <c r="U13" i="36"/>
  <c r="AZ378" i="3"/>
  <c r="S14" i="40"/>
  <c r="BL539" i="3"/>
  <c r="AZ539" i="3" s="1"/>
  <c r="AA27" i="37"/>
  <c r="S27" i="37"/>
  <c r="AB13" i="37"/>
  <c r="U13" i="37"/>
  <c r="AC47" i="34"/>
  <c r="W47" i="34"/>
  <c r="H32" i="36"/>
  <c r="U46" i="34"/>
  <c r="AB46" i="34"/>
  <c r="AB42" i="34"/>
  <c r="AC41" i="33"/>
  <c r="J14" i="40"/>
  <c r="H14" i="40"/>
  <c r="S35" i="33"/>
  <c r="AA35" i="33"/>
  <c r="U19" i="33"/>
  <c r="AC17" i="37"/>
  <c r="W31" i="21"/>
  <c r="S24" i="35"/>
  <c r="U41" i="39"/>
  <c r="W15" i="21"/>
  <c r="S43" i="34"/>
  <c r="AA12" i="39"/>
  <c r="BL527" i="3"/>
  <c r="BA528" i="3"/>
  <c r="BL528" i="3"/>
  <c r="AA43" i="39"/>
  <c r="S43" i="39"/>
  <c r="AA16" i="36"/>
  <c r="S16" i="36"/>
  <c r="AA35" i="34"/>
  <c r="S35" i="34"/>
  <c r="F28" i="37"/>
  <c r="J28" i="37"/>
  <c r="H38" i="37"/>
  <c r="J38" i="37"/>
  <c r="F38" i="37"/>
  <c r="AA40" i="39"/>
  <c r="S40" i="39"/>
  <c r="F13" i="39"/>
  <c r="J13" i="39"/>
  <c r="H13" i="39"/>
  <c r="AZ372" i="3"/>
  <c r="AZ347" i="3"/>
  <c r="AZ344" i="3"/>
  <c r="AZ376" i="3"/>
  <c r="AA11" i="39"/>
  <c r="AZ519" i="3"/>
  <c r="AZ521" i="3"/>
  <c r="BL541" i="3"/>
  <c r="AZ541" i="3" s="1"/>
  <c r="BL547" i="3"/>
  <c r="AZ547" i="3" s="1"/>
  <c r="BL553" i="3"/>
  <c r="AZ498" i="3"/>
  <c r="S14" i="37"/>
  <c r="BL586" i="3"/>
  <c r="BA585" i="3"/>
  <c r="AA40" i="21"/>
  <c r="S40" i="21"/>
  <c r="F9" i="34"/>
  <c r="AA9" i="34" s="1"/>
  <c r="J9" i="34"/>
  <c r="BL580" i="3"/>
  <c r="BL564" i="3"/>
  <c r="BL542" i="3"/>
  <c r="AZ542" i="3" s="1"/>
  <c r="M54" i="43"/>
  <c r="N54" i="43" s="1"/>
  <c r="K54" i="43"/>
  <c r="J54" i="43" s="1"/>
  <c r="AZ310" i="3"/>
  <c r="AZ380" i="3"/>
  <c r="BL535" i="3"/>
  <c r="BL555" i="3"/>
  <c r="AZ516" i="3"/>
  <c r="B79" i="43"/>
  <c r="F26" i="33"/>
  <c r="H26" i="33"/>
  <c r="J23" i="35"/>
  <c r="H23" i="35"/>
  <c r="H23" i="36"/>
  <c r="F23" i="36"/>
  <c r="AC32" i="40"/>
  <c r="W32" i="40"/>
  <c r="G582" i="3"/>
  <c r="G566" i="3"/>
  <c r="G558" i="3"/>
  <c r="AA39" i="39"/>
  <c r="AA33" i="34"/>
  <c r="AZ14" i="3"/>
  <c r="AZ379" i="3"/>
  <c r="AZ342" i="3"/>
  <c r="AZ337" i="3"/>
  <c r="AZ508" i="3"/>
  <c r="BL531" i="3"/>
  <c r="AZ531" i="3" s="1"/>
  <c r="BL537" i="3"/>
  <c r="BL543" i="3"/>
  <c r="BL551" i="3"/>
  <c r="AZ573" i="3"/>
  <c r="AZ571" i="3"/>
  <c r="AZ518" i="3"/>
  <c r="AZ512" i="3"/>
  <c r="S28" i="34"/>
  <c r="S29" i="35"/>
  <c r="AA29" i="35"/>
  <c r="U23" i="34"/>
  <c r="AB23" i="34"/>
  <c r="J27" i="21"/>
  <c r="F27" i="21"/>
  <c r="F12" i="34"/>
  <c r="S12" i="34" s="1"/>
  <c r="U45" i="33"/>
  <c r="AB45" i="33"/>
  <c r="H45" i="39"/>
  <c r="F45" i="39"/>
  <c r="AA38" i="34"/>
  <c r="S38" i="34"/>
  <c r="G14" i="3"/>
  <c r="BL16" i="3"/>
  <c r="AZ16" i="3" s="1"/>
  <c r="A24" i="51"/>
  <c r="B18" i="72" s="1"/>
  <c r="BL399" i="3"/>
  <c r="G400" i="3"/>
  <c r="BL402" i="3"/>
  <c r="G405" i="3"/>
  <c r="G407" i="3"/>
  <c r="BA407" i="3"/>
  <c r="G410" i="3"/>
  <c r="G411" i="3"/>
  <c r="BL411" i="3"/>
  <c r="BA413" i="3"/>
  <c r="BL423" i="3"/>
  <c r="G426" i="3"/>
  <c r="BL430" i="3"/>
  <c r="G431" i="3"/>
  <c r="G440" i="3"/>
  <c r="BL443" i="3"/>
  <c r="G448" i="3"/>
  <c r="G449" i="3"/>
  <c r="BL449" i="3"/>
  <c r="BL450" i="3"/>
  <c r="BA452" i="3"/>
  <c r="BL452" i="3"/>
  <c r="G454" i="3"/>
  <c r="G455" i="3"/>
  <c r="G460" i="3"/>
  <c r="G465" i="3"/>
  <c r="G466" i="3"/>
  <c r="G470" i="3"/>
  <c r="BL474" i="3"/>
  <c r="G475" i="3"/>
  <c r="BL479" i="3"/>
  <c r="G485" i="3"/>
  <c r="BA487" i="3"/>
  <c r="G490" i="3"/>
  <c r="BA319" i="3"/>
  <c r="AZ319" i="3" s="1"/>
  <c r="BA331" i="3"/>
  <c r="AZ331" i="3" s="1"/>
  <c r="G343" i="3"/>
  <c r="G347" i="3"/>
  <c r="BA350" i="3"/>
  <c r="AZ350" i="3" s="1"/>
  <c r="BA354" i="3"/>
  <c r="BL381" i="3"/>
  <c r="AZ381" i="3" s="1"/>
  <c r="BA214" i="3"/>
  <c r="BA217" i="3"/>
  <c r="BL219" i="3"/>
  <c r="BA229" i="3"/>
  <c r="BL229" i="3"/>
  <c r="BA231" i="3"/>
  <c r="BL231" i="3"/>
  <c r="BA248" i="3"/>
  <c r="BL260" i="3"/>
  <c r="BA267" i="3"/>
  <c r="AZ267" i="3" s="1"/>
  <c r="BA269" i="3"/>
  <c r="AZ269" i="3" s="1"/>
  <c r="BL272" i="3"/>
  <c r="G281" i="3"/>
  <c r="BL283" i="3"/>
  <c r="AZ283" i="3" s="1"/>
  <c r="BL284" i="3"/>
  <c r="BA288" i="3"/>
  <c r="BL295" i="3"/>
  <c r="BA301" i="3"/>
  <c r="D59" i="71"/>
  <c r="C60" i="71"/>
  <c r="BD5" i="3"/>
  <c r="F11" i="1"/>
  <c r="G11" i="1" s="1"/>
  <c r="G44" i="43"/>
  <c r="BA402" i="3"/>
  <c r="BA406" i="3"/>
  <c r="AZ406" i="3" s="1"/>
  <c r="BL409" i="3"/>
  <c r="BL413" i="3"/>
  <c r="G415" i="3"/>
  <c r="BA420" i="3"/>
  <c r="BA422" i="3"/>
  <c r="G438" i="3"/>
  <c r="BL438" i="3"/>
  <c r="BL439" i="3"/>
  <c r="BA443" i="3"/>
  <c r="AZ443" i="3" s="1"/>
  <c r="G452" i="3"/>
  <c r="BL456" i="3"/>
  <c r="G459" i="3"/>
  <c r="G464" i="3"/>
  <c r="BL465" i="3"/>
  <c r="BL469" i="3"/>
  <c r="AZ469" i="3" s="1"/>
  <c r="BA470" i="3"/>
  <c r="BA476" i="3"/>
  <c r="G478" i="3"/>
  <c r="BA485" i="3"/>
  <c r="G488" i="3"/>
  <c r="G311" i="3"/>
  <c r="BL314" i="3"/>
  <c r="AZ314" i="3" s="1"/>
  <c r="G315" i="3"/>
  <c r="BL324" i="3"/>
  <c r="AZ324" i="3" s="1"/>
  <c r="BL328" i="3"/>
  <c r="AZ328" i="3" s="1"/>
  <c r="G329" i="3"/>
  <c r="BA349" i="3"/>
  <c r="AZ349" i="3" s="1"/>
  <c r="BL359" i="3"/>
  <c r="AZ359" i="3" s="1"/>
  <c r="BL367" i="3"/>
  <c r="BL375" i="3"/>
  <c r="AZ375" i="3" s="1"/>
  <c r="BA392" i="3"/>
  <c r="AZ392" i="3" s="1"/>
  <c r="BL208" i="3"/>
  <c r="G210" i="3"/>
  <c r="BA216" i="3"/>
  <c r="AZ216" i="3" s="1"/>
  <c r="BL224" i="3"/>
  <c r="G228" i="3"/>
  <c r="BA228" i="3"/>
  <c r="BL230" i="3"/>
  <c r="G231" i="3"/>
  <c r="BA235" i="3"/>
  <c r="AZ235" i="3" s="1"/>
  <c r="BL237" i="3"/>
  <c r="BL238" i="3"/>
  <c r="G239" i="3"/>
  <c r="G246" i="3"/>
  <c r="BA247" i="3"/>
  <c r="AZ247" i="3" s="1"/>
  <c r="BL247" i="3"/>
  <c r="BA251" i="3"/>
  <c r="BL251" i="3"/>
  <c r="BL254" i="3"/>
  <c r="G260" i="3"/>
  <c r="G267" i="3"/>
  <c r="G269" i="3"/>
  <c r="G276" i="3"/>
  <c r="G302" i="3"/>
  <c r="BA177" i="3"/>
  <c r="BA201" i="3"/>
  <c r="A15" i="62"/>
  <c r="B61" i="72" s="1"/>
  <c r="AZ458" i="3"/>
  <c r="BA293" i="3"/>
  <c r="AB39" i="40"/>
  <c r="J24" i="36"/>
  <c r="BL400" i="3"/>
  <c r="AZ400" i="3" s="1"/>
  <c r="G403" i="3"/>
  <c r="BL408" i="3"/>
  <c r="BL416" i="3"/>
  <c r="G419" i="3"/>
  <c r="BA431" i="3"/>
  <c r="BL431" i="3"/>
  <c r="BL440" i="3"/>
  <c r="BA441" i="3"/>
  <c r="BL445" i="3"/>
  <c r="BL446" i="3"/>
  <c r="BA451" i="3"/>
  <c r="AZ451" i="3" s="1"/>
  <c r="BL455" i="3"/>
  <c r="BA456" i="3"/>
  <c r="BA462" i="3"/>
  <c r="AZ462" i="3" s="1"/>
  <c r="BA463" i="3"/>
  <c r="BL467" i="3"/>
  <c r="BL468" i="3"/>
  <c r="BL470" i="3"/>
  <c r="BA473" i="3"/>
  <c r="BA477" i="3"/>
  <c r="BA484" i="3"/>
  <c r="AZ484" i="3" s="1"/>
  <c r="BL487" i="3"/>
  <c r="BL490" i="3"/>
  <c r="BL308" i="3"/>
  <c r="AZ308" i="3" s="1"/>
  <c r="BL317" i="3"/>
  <c r="BL365" i="3"/>
  <c r="AZ365" i="3" s="1"/>
  <c r="BL395" i="3"/>
  <c r="BL211" i="3"/>
  <c r="BA218" i="3"/>
  <c r="BL218" i="3"/>
  <c r="BA220" i="3"/>
  <c r="BL220" i="3"/>
  <c r="BL221" i="3"/>
  <c r="BA225" i="3"/>
  <c r="BA227" i="3"/>
  <c r="AZ227" i="3" s="1"/>
  <c r="BL233" i="3"/>
  <c r="AZ233" i="3" s="1"/>
  <c r="BA249" i="3"/>
  <c r="BL249" i="3"/>
  <c r="BL252" i="3"/>
  <c r="BA253" i="3"/>
  <c r="BL262" i="3"/>
  <c r="BL263" i="3"/>
  <c r="BA270" i="3"/>
  <c r="BA274" i="3"/>
  <c r="G291" i="3"/>
  <c r="BL122" i="3"/>
  <c r="BL123" i="3"/>
  <c r="AZ123" i="3" s="1"/>
  <c r="BA125" i="3"/>
  <c r="BA134" i="3"/>
  <c r="BL134" i="3"/>
  <c r="BL137" i="3"/>
  <c r="G143" i="3"/>
  <c r="BA149" i="3"/>
  <c r="G158" i="3"/>
  <c r="BL161" i="3"/>
  <c r="G162" i="3"/>
  <c r="BL167" i="3"/>
  <c r="AZ167" i="3" s="1"/>
  <c r="G175" i="3"/>
  <c r="BA194" i="3"/>
  <c r="G18" i="3"/>
  <c r="G26" i="3"/>
  <c r="BL34" i="3"/>
  <c r="BA36" i="3"/>
  <c r="BL38" i="3"/>
  <c r="BA39" i="3"/>
  <c r="G42" i="3"/>
  <c r="BA43" i="3"/>
  <c r="G46" i="3"/>
  <c r="BA55" i="3"/>
  <c r="BL55" i="3"/>
  <c r="G57" i="3"/>
  <c r="BA59" i="3"/>
  <c r="G61" i="3"/>
  <c r="BL61" i="3"/>
  <c r="BA67" i="3"/>
  <c r="G71" i="3"/>
  <c r="BL76" i="3"/>
  <c r="BA88" i="3"/>
  <c r="BA97" i="3"/>
  <c r="AZ97" i="3" s="1"/>
  <c r="BL97" i="3"/>
  <c r="G99" i="3"/>
  <c r="BA110" i="3"/>
  <c r="AZ110" i="3" s="1"/>
  <c r="AC21" i="37"/>
  <c r="S21" i="33"/>
  <c r="W29" i="39"/>
  <c r="E66" i="71"/>
  <c r="Q68" i="71"/>
  <c r="U68" i="71"/>
  <c r="N68" i="71"/>
  <c r="E55" i="71"/>
  <c r="E56" i="71" s="1"/>
  <c r="U56" i="71" s="1"/>
  <c r="BA128" i="3"/>
  <c r="AZ128" i="3" s="1"/>
  <c r="BL178" i="3"/>
  <c r="BA180" i="3"/>
  <c r="AZ180" i="3" s="1"/>
  <c r="BL182" i="3"/>
  <c r="G183" i="3"/>
  <c r="BL186" i="3"/>
  <c r="BA188" i="3"/>
  <c r="AZ188" i="3" s="1"/>
  <c r="G195" i="3"/>
  <c r="BA196" i="3"/>
  <c r="AZ196" i="3" s="1"/>
  <c r="G206" i="3"/>
  <c r="BA207" i="3"/>
  <c r="G20" i="3"/>
  <c r="BL20" i="3"/>
  <c r="BA21" i="3"/>
  <c r="BL23" i="3"/>
  <c r="BA26" i="3"/>
  <c r="G28" i="3"/>
  <c r="BL28" i="3"/>
  <c r="BA29" i="3"/>
  <c r="G32" i="3"/>
  <c r="G33" i="3"/>
  <c r="BA33" i="3"/>
  <c r="BA47" i="3"/>
  <c r="BL47" i="3"/>
  <c r="G49" i="3"/>
  <c r="G50" i="3"/>
  <c r="G54" i="3"/>
  <c r="BA65" i="3"/>
  <c r="G81" i="3"/>
  <c r="BA92" i="3"/>
  <c r="BA95" i="3"/>
  <c r="BL103" i="3"/>
  <c r="G105" i="3"/>
  <c r="C35" i="71"/>
  <c r="X26" i="71"/>
  <c r="AB34" i="71"/>
  <c r="Y29" i="71"/>
  <c r="Z29" i="71" s="1"/>
  <c r="B67" i="71"/>
  <c r="B75" i="71"/>
  <c r="B74" i="71" s="1"/>
  <c r="BL274" i="3"/>
  <c r="G277" i="3"/>
  <c r="BL278" i="3"/>
  <c r="BA280" i="3"/>
  <c r="AZ280" i="3" s="1"/>
  <c r="G282" i="3"/>
  <c r="BA286" i="3"/>
  <c r="AZ286" i="3" s="1"/>
  <c r="BL286" i="3"/>
  <c r="BA294" i="3"/>
  <c r="G297" i="3"/>
  <c r="G299" i="3"/>
  <c r="BL301" i="3"/>
  <c r="BL302" i="3"/>
  <c r="G126" i="3"/>
  <c r="BL127" i="3"/>
  <c r="AZ127" i="3" s="1"/>
  <c r="G130" i="3"/>
  <c r="G144" i="3"/>
  <c r="BA146" i="3"/>
  <c r="AZ146" i="3" s="1"/>
  <c r="BA150" i="3"/>
  <c r="BL158" i="3"/>
  <c r="G159" i="3"/>
  <c r="G163" i="3"/>
  <c r="BA168" i="3"/>
  <c r="AZ168" i="3" s="1"/>
  <c r="BL175" i="3"/>
  <c r="AZ175" i="3" s="1"/>
  <c r="G176" i="3"/>
  <c r="G190" i="3"/>
  <c r="BA25" i="3"/>
  <c r="BA40" i="3"/>
  <c r="BL44" i="3"/>
  <c r="G59" i="3"/>
  <c r="G63" i="3"/>
  <c r="G64" i="3"/>
  <c r="BA64" i="3"/>
  <c r="G68" i="3"/>
  <c r="BA68" i="3"/>
  <c r="G73" i="3"/>
  <c r="BL73" i="3"/>
  <c r="BA74" i="3"/>
  <c r="AZ74" i="3" s="1"/>
  <c r="G80" i="3"/>
  <c r="BA80" i="3"/>
  <c r="G84" i="3"/>
  <c r="BL84" i="3"/>
  <c r="BA91" i="3"/>
  <c r="AZ91" i="3" s="1"/>
  <c r="BL93" i="3"/>
  <c r="G95" i="3"/>
  <c r="BL101" i="3"/>
  <c r="BL102" i="3"/>
  <c r="BA109" i="3"/>
  <c r="F3" i="35"/>
  <c r="J51" i="15"/>
  <c r="D72" i="71"/>
  <c r="C31" i="71"/>
  <c r="B43" i="71"/>
  <c r="B44" i="71" s="1"/>
  <c r="S44" i="71" s="1"/>
  <c r="B55" i="71"/>
  <c r="B56" i="71" s="1"/>
  <c r="S56" i="71" s="1"/>
  <c r="V68" i="71"/>
  <c r="F71" i="71"/>
  <c r="F70" i="71" s="1"/>
  <c r="A118" i="9"/>
  <c r="A2" i="9"/>
  <c r="F34" i="15"/>
  <c r="F62" i="15" s="1"/>
  <c r="M20" i="67"/>
  <c r="F34" i="67"/>
  <c r="F62" i="67" s="1"/>
  <c r="B41" i="1"/>
  <c r="F30" i="11" s="1"/>
  <c r="C48" i="11" s="1"/>
  <c r="D22" i="15"/>
  <c r="D23" i="15"/>
  <c r="BA13" i="3"/>
  <c r="B57" i="43"/>
  <c r="B77" i="43"/>
  <c r="B75" i="43"/>
  <c r="B68" i="43"/>
  <c r="AB17" i="37"/>
  <c r="AZ387" i="3"/>
  <c r="AZ338" i="3"/>
  <c r="AZ371" i="3"/>
  <c r="AZ305" i="3"/>
  <c r="AZ360" i="3"/>
  <c r="AZ529" i="3"/>
  <c r="AZ537" i="3"/>
  <c r="AZ526" i="3"/>
  <c r="AZ546" i="3"/>
  <c r="AZ564" i="3"/>
  <c r="AZ580" i="3"/>
  <c r="AA14" i="33"/>
  <c r="U34" i="34"/>
  <c r="AC27" i="35"/>
  <c r="W27" i="35"/>
  <c r="H12" i="36"/>
  <c r="F12" i="36"/>
  <c r="J12" i="36"/>
  <c r="J34" i="36"/>
  <c r="W34" i="36" s="1"/>
  <c r="H34" i="36"/>
  <c r="F34" i="36"/>
  <c r="AC31" i="40"/>
  <c r="W31" i="40"/>
  <c r="AC23" i="21"/>
  <c r="M18" i="15"/>
  <c r="S39" i="33"/>
  <c r="S32" i="37"/>
  <c r="AA34" i="33"/>
  <c r="S15" i="39"/>
  <c r="U37" i="39"/>
  <c r="AC34" i="33"/>
  <c r="F29" i="6"/>
  <c r="AZ391" i="3"/>
  <c r="AZ318" i="3"/>
  <c r="AZ364" i="3"/>
  <c r="AZ329" i="3"/>
  <c r="AZ304" i="3"/>
  <c r="AZ306" i="3"/>
  <c r="AZ535" i="3"/>
  <c r="AZ577" i="3"/>
  <c r="AZ557" i="3"/>
  <c r="AZ513" i="3"/>
  <c r="AZ575" i="3"/>
  <c r="AZ528" i="3"/>
  <c r="AZ566" i="3"/>
  <c r="AZ574" i="3"/>
  <c r="AZ582" i="3"/>
  <c r="AZ540" i="3"/>
  <c r="AZ502" i="3"/>
  <c r="W31" i="34"/>
  <c r="B72" i="43"/>
  <c r="C15" i="39"/>
  <c r="U27" i="34"/>
  <c r="AC39" i="34"/>
  <c r="AB36" i="33"/>
  <c r="W32" i="39"/>
  <c r="U32" i="21"/>
  <c r="S32" i="21"/>
  <c r="AB45" i="21"/>
  <c r="AA19" i="33"/>
  <c r="S21" i="39"/>
  <c r="F54" i="9"/>
  <c r="S39" i="40"/>
  <c r="F30" i="68"/>
  <c r="F48" i="68" s="1"/>
  <c r="AC37" i="33"/>
  <c r="U19" i="34"/>
  <c r="S20" i="36"/>
  <c r="AB31" i="40"/>
  <c r="AA17" i="33"/>
  <c r="S37" i="21"/>
  <c r="F30" i="69"/>
  <c r="F48" i="69" s="1"/>
  <c r="F31" i="12"/>
  <c r="U19" i="37"/>
  <c r="W32" i="37"/>
  <c r="U24" i="35"/>
  <c r="AB20" i="35"/>
  <c r="U32" i="40"/>
  <c r="S37" i="37"/>
  <c r="AA19" i="40"/>
  <c r="AZ357" i="3"/>
  <c r="AZ322" i="3"/>
  <c r="AA25" i="21"/>
  <c r="AZ568" i="3"/>
  <c r="U12" i="35"/>
  <c r="AB12" i="35"/>
  <c r="AB34" i="35"/>
  <c r="U34" i="35"/>
  <c r="J39" i="37"/>
  <c r="F39" i="37"/>
  <c r="S39" i="37" s="1"/>
  <c r="H38" i="40"/>
  <c r="F38" i="40"/>
  <c r="J38" i="40"/>
  <c r="AZ579" i="3"/>
  <c r="BL587" i="3"/>
  <c r="AZ587" i="3" s="1"/>
  <c r="AC28" i="36"/>
  <c r="W28" i="36"/>
  <c r="H31" i="39"/>
  <c r="J31" i="39"/>
  <c r="J37" i="39"/>
  <c r="F37" i="39"/>
  <c r="AA38" i="39"/>
  <c r="S38" i="39"/>
  <c r="J36" i="39"/>
  <c r="AC36" i="39" s="1"/>
  <c r="H36" i="39"/>
  <c r="F36" i="39"/>
  <c r="AC9" i="34"/>
  <c r="W9" i="34"/>
  <c r="S9" i="40"/>
  <c r="AA9" i="40"/>
  <c r="AZ476" i="3"/>
  <c r="F12" i="35"/>
  <c r="J12" i="35"/>
  <c r="AB30" i="37"/>
  <c r="U30" i="37"/>
  <c r="H44" i="39"/>
  <c r="J44" i="39"/>
  <c r="AA31" i="35"/>
  <c r="S31" i="35"/>
  <c r="BL585" i="3"/>
  <c r="AZ585" i="3" s="1"/>
  <c r="H12" i="34"/>
  <c r="AB31" i="36"/>
  <c r="U31" i="36"/>
  <c r="H25" i="37"/>
  <c r="F25" i="37"/>
  <c r="U8" i="39"/>
  <c r="AB8" i="39"/>
  <c r="U30" i="36"/>
  <c r="AB30" i="36"/>
  <c r="G574" i="3"/>
  <c r="AZ407" i="3"/>
  <c r="G551" i="3"/>
  <c r="BL550" i="3"/>
  <c r="G542" i="3"/>
  <c r="BL15" i="3"/>
  <c r="AZ15" i="3" s="1"/>
  <c r="BA398" i="3"/>
  <c r="BA399" i="3"/>
  <c r="AZ399" i="3" s="1"/>
  <c r="BL401" i="3"/>
  <c r="BL404" i="3"/>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G477" i="3"/>
  <c r="BA401" i="3"/>
  <c r="AZ401" i="3" s="1"/>
  <c r="BA403" i="3"/>
  <c r="BA404" i="3"/>
  <c r="BA405" i="3"/>
  <c r="AZ405" i="3" s="1"/>
  <c r="BL410" i="3"/>
  <c r="G412" i="3"/>
  <c r="AZ419" i="3"/>
  <c r="AZ444" i="3"/>
  <c r="AZ448" i="3"/>
  <c r="AZ464" i="3"/>
  <c r="AZ466" i="3"/>
  <c r="BL473" i="3"/>
  <c r="AZ473" i="3" s="1"/>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G288" i="3"/>
  <c r="BL292" i="3"/>
  <c r="BA114" i="3"/>
  <c r="BL163" i="3"/>
  <c r="AZ163" i="3" s="1"/>
  <c r="BA189" i="3"/>
  <c r="BL195" i="3"/>
  <c r="AZ195" i="3" s="1"/>
  <c r="BL24" i="3"/>
  <c r="G41"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478" i="3"/>
  <c r="BA481" i="3"/>
  <c r="G484" i="3"/>
  <c r="BA488" i="3"/>
  <c r="AZ488" i="3" s="1"/>
  <c r="BA491" i="3"/>
  <c r="AZ491" i="3" s="1"/>
  <c r="BA335" i="3"/>
  <c r="AZ335" i="3" s="1"/>
  <c r="BA339" i="3"/>
  <c r="AZ339" i="3" s="1"/>
  <c r="BA348"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6" i="3"/>
  <c r="G167" i="3"/>
  <c r="G31" i="3"/>
  <c r="BL3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C47" i="71"/>
  <c r="D47" i="71" s="1"/>
  <c r="D46" i="71"/>
  <c r="C67" i="71"/>
  <c r="T68" i="71"/>
  <c r="O68" i="71"/>
  <c r="T76" i="71"/>
  <c r="D76" i="71"/>
  <c r="C75" i="71"/>
  <c r="Y27" i="71"/>
  <c r="Z27" i="71" s="1"/>
  <c r="Y26" i="71"/>
  <c r="Z26" i="71" s="1"/>
  <c r="AA3" i="71"/>
  <c r="G152" i="3"/>
  <c r="BA153" i="3"/>
  <c r="BL155" i="3"/>
  <c r="AZ155" i="3" s="1"/>
  <c r="BA164" i="3"/>
  <c r="AZ164" i="3" s="1"/>
  <c r="BA166" i="3"/>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G74" i="3"/>
  <c r="BA75" i="3"/>
  <c r="AZ75" i="3" s="1"/>
  <c r="BL86" i="3"/>
  <c r="G9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AZ64" i="3" s="1"/>
  <c r="BL65" i="3"/>
  <c r="AZ65" i="3" s="1"/>
  <c r="BL66" i="3"/>
  <c r="BL67" i="3"/>
  <c r="AZ67" i="3" s="1"/>
  <c r="AZ70" i="3"/>
  <c r="BL79"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BA37" i="3"/>
  <c r="G39" i="3"/>
  <c r="BL39" i="3"/>
  <c r="AZ39" i="3" s="1"/>
  <c r="BA45" i="3"/>
  <c r="BA46" i="3"/>
  <c r="G51" i="3"/>
  <c r="BA52" i="3"/>
  <c r="AZ52" i="3" s="1"/>
  <c r="BA53" i="3"/>
  <c r="BA54" i="3"/>
  <c r="BL57" i="3"/>
  <c r="G62" i="3"/>
  <c r="BL62" i="3"/>
  <c r="AZ62" i="3" s="1"/>
  <c r="BL63" i="3"/>
  <c r="G67" i="3"/>
  <c r="BL68" i="3"/>
  <c r="BA69" i="3"/>
  <c r="AZ69" i="3" s="1"/>
  <c r="BA73" i="3"/>
  <c r="G78" i="3"/>
  <c r="G79" i="3"/>
  <c r="G85" i="3"/>
  <c r="BL85" i="3"/>
  <c r="BA86" i="3"/>
  <c r="AZ86" i="3" s="1"/>
  <c r="G89" i="3"/>
  <c r="BA98" i="3"/>
  <c r="W21" i="21"/>
  <c r="U21" i="33"/>
  <c r="AB21" i="33"/>
  <c r="AB27" i="71"/>
  <c r="C51" i="71"/>
  <c r="E39" i="71"/>
  <c r="E40" i="71" s="1"/>
  <c r="U40" i="71" s="1"/>
  <c r="Y37" i="71"/>
  <c r="Z37" i="71" s="1"/>
  <c r="F66" i="71"/>
  <c r="Q67" i="71"/>
  <c r="X25" i="71"/>
  <c r="V24" i="71"/>
  <c r="E23" i="71"/>
  <c r="E22" i="71" s="1"/>
  <c r="E21" i="71" s="1"/>
  <c r="E20" i="71" s="1"/>
  <c r="E19" i="71" s="1"/>
  <c r="E18" i="71" s="1"/>
  <c r="E17" i="71" s="1"/>
  <c r="E16" i="71" s="1"/>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AZ60" i="3" s="1"/>
  <c r="BA63" i="3"/>
  <c r="BA66" i="3"/>
  <c r="BA71" i="3"/>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71" i="15"/>
  <c r="F66" i="67"/>
  <c r="C27" i="67"/>
  <c r="C27" i="15"/>
  <c r="F65" i="15"/>
  <c r="B13" i="70"/>
  <c r="M7" i="67"/>
  <c r="F50" i="67"/>
  <c r="D9" i="69"/>
  <c r="C36" i="69"/>
  <c r="D6" i="73"/>
  <c r="D3" i="73"/>
  <c r="F43" i="67"/>
  <c r="F9" i="67"/>
  <c r="M22" i="15"/>
  <c r="M8" i="15"/>
  <c r="C76" i="67"/>
  <c r="C36" i="68"/>
  <c r="L48" i="67"/>
  <c r="F13" i="67"/>
  <c r="F37" i="67"/>
  <c r="L48" i="15"/>
  <c r="D9" i="68"/>
  <c r="M29" i="67"/>
  <c r="L47" i="15"/>
  <c r="D7" i="73"/>
  <c r="F9" i="15"/>
  <c r="F40" i="15"/>
  <c r="F7" i="15"/>
  <c r="F42" i="15"/>
  <c r="C76" i="15"/>
  <c r="F6" i="15"/>
  <c r="M9" i="67"/>
  <c r="F42" i="67"/>
  <c r="M6" i="15"/>
  <c r="D5" i="73"/>
  <c r="M8" i="67"/>
  <c r="M9" i="15"/>
  <c r="M24" i="67"/>
  <c r="F40" i="67"/>
  <c r="F6" i="67"/>
  <c r="F8" i="15"/>
  <c r="M26" i="15"/>
  <c r="L47" i="67"/>
  <c r="C16" i="15"/>
  <c r="M28" i="15"/>
  <c r="F16" i="67"/>
  <c r="M23" i="67"/>
  <c r="M22" i="67"/>
  <c r="J15" i="67"/>
  <c r="M23" i="15"/>
  <c r="D4" i="73"/>
  <c r="F36" i="67"/>
  <c r="M24" i="15"/>
  <c r="F66" i="15" l="1"/>
  <c r="F64" i="15"/>
  <c r="N59" i="15"/>
  <c r="L58" i="15"/>
  <c r="Q73" i="15" s="1"/>
  <c r="L59" i="15"/>
  <c r="Q74" i="15" s="1"/>
  <c r="M59" i="15"/>
  <c r="J57" i="15"/>
  <c r="J55" i="15" s="1"/>
  <c r="J58" i="15" s="1"/>
  <c r="Q50" i="15" s="1"/>
  <c r="I54" i="15"/>
  <c r="J53" i="15"/>
  <c r="L56" i="15" s="1"/>
  <c r="F51" i="15"/>
  <c r="Q71" i="15"/>
  <c r="F68" i="15"/>
  <c r="C6" i="15"/>
  <c r="C32" i="15" s="1"/>
  <c r="M7" i="15"/>
  <c r="J6" i="15" s="1"/>
  <c r="J18" i="15" s="1"/>
  <c r="F50" i="15"/>
  <c r="F32" i="15"/>
  <c r="F60" i="15" s="1"/>
  <c r="M18" i="67"/>
  <c r="AZ274" i="3"/>
  <c r="S33" i="36"/>
  <c r="AA33" i="36"/>
  <c r="U14" i="34"/>
  <c r="AB14" i="34"/>
  <c r="AZ51" i="3"/>
  <c r="AZ31" i="3"/>
  <c r="AB24" i="36"/>
  <c r="U24" i="36"/>
  <c r="AC24" i="35"/>
  <c r="W24" i="35"/>
  <c r="W14" i="34"/>
  <c r="AC14" i="34"/>
  <c r="AZ111" i="3"/>
  <c r="AZ71" i="3"/>
  <c r="AZ45" i="3"/>
  <c r="AZ58" i="3"/>
  <c r="AZ277" i="3"/>
  <c r="AZ413" i="3"/>
  <c r="AZ271" i="3"/>
  <c r="U13" i="40"/>
  <c r="AB13" i="40"/>
  <c r="AB33" i="36"/>
  <c r="U33" i="36"/>
  <c r="S32" i="34"/>
  <c r="AA32" i="34"/>
  <c r="AZ414" i="3"/>
  <c r="D68" i="9"/>
  <c r="F52" i="9"/>
  <c r="AZ47" i="3"/>
  <c r="AZ55" i="3"/>
  <c r="AZ249" i="3"/>
  <c r="AZ218" i="3"/>
  <c r="AZ251" i="3"/>
  <c r="AZ402" i="3"/>
  <c r="AZ229" i="3"/>
  <c r="AZ487" i="3"/>
  <c r="AZ538" i="3"/>
  <c r="AZ554" i="3"/>
  <c r="AA13" i="40"/>
  <c r="S13" i="40"/>
  <c r="W32" i="34"/>
  <c r="AC32" i="34"/>
  <c r="S29" i="33"/>
  <c r="AA29" i="33"/>
  <c r="F64" i="67"/>
  <c r="F71" i="67"/>
  <c r="F68" i="67"/>
  <c r="M59" i="67"/>
  <c r="N59" i="67"/>
  <c r="L59" i="67"/>
  <c r="Q61" i="67" s="1"/>
  <c r="J6" i="67"/>
  <c r="J18" i="67" s="1"/>
  <c r="J7" i="36"/>
  <c r="K53" i="43"/>
  <c r="M53" i="43"/>
  <c r="N53" i="43" s="1"/>
  <c r="M51" i="43"/>
  <c r="N51" i="43" s="1"/>
  <c r="K51" i="43"/>
  <c r="AC24" i="36"/>
  <c r="W24" i="36"/>
  <c r="T60" i="71"/>
  <c r="D60" i="71"/>
  <c r="W27" i="21"/>
  <c r="AC27" i="21"/>
  <c r="U23" i="36"/>
  <c r="AB23" i="36"/>
  <c r="S26" i="33"/>
  <c r="AA26" i="33"/>
  <c r="AA13" i="39"/>
  <c r="S13" i="39"/>
  <c r="AC38" i="37"/>
  <c r="W38" i="37"/>
  <c r="AB32" i="36"/>
  <c r="U32" i="36"/>
  <c r="AB25" i="35"/>
  <c r="U25" i="35"/>
  <c r="S29" i="34"/>
  <c r="AA29" i="34"/>
  <c r="AA46" i="33"/>
  <c r="S46" i="33"/>
  <c r="W28" i="33"/>
  <c r="AC28" i="33"/>
  <c r="AZ544" i="3"/>
  <c r="AZ553" i="3"/>
  <c r="S32" i="36"/>
  <c r="AA32" i="36"/>
  <c r="AA11" i="36"/>
  <c r="S11" i="36"/>
  <c r="M55" i="43"/>
  <c r="N55" i="43" s="1"/>
  <c r="K55" i="43"/>
  <c r="M58" i="43"/>
  <c r="N58" i="43" s="1"/>
  <c r="K58" i="43"/>
  <c r="K50" i="43"/>
  <c r="M50" i="43"/>
  <c r="N50" i="43" s="1"/>
  <c r="V20" i="71"/>
  <c r="AZ332" i="3"/>
  <c r="U23" i="35"/>
  <c r="AB23" i="35"/>
  <c r="AB38" i="37"/>
  <c r="U38" i="37"/>
  <c r="S25" i="35"/>
  <c r="AA25" i="35"/>
  <c r="W45" i="34"/>
  <c r="AC45" i="34"/>
  <c r="AC29" i="34"/>
  <c r="W29" i="34"/>
  <c r="AA30" i="33"/>
  <c r="S30" i="33"/>
  <c r="AA28" i="33"/>
  <c r="S28" i="33"/>
  <c r="AZ527" i="3"/>
  <c r="S25" i="36"/>
  <c r="AA25" i="36"/>
  <c r="S31" i="21"/>
  <c r="AA31" i="21"/>
  <c r="AZ421" i="3"/>
  <c r="AZ301" i="3"/>
  <c r="S45" i="39"/>
  <c r="AA45" i="39"/>
  <c r="AC23" i="35"/>
  <c r="W23" i="35"/>
  <c r="AB13" i="39"/>
  <c r="U13" i="39"/>
  <c r="AC28" i="37"/>
  <c r="W28" i="37"/>
  <c r="AB14" i="40"/>
  <c r="U14" i="40"/>
  <c r="U13" i="35"/>
  <c r="AB13" i="35"/>
  <c r="S45" i="34"/>
  <c r="AA45" i="34"/>
  <c r="AB29" i="34"/>
  <c r="U29" i="34"/>
  <c r="U30" i="33"/>
  <c r="AB30" i="33"/>
  <c r="AB9" i="33"/>
  <c r="U9" i="33"/>
  <c r="W25" i="36"/>
  <c r="AC25" i="36"/>
  <c r="U31" i="21"/>
  <c r="AB31" i="21"/>
  <c r="M57" i="43"/>
  <c r="N57" i="43" s="1"/>
  <c r="K57" i="43"/>
  <c r="J57" i="43" s="1"/>
  <c r="D57" i="43" s="1"/>
  <c r="M52" i="43"/>
  <c r="N52" i="43" s="1"/>
  <c r="K52" i="43"/>
  <c r="K56" i="43"/>
  <c r="M56" i="43"/>
  <c r="N56" i="43" s="1"/>
  <c r="AZ368" i="3"/>
  <c r="AZ130" i="3"/>
  <c r="AZ244" i="3"/>
  <c r="AZ239" i="3"/>
  <c r="AZ397" i="3"/>
  <c r="D31" i="71"/>
  <c r="C32" i="71"/>
  <c r="N67" i="71"/>
  <c r="B66" i="71"/>
  <c r="U45" i="39"/>
  <c r="AB45" i="39"/>
  <c r="AA27" i="21"/>
  <c r="S27" i="21"/>
  <c r="S23" i="36"/>
  <c r="AA23" i="36"/>
  <c r="U26" i="33"/>
  <c r="AB26" i="33"/>
  <c r="W13" i="39"/>
  <c r="AC13" i="39"/>
  <c r="S38" i="37"/>
  <c r="AA38" i="37"/>
  <c r="AA28" i="37"/>
  <c r="S28" i="37"/>
  <c r="W14" i="40"/>
  <c r="AC14" i="40"/>
  <c r="AC13" i="35"/>
  <c r="W13" i="35"/>
  <c r="U45" i="34"/>
  <c r="AB45" i="34"/>
  <c r="AB46" i="33"/>
  <c r="U46" i="33"/>
  <c r="AC12" i="33"/>
  <c r="W12" i="33"/>
  <c r="AB28" i="33"/>
  <c r="U28" i="33"/>
  <c r="AC9" i="33"/>
  <c r="W9" i="33"/>
  <c r="AZ586" i="3"/>
  <c r="AZ543" i="3"/>
  <c r="AB25" i="36"/>
  <c r="U25" i="36"/>
  <c r="C30" i="11"/>
  <c r="F48" i="9"/>
  <c r="O52" i="9" s="1"/>
  <c r="F28" i="67"/>
  <c r="C28" i="67" s="1"/>
  <c r="F32" i="67"/>
  <c r="F60" i="67" s="1"/>
  <c r="F28" i="15"/>
  <c r="C28" i="15" s="1"/>
  <c r="K16" i="1"/>
  <c r="E59" i="40"/>
  <c r="P6" i="1"/>
  <c r="C13" i="12" s="1"/>
  <c r="Q16" i="1"/>
  <c r="F27" i="69" s="1"/>
  <c r="C47" i="69" s="1"/>
  <c r="D45" i="69" s="1"/>
  <c r="N94" i="46"/>
  <c r="H16" i="1"/>
  <c r="G26" i="43"/>
  <c r="J26" i="43"/>
  <c r="N370" i="46"/>
  <c r="F26" i="43"/>
  <c r="E26" i="43"/>
  <c r="Q71" i="67"/>
  <c r="F65" i="67"/>
  <c r="J53" i="67"/>
  <c r="F1" i="67" s="1"/>
  <c r="J57" i="67"/>
  <c r="J55" i="67" s="1"/>
  <c r="J58" i="67" s="1"/>
  <c r="Q50" i="67" s="1"/>
  <c r="L56" i="67"/>
  <c r="L58" i="67"/>
  <c r="Q60" i="67" s="1"/>
  <c r="I54" i="67"/>
  <c r="F31" i="67"/>
  <c r="C6" i="67"/>
  <c r="C32" i="67" s="1"/>
  <c r="C70" i="71"/>
  <c r="D70" i="71" s="1"/>
  <c r="D71" i="71"/>
  <c r="AZ53" i="3"/>
  <c r="C26" i="71"/>
  <c r="D26" i="71" s="1"/>
  <c r="D27" i="71"/>
  <c r="AZ282" i="3"/>
  <c r="AZ118" i="3"/>
  <c r="AZ460" i="3"/>
  <c r="AZ418" i="3"/>
  <c r="S36" i="39"/>
  <c r="AA36" i="39"/>
  <c r="AB31" i="39"/>
  <c r="U31" i="39"/>
  <c r="U34" i="36"/>
  <c r="AB34" i="36"/>
  <c r="AB12" i="36"/>
  <c r="U12" i="36"/>
  <c r="G5" i="3"/>
  <c r="B3" i="3" s="1"/>
  <c r="E502" i="3" s="1"/>
  <c r="AZ66" i="3"/>
  <c r="D79" i="71"/>
  <c r="C78" i="71"/>
  <c r="D78" i="71" s="1"/>
  <c r="B19" i="71"/>
  <c r="B18" i="71" s="1"/>
  <c r="B17" i="71" s="1"/>
  <c r="B16" i="71" s="1"/>
  <c r="B15" i="71" s="1"/>
  <c r="B14" i="71" s="1"/>
  <c r="B13" i="71" s="1"/>
  <c r="B12" i="71" s="1"/>
  <c r="S20" i="71"/>
  <c r="AZ27" i="3"/>
  <c r="AZ169" i="3"/>
  <c r="AZ121" i="3"/>
  <c r="AZ353" i="3"/>
  <c r="AZ297" i="3"/>
  <c r="AZ241" i="3"/>
  <c r="AZ210" i="3"/>
  <c r="AZ273" i="3"/>
  <c r="AZ471" i="3"/>
  <c r="AZ404" i="3"/>
  <c r="AZ459" i="3"/>
  <c r="AZ435" i="3"/>
  <c r="AZ425" i="3"/>
  <c r="AA25" i="37"/>
  <c r="S25" i="37"/>
  <c r="AB12" i="34"/>
  <c r="U12" i="34"/>
  <c r="W44" i="39"/>
  <c r="AC44" i="39"/>
  <c r="W12" i="35"/>
  <c r="AC12" i="35"/>
  <c r="AB36" i="39"/>
  <c r="U36" i="39"/>
  <c r="AA37" i="39"/>
  <c r="S37" i="39"/>
  <c r="AC38" i="40"/>
  <c r="W38" i="40"/>
  <c r="AC39" i="37"/>
  <c r="W39" i="37"/>
  <c r="G16" i="1"/>
  <c r="F10" i="39" s="1"/>
  <c r="S10" i="39" s="1"/>
  <c r="AZ63" i="3"/>
  <c r="D83" i="71"/>
  <c r="C82" i="71"/>
  <c r="D82" i="71" s="1"/>
  <c r="AZ190" i="3"/>
  <c r="D23" i="71"/>
  <c r="C22" i="71"/>
  <c r="AZ166" i="3"/>
  <c r="D75" i="71"/>
  <c r="C74" i="71"/>
  <c r="D74" i="71" s="1"/>
  <c r="AZ126" i="3"/>
  <c r="AZ256" i="3"/>
  <c r="AZ189" i="3"/>
  <c r="AZ483" i="3"/>
  <c r="AZ428" i="3"/>
  <c r="AZ403" i="3"/>
  <c r="AZ457" i="3"/>
  <c r="AZ415" i="3"/>
  <c r="AZ398" i="3"/>
  <c r="U25" i="37"/>
  <c r="AB25" i="37"/>
  <c r="AB44" i="39"/>
  <c r="U44" i="39"/>
  <c r="AC37" i="39"/>
  <c r="W37" i="39"/>
  <c r="AA38" i="40"/>
  <c r="S38" i="40"/>
  <c r="W12" i="36"/>
  <c r="AC12" i="36"/>
  <c r="C40" i="71"/>
  <c r="D39" i="71"/>
  <c r="C52" i="71"/>
  <c r="D51" i="71"/>
  <c r="AZ49" i="3"/>
  <c r="C56" i="71"/>
  <c r="D55" i="71"/>
  <c r="AZ41" i="3"/>
  <c r="AZ5" i="3" s="1"/>
  <c r="D67" i="71"/>
  <c r="C66" i="71"/>
  <c r="O67" i="71"/>
  <c r="AZ461" i="3"/>
  <c r="AZ454" i="3"/>
  <c r="W31" i="39"/>
  <c r="AC31" i="39"/>
  <c r="AB38" i="40"/>
  <c r="U38" i="40"/>
  <c r="S34" i="36"/>
  <c r="AA34" i="36"/>
  <c r="AA12" i="36"/>
  <c r="S12" i="36"/>
  <c r="J7" i="37"/>
  <c r="AC7" i="37" s="1"/>
  <c r="K1" i="73"/>
  <c r="AA26" i="37"/>
  <c r="S26" i="37"/>
  <c r="BA5" i="3"/>
  <c r="E27" i="6" s="1"/>
  <c r="K26" i="6" s="1"/>
  <c r="M26" i="6" s="1"/>
  <c r="I26" i="6" s="1"/>
  <c r="S26" i="6" s="1"/>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C49" i="67"/>
  <c r="P29" i="43"/>
  <c r="P27" i="43"/>
  <c r="B70" i="39" s="1"/>
  <c r="M11" i="67"/>
  <c r="J10" i="67" s="1"/>
  <c r="F11" i="15"/>
  <c r="M11" i="15"/>
  <c r="F11" i="67"/>
  <c r="AE11" i="1"/>
  <c r="AE9" i="1"/>
  <c r="AE7" i="1"/>
  <c r="AE8" i="1"/>
  <c r="AE12" i="1"/>
  <c r="AE10" i="1"/>
  <c r="F41" i="67"/>
  <c r="G1" i="73"/>
  <c r="C16" i="67"/>
  <c r="Q74" i="67" l="1"/>
  <c r="Q60" i="15"/>
  <c r="C49" i="15"/>
  <c r="C53" i="15" s="1"/>
  <c r="C48" i="15" s="1"/>
  <c r="C66" i="15" s="1"/>
  <c r="Q61" i="15"/>
  <c r="S7" i="36"/>
  <c r="Q52" i="15"/>
  <c r="F1" i="15"/>
  <c r="J5" i="67"/>
  <c r="J24" i="67" s="1"/>
  <c r="J10" i="15"/>
  <c r="J5" i="15" s="1"/>
  <c r="J24" i="15" s="1"/>
  <c r="U7" i="36"/>
  <c r="F67" i="39"/>
  <c r="S16" i="71"/>
  <c r="J52" i="43"/>
  <c r="D52" i="43"/>
  <c r="J50" i="43"/>
  <c r="D50" i="43"/>
  <c r="N65" i="71"/>
  <c r="N66" i="71"/>
  <c r="J58" i="43"/>
  <c r="D58" i="43"/>
  <c r="J53" i="43"/>
  <c r="D53" i="43"/>
  <c r="T32" i="71"/>
  <c r="D32" i="71"/>
  <c r="J56" i="43"/>
  <c r="D56" i="43"/>
  <c r="J55" i="43"/>
  <c r="D55" i="43"/>
  <c r="J51" i="43"/>
  <c r="D51" i="43"/>
  <c r="E445" i="3"/>
  <c r="AK6" i="3"/>
  <c r="E387" i="3"/>
  <c r="E410" i="3"/>
  <c r="E420" i="3"/>
  <c r="E94" i="3"/>
  <c r="E219" i="3"/>
  <c r="E327" i="3"/>
  <c r="E550" i="3"/>
  <c r="E344" i="3"/>
  <c r="E489" i="3"/>
  <c r="E351" i="3"/>
  <c r="E385" i="3"/>
  <c r="E109" i="3"/>
  <c r="E465" i="3"/>
  <c r="E439" i="3"/>
  <c r="E585" i="3"/>
  <c r="E293" i="3"/>
  <c r="E166" i="3"/>
  <c r="E38" i="3"/>
  <c r="E495" i="3"/>
  <c r="E441" i="3"/>
  <c r="E562" i="3"/>
  <c r="E407" i="3"/>
  <c r="E547" i="3"/>
  <c r="E310" i="3"/>
  <c r="E296" i="3"/>
  <c r="E431" i="3"/>
  <c r="E214" i="3"/>
  <c r="E361" i="3"/>
  <c r="E447" i="3"/>
  <c r="E99" i="3"/>
  <c r="E239" i="3"/>
  <c r="E297" i="3"/>
  <c r="E369" i="3"/>
  <c r="E487" i="3"/>
  <c r="E148" i="3"/>
  <c r="E263" i="3"/>
  <c r="E278" i="3"/>
  <c r="E570" i="3"/>
  <c r="AJ6" i="3"/>
  <c r="E273" i="3"/>
  <c r="E345" i="3"/>
  <c r="E368" i="3"/>
  <c r="E106" i="3"/>
  <c r="E560" i="3"/>
  <c r="E568" i="3"/>
  <c r="E301" i="3"/>
  <c r="E261" i="3"/>
  <c r="AR6" i="3"/>
  <c r="E508" i="3"/>
  <c r="E331" i="3"/>
  <c r="E505" i="3"/>
  <c r="E269" i="3"/>
  <c r="E111" i="3"/>
  <c r="E458" i="3"/>
  <c r="E85" i="3"/>
  <c r="E382" i="3"/>
  <c r="E415" i="3"/>
  <c r="E358" i="3"/>
  <c r="E366" i="3"/>
  <c r="E443" i="3"/>
  <c r="E303" i="3"/>
  <c r="E474" i="3"/>
  <c r="E24" i="3"/>
  <c r="AH6" i="3"/>
  <c r="E102" i="3"/>
  <c r="E554" i="3"/>
  <c r="E139" i="3"/>
  <c r="E118" i="3"/>
  <c r="E240" i="3"/>
  <c r="E200" i="3"/>
  <c r="E191" i="3"/>
  <c r="E69" i="3"/>
  <c r="E514" i="3"/>
  <c r="E322" i="3"/>
  <c r="E211" i="3"/>
  <c r="E400" i="3"/>
  <c r="E227" i="3"/>
  <c r="E454" i="3"/>
  <c r="K6" i="3"/>
  <c r="E77" i="3"/>
  <c r="E134" i="3"/>
  <c r="E185" i="3"/>
  <c r="E533" i="3"/>
  <c r="E305" i="3"/>
  <c r="E210" i="3"/>
  <c r="E477" i="3"/>
  <c r="E549" i="3"/>
  <c r="E72" i="3"/>
  <c r="E573" i="3"/>
  <c r="E453" i="3"/>
  <c r="E245" i="3"/>
  <c r="E114" i="3"/>
  <c r="E151" i="3"/>
  <c r="E480" i="3"/>
  <c r="E576" i="3"/>
  <c r="E304" i="3"/>
  <c r="E136" i="3"/>
  <c r="E460" i="3"/>
  <c r="E543" i="3"/>
  <c r="E235" i="3"/>
  <c r="E536" i="3"/>
  <c r="E142" i="3"/>
  <c r="E275" i="3"/>
  <c r="E246" i="3"/>
  <c r="E535" i="3"/>
  <c r="E335" i="3"/>
  <c r="E247" i="3"/>
  <c r="E217" i="3"/>
  <c r="E28" i="3"/>
  <c r="Z6" i="3"/>
  <c r="E315" i="3"/>
  <c r="E587" i="3"/>
  <c r="E228" i="3"/>
  <c r="E124" i="3"/>
  <c r="E503" i="3"/>
  <c r="E380" i="3"/>
  <c r="E337" i="3"/>
  <c r="E175" i="3"/>
  <c r="E27" i="3"/>
  <c r="E515" i="3"/>
  <c r="E318" i="3"/>
  <c r="E571" i="3"/>
  <c r="E45" i="3"/>
  <c r="E336" i="3"/>
  <c r="E117" i="3"/>
  <c r="E294" i="3"/>
  <c r="E516" i="3"/>
  <c r="E295" i="3"/>
  <c r="E55" i="3"/>
  <c r="E317" i="3"/>
  <c r="E374" i="3"/>
  <c r="E392" i="3"/>
  <c r="E428" i="3"/>
  <c r="E233" i="3"/>
  <c r="F28" i="12"/>
  <c r="C29" i="12" s="1"/>
  <c r="D28" i="12" s="1"/>
  <c r="F27" i="11"/>
  <c r="C29" i="11" s="1"/>
  <c r="D27" i="11" s="1"/>
  <c r="F45" i="69"/>
  <c r="E378" i="3"/>
  <c r="E248" i="3"/>
  <c r="E131"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229" i="3"/>
  <c r="E282" i="3"/>
  <c r="E30" i="3"/>
  <c r="E121" i="3"/>
  <c r="I6" i="3"/>
  <c r="Q6" i="3"/>
  <c r="E523" i="3"/>
  <c r="E207" i="3"/>
  <c r="E187" i="3"/>
  <c r="E48" i="3"/>
  <c r="E365" i="3"/>
  <c r="L6" i="3"/>
  <c r="E16" i="3"/>
  <c r="E408" i="3"/>
  <c r="AL6" i="3"/>
  <c r="E6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1" i="3"/>
  <c r="E569" i="3"/>
  <c r="E553" i="3"/>
  <c r="E334" i="3"/>
  <c r="E404" i="3"/>
  <c r="E274" i="3"/>
  <c r="E434" i="3"/>
  <c r="E328" i="3"/>
  <c r="E168" i="3"/>
  <c r="AD6" i="3"/>
  <c r="E500" i="3"/>
  <c r="E340" i="3"/>
  <c r="E108" i="3"/>
  <c r="E49" i="3"/>
  <c r="E173" i="3"/>
  <c r="E309" i="3"/>
  <c r="E363" i="3"/>
  <c r="C29" i="69"/>
  <c r="D27" i="69" s="1"/>
  <c r="J10" i="39"/>
  <c r="W10" i="39" s="1"/>
  <c r="Q73" i="67"/>
  <c r="F10" i="40"/>
  <c r="S10" i="40" s="1"/>
  <c r="AA10" i="39"/>
  <c r="H10" i="39"/>
  <c r="U10" i="39" s="1"/>
  <c r="H10" i="40"/>
  <c r="AB10" i="40" s="1"/>
  <c r="J10" i="40"/>
  <c r="AC10" i="40" s="1"/>
  <c r="E3" i="6"/>
  <c r="E320" i="3"/>
  <c r="E559" i="3"/>
  <c r="E396" i="3"/>
  <c r="N6" i="3"/>
  <c r="E125" i="3"/>
  <c r="E316" i="3"/>
  <c r="E88" i="3"/>
  <c r="E558" i="3"/>
  <c r="AG6" i="3"/>
  <c r="E236" i="3"/>
  <c r="E394" i="3"/>
  <c r="E73" i="3"/>
  <c r="AE6" i="3"/>
  <c r="E437"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37" i="3"/>
  <c r="E212" i="3"/>
  <c r="E575" i="3"/>
  <c r="E449" i="3"/>
  <c r="E417" i="3"/>
  <c r="E258"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286" i="3"/>
  <c r="E430" i="3"/>
  <c r="E491"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444" i="3"/>
  <c r="P6" i="3"/>
  <c r="E164" i="3"/>
  <c r="E32" i="3"/>
  <c r="E256" i="3"/>
  <c r="E496" i="3"/>
  <c r="E424" i="3"/>
  <c r="E3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AP6" i="3"/>
  <c r="E539" i="3"/>
  <c r="E581" i="3"/>
  <c r="E448" i="3"/>
  <c r="E252" i="3"/>
  <c r="E580" i="3"/>
  <c r="E203" i="3"/>
  <c r="E429" i="3"/>
  <c r="E481"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59" i="3"/>
  <c r="E95" i="3"/>
  <c r="E442" i="3"/>
  <c r="Q52" i="67"/>
  <c r="D26" i="43"/>
  <c r="C25" i="43" s="1"/>
  <c r="O65" i="71"/>
  <c r="D66" i="71"/>
  <c r="O66" i="71"/>
  <c r="D56" i="71"/>
  <c r="T56" i="71"/>
  <c r="D22" i="71"/>
  <c r="C21" i="71"/>
  <c r="T40" i="71"/>
  <c r="D40" i="71"/>
  <c r="E56" i="3"/>
  <c r="E435" i="3"/>
  <c r="I3" i="6"/>
  <c r="E541" i="3"/>
  <c r="R6" i="3"/>
  <c r="E199" i="3"/>
  <c r="E510"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10" i="15"/>
  <c r="C5" i="15" s="1"/>
  <c r="C38" i="15" s="1"/>
  <c r="AE6" i="1"/>
  <c r="F27" i="68"/>
  <c r="M27" i="67"/>
  <c r="F41" i="15"/>
  <c r="U10" i="40" l="1"/>
  <c r="AG6" i="1"/>
  <c r="E50" i="43"/>
  <c r="B48" i="43" s="1"/>
  <c r="C28" i="43" s="1"/>
  <c r="E6" i="6"/>
  <c r="B14" i="74"/>
  <c r="B1" i="74" s="1"/>
  <c r="L18" i="9"/>
  <c r="D14" i="12"/>
  <c r="D17" i="12" s="1"/>
  <c r="C17" i="12" s="1"/>
  <c r="D19" i="11"/>
  <c r="C19" i="11" s="1"/>
  <c r="D3" i="37"/>
  <c r="D37" i="11"/>
  <c r="D3" i="33"/>
  <c r="D3" i="34"/>
  <c r="C47" i="68"/>
  <c r="D45" i="68" s="1"/>
  <c r="C29" i="68"/>
  <c r="D27" i="68" s="1"/>
  <c r="F45" i="68"/>
  <c r="C47" i="11"/>
  <c r="D45" i="11" s="1"/>
  <c r="AA10" i="40"/>
  <c r="AC10" i="39"/>
  <c r="AB10" i="39"/>
  <c r="AC6" i="3"/>
  <c r="H6" i="3"/>
  <c r="D116" i="43"/>
  <c r="F22" i="68"/>
  <c r="F24" i="67"/>
  <c r="C24" i="67" s="1"/>
  <c r="F25" i="12"/>
  <c r="C26" i="12" s="1"/>
  <c r="D25" i="12" s="1"/>
  <c r="F24" i="15"/>
  <c r="C24" i="15" s="1"/>
  <c r="F22" i="69"/>
  <c r="F41" i="69" s="1"/>
  <c r="F22" i="11"/>
  <c r="C26" i="11" s="1"/>
  <c r="D22" i="11" s="1"/>
  <c r="D21" i="71"/>
  <c r="C20" i="7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M27" i="15"/>
  <c r="C17" i="15"/>
  <c r="T11" i="43" l="1"/>
  <c r="V11" i="43" s="1"/>
  <c r="T14" i="43"/>
  <c r="V14" i="43" s="1"/>
  <c r="T4" i="43"/>
  <c r="V4" i="43" s="1"/>
  <c r="T5" i="43"/>
  <c r="V5" i="43" s="1"/>
  <c r="T9" i="43"/>
  <c r="V9" i="43" s="1"/>
  <c r="T12" i="43"/>
  <c r="V12" i="43" s="1"/>
  <c r="T3" i="43"/>
  <c r="V3" i="43" s="1"/>
  <c r="C40" i="43"/>
  <c r="C39" i="43"/>
  <c r="T15" i="43"/>
  <c r="V15" i="43" s="1"/>
  <c r="T10" i="43"/>
  <c r="V10" i="43" s="1"/>
  <c r="T2" i="43"/>
  <c r="V2" i="43" s="1"/>
  <c r="C37" i="43"/>
  <c r="T7" i="43"/>
  <c r="V7" i="43" s="1"/>
  <c r="C42" i="43"/>
  <c r="T13" i="43"/>
  <c r="V13" i="43" s="1"/>
  <c r="T16" i="43"/>
  <c r="V16" i="43" s="1"/>
  <c r="T8" i="43"/>
  <c r="V8" i="43" s="1"/>
  <c r="T6" i="43"/>
  <c r="V6" i="43" s="1"/>
  <c r="C41" i="43"/>
  <c r="C38" i="43"/>
  <c r="C33" i="43"/>
  <c r="E33" i="43" s="1"/>
  <c r="D30" i="6"/>
  <c r="E6" i="3"/>
  <c r="C44" i="68"/>
  <c r="D41" i="68" s="1"/>
  <c r="C26" i="68"/>
  <c r="D22" i="68" s="1"/>
  <c r="F41" i="68"/>
  <c r="H24" i="6"/>
  <c r="C24" i="11"/>
  <c r="C44" i="11"/>
  <c r="D41" i="11" s="1"/>
  <c r="H25" i="6"/>
  <c r="C25" i="11"/>
  <c r="C23" i="11"/>
  <c r="C44" i="69"/>
  <c r="D41" i="69" s="1"/>
  <c r="C26" i="69"/>
  <c r="D22" i="69" s="1"/>
  <c r="C19" i="71"/>
  <c r="T20" i="71"/>
  <c r="D20" i="71"/>
  <c r="U20" i="7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41" i="43" l="1"/>
  <c r="G41" i="43"/>
  <c r="I41" i="43" s="1"/>
  <c r="C34" i="43"/>
  <c r="E34" i="43" s="1"/>
  <c r="G40" i="43"/>
  <c r="I40" i="43" s="1"/>
  <c r="E40" i="43"/>
  <c r="E42" i="43"/>
  <c r="G42" i="43"/>
  <c r="I42" i="43" s="1"/>
  <c r="G38" i="43"/>
  <c r="I38" i="43" s="1"/>
  <c r="E38" i="43"/>
  <c r="G37" i="43"/>
  <c r="I37" i="43" s="1"/>
  <c r="E37" i="43"/>
  <c r="E39" i="43"/>
  <c r="G39" i="43"/>
  <c r="I39" i="43" s="1"/>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B2" i="43" s="1"/>
  <c r="C31" i="43"/>
  <c r="C21" i="12"/>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27" i="12"/>
  <c r="C25" i="12" s="1"/>
  <c r="C30" i="12"/>
  <c r="C28"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B3" i="76" l="1"/>
  <c r="C7" i="68"/>
  <c r="C5" i="68" s="1"/>
  <c r="C32" i="12"/>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23" i="68"/>
  <c r="C20"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14" i="71"/>
  <c r="C13"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J26" i="15"/>
  <c r="J29" i="15" s="1"/>
  <c r="N25" i="15"/>
  <c r="C31" i="68"/>
  <c r="C52" i="68" s="1"/>
  <c r="C57" i="68" s="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7"/>
  <c r="D2" i="34"/>
  <c r="D2" i="35"/>
  <c r="D2" i="36"/>
  <c r="L51" i="15"/>
  <c r="B2" i="68"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19" i="9"/>
  <c r="AO9" i="1"/>
  <c r="AO11" i="1"/>
  <c r="AO10" i="1"/>
  <c r="AO7" i="1"/>
  <c r="AO8" i="1"/>
  <c r="B3" i="68"/>
  <c r="D34" i="9" s="1"/>
  <c r="C21" i="9" l="1"/>
  <c r="C102"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19" i="9"/>
  <c r="C20" i="9"/>
  <c r="AO6" i="1"/>
  <c r="C103" i="9" l="1"/>
  <c r="D102" i="9"/>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2" i="9"/>
  <c r="D21" i="53" s="1"/>
  <c r="B39" i="72" s="1"/>
  <c r="H111" i="9"/>
  <c r="D126" i="9" s="1"/>
  <c r="C8" i="74" l="1"/>
  <c r="D127" i="9"/>
  <c r="D13" i="52" s="1"/>
  <c r="D12" i="52"/>
  <c r="D19" i="53"/>
  <c r="D20" i="53" l="1"/>
  <c r="B40" i="72" s="1"/>
  <c r="B38" i="72"/>
  <c r="D118" i="9"/>
  <c r="D4" i="52" s="1"/>
  <c r="B47" i="72" s="1"/>
  <c r="F118" i="9"/>
  <c r="G118" i="9" s="1"/>
  <c r="G4" i="52" s="1"/>
  <c r="B52" i="72" s="1"/>
  <c r="H118" i="9"/>
  <c r="H4" i="52" s="1"/>
  <c r="F4" i="52" l="1"/>
  <c r="B51" i="72" s="1"/>
  <c r="H119" i="9"/>
  <c r="H5" i="52" s="1"/>
  <c r="D119" i="9"/>
  <c r="D5" i="52" s="1"/>
  <c r="B49" i="72" s="1"/>
  <c r="H101" i="9"/>
  <c r="I118" i="9"/>
  <c r="C104" i="9"/>
  <c r="F119" i="9"/>
  <c r="F5" i="52" s="1"/>
  <c r="B53" i="72" s="1"/>
  <c r="H102" i="9" l="1"/>
  <c r="I4" i="52"/>
  <c r="C105" i="9"/>
  <c r="E118" i="9"/>
  <c r="E4" i="52" s="1"/>
  <c r="B48" i="72" s="1"/>
  <c r="D45" i="9"/>
  <c r="D5" i="53"/>
  <c r="M48" i="9"/>
  <c r="H107" i="9"/>
  <c r="M49" i="9" l="1"/>
  <c r="H108" i="9"/>
  <c r="D13" i="53"/>
  <c r="D122" i="9"/>
  <c r="D6" i="53"/>
  <c r="B22" i="72" s="1"/>
  <c r="B20" i="72"/>
  <c r="C64" i="9"/>
  <c r="C63" i="9" s="1"/>
  <c r="C67" i="9" s="1"/>
  <c r="D52" i="9"/>
  <c r="C78" i="9"/>
  <c r="C73" i="9" s="1"/>
  <c r="C93" i="9"/>
  <c r="C86" i="9" s="1"/>
  <c r="D53" i="9"/>
  <c r="D55" i="9"/>
  <c r="M53" i="9" s="1"/>
  <c r="C72" i="9"/>
  <c r="C85" i="9"/>
  <c r="C5" i="74"/>
  <c r="D7" i="53"/>
  <c r="B21" i="72" s="1"/>
  <c r="C95" i="9" l="1"/>
  <c r="C79" i="9"/>
  <c r="C80" i="9" s="1"/>
  <c r="E80" i="9" s="1"/>
  <c r="E81" i="9" s="1"/>
  <c r="D8" i="52"/>
  <c r="D123" i="9"/>
  <c r="D9" i="52" s="1"/>
  <c r="D59" i="9"/>
  <c r="M55" i="9" s="1"/>
  <c r="C68" i="9"/>
  <c r="D54" i="9" s="1"/>
  <c r="D14" i="53"/>
  <c r="B32" i="72" s="1"/>
  <c r="B30" i="72"/>
  <c r="C96" i="9"/>
  <c r="E96" i="9" s="1"/>
  <c r="E97" i="9" s="1"/>
  <c r="D15" i="53"/>
  <c r="B31" i="72" s="1"/>
  <c r="C6" i="74"/>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<sst xmlns="http://schemas.openxmlformats.org/spreadsheetml/2006/main" count="7854" uniqueCount="3452">
  <si>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</si>
  <si>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</si>
  <si>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</si>
  <si>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</si>
  <si>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</si>
  <si>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</si>
  <si>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</si>
  <si>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</si>
  <si>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</si>
  <si>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</si>
  <si>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</si>
  <si>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</si>
  <si>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</si>
  <si>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</si>
  <si>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</si>
  <si>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</si>
  <si>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</si>
  <si>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</si>
  <si>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</si>
  <si>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</si>
  <si>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</si>
  <si>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</si>
  <si>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</si>
  <si>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</si>
  <si>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</si>
  <si>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</si>
  <si>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</si>
  <si>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</si>
  <si>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</si>
  <si>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</si>
  <si>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</si>
  <si>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</si>
  <si>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</si>
  <si>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</si>
  <si>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</si>
  <si>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</si>
  <si>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</si>
  <si>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</si>
  <si>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</si>
  <si>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</si>
  <si>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</si>
  <si>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</si>
  <si>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</si>
  <si>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</si>
  <si>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</si>
  <si>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</si>
  <si>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</si>
  <si>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</si>
  <si>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</si>
  <si>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</si>
  <si>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</si>
  <si>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</si>
  <si>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</si>
  <si>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</si>
  <si>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</si>
  <si>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</si>
  <si>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</si>
  <si>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</si>
  <si>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</si>
  <si>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</si>
  <si>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</si>
  <si>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</si>
  <si>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</si>
  <si>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</si>
  <si>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</si>
  <si>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</si>
  <si>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</si>
  <si>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</si>
  <si>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</si>
  <si>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</si>
  <si>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</si>
  <si>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</si>
  <si>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</si>
  <si>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</si>
  <si>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</si>
  <si>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</si>
  <si>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</si>
  <si>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</si>
  <si>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</si>
  <si>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</si>
  <si>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</si>
  <si>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</si>
  <si>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</si>
  <si>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</si>
  <si>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</si>
  <si>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</si>
  <si>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</si>
  <si>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</si>
  <si>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</si>
  <si>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</si>
  <si>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</si>
  <si>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</si>
  <si>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</si>
  <si>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</si>
  <si>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</si>
  <si>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</si>
  <si>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</si>
  <si>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</si>
  <si>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</si>
  <si>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</si>
  <si>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</si>
  <si>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</si>
  <si>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</si>
  <si>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</si>
  <si>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</si>
  <si>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</si>
  <si>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</si>
  <si>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</si>
  <si>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</si>
  <si>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</si>
  <si>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</si>
  <si>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</si>
  <si>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</si>
  <si>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</si>
  <si>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</si>
  <si>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</si>
  <si>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</si>
  <si>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</si>
  <si>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</si>
  <si>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</si>
  <si>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</si>
  <si>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</si>
  <si>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</si>
  <si>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</si>
  <si>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</si>
  <si>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</si>
  <si>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</si>
  <si>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</si>
  <si>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</si>
  <si>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</si>
  <si>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</si>
  <si>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</si>
  <si>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</si>
  <si>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</si>
  <si>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</si>
  <si>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</si>
  <si>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</si>
  <si>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</si>
  <si>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</si>
  <si>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</si>
  <si>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</si>
  <si>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</si>
  <si>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</si>
  <si>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</si>
  <si>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</si>
  <si>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</si>
  <si>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</si>
  <si>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</si>
  <si>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</si>
  <si>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</si>
  <si>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</si>
  <si>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</si>
  <si>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</si>
  <si>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</si>
  <si>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</si>
  <si>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</si>
  <si>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</si>
  <si>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</si>
  <si>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</si>
  <si>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</si>
  <si>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</si>
  <si>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</si>
  <si>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</si>
  <si>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</si>
  <si>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</si>
  <si>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</si>
  <si>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</si>
  <si>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</si>
  <si>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</si>
  <si>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</si>
  <si>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</si>
  <si>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</si>
  <si>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</si>
  <si>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</si>
  <si>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</si>
  <si>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</si>
  <si>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</si>
  <si>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</si>
  <si>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</si>
  <si>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</si>
  <si>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</si>
  <si>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</si>
  <si>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</si>
  <si>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</si>
  <si>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</si>
  <si>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</si>
  <si>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</si>
  <si>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</si>
  <si>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</si>
  <si>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</si>
  <si>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</si>
  <si>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</si>
  <si>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</si>
  <si>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</si>
  <si>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</si>
  <si>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</si>
  <si>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</si>
  <si>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</si>
  <si>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</si>
  <si>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</si>
  <si>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</si>
  <si>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</si>
  <si>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</si>
  <si>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</si>
  <si>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</si>
  <si>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</si>
  <si>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</si>
  <si>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</si>
  <si>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</si>
  <si>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</si>
  <si>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</si>
  <si>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</si>
  <si>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</si>
  <si>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</si>
  <si>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</si>
  <si>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</si>
  <si>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</si>
  <si>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</si>
  <si>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</si>
  <si>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</si>
  <si>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</si>
  <si>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</si>
  <si>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</si>
  <si>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</si>
  <si>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</si>
  <si>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</si>
  <si>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</si>
  <si>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</si>
  <si>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</si>
  <si>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</si>
  <si>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</si>
  <si>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</si>
  <si>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</si>
  <si>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</si>
  <si>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</si>
  <si>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</si>
  <si>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</si>
  <si>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</si>
  <si>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</si>
  <si>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</si>
  <si>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</si>
  <si>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</si>
  <si>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</si>
  <si>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</si>
  <si>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</si>
  <si>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</si>
  <si>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</si>
  <si>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</si>
  <si>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</si>
  <si>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</si>
  <si>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</si>
  <si>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</si>
  <si>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</si>
  <si>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</si>
  <si>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</si>
  <si>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</si>
  <si>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</si>
  <si>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</si>
  <si>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</si>
  <si>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</si>
  <si>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</si>
  <si>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</si>
  <si>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</si>
  <si>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</si>
  <si>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</si>
  <si>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</si>
  <si>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</si>
  <si>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</si>
  <si>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</si>
  <si>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</si>
  <si>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</si>
  <si>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</si>
  <si>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</si>
  <si>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</si>
  <si>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</si>
  <si>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</si>
  <si>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</si>
  <si>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</si>
  <si>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</si>
  <si>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</si>
  <si>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</si>
  <si>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</si>
  <si>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</si>
  <si>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</si>
  <si>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</si>
  <si>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</si>
  <si>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</si>
  <si>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</si>
  <si>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</si>
  <si>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</si>
  <si>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</si>
  <si>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</si>
  <si>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</si>
  <si>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</si>
  <si>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</si>
  <si>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</si>
  <si>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</si>
  <si>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</si>
  <si>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</si>
  <si>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</si>
  <si>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</si>
  <si>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</si>
  <si>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</si>
  <si>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</si>
  <si>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</si>
  <si>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</si>
  <si>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</si>
  <si>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</si>
  <si>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</si>
  <si>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</si>
  <si>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</si>
  <si>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</si>
  <si>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</si>
  <si>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</si>
  <si>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</si>
  <si>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</si>
  <si>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</si>
  <si>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</si>
  <si>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</si>
  <si>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</si>
  <si>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</si>
  <si>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</si>
  <si>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</si>
  <si>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</si>
  <si>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</si>
  <si>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</si>
  <si>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</si>
  <si>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</si>
  <si>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</si>
  <si>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</si>
  <si>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</si>
  <si>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</si>
  <si>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</si>
  <si>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</si>
  <si>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</si>
  <si>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</si>
  <si>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</si>
  <si>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</si>
  <si>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</si>
  <si>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</si>
  <si>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</si>
  <si>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</si>
  <si>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</si>
  <si>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</si>
  <si>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</si>
  <si>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</si>
  <si>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</si>
  <si>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</si>
  <si>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</si>
  <si>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</si>
  <si>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</si>
  <si>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</si>
  <si>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</si>
  <si>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</si>
  <si>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</si>
  <si>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</si>
  <si>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</si>
  <si>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</si>
  <si>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</si>
  <si>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</si>
  <si>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</si>
  <si>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</si>
  <si>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</si>
  <si>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</si>
  <si>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</si>
  <si>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</si>
  <si>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</si>
  <si>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</si>
  <si>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</si>
  <si>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</si>
  <si>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</si>
  <si>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</si>
  <si>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</si>
  <si>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</si>
  <si>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</si>
  <si>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</si>
  <si>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</si>
  <si>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</si>
  <si>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</si>
  <si>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</si>
  <si>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</si>
  <si>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</si>
  <si>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</si>
  <si>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</si>
  <si>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</si>
  <si>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</si>
  <si>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</si>
  <si>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</si>
  <si>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</si>
  <si>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</si>
  <si>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</si>
  <si>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</si>
  <si>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</si>
  <si>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</si>
  <si>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</si>
  <si>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</si>
  <si>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</si>
  <si>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</si>
  <si>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</si>
  <si>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</si>
  <si>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</si>
  <si>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</si>
  <si>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</si>
  <si>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</si>
  <si>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</si>
  <si>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</si>
  <si>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</si>
  <si>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</si>
  <si>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</si>
  <si>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</si>
  <si>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</si>
  <si>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</si>
  <si>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</si>
  <si>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</si>
  <si>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</si>
  <si>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</si>
  <si>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</si>
  <si>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</si>
  <si>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</si>
  <si>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</si>
  <si>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</si>
  <si>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</si>
  <si>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</si>
  <si>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</si>
  <si>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</si>
  <si>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</si>
  <si>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</si>
  <si>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</si>
  <si>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</si>
  <si>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</si>
  <si>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</si>
  <si>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</si>
  <si>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</si>
  <si>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</si>
  <si>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</si>
  <si>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</si>
  <si>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</si>
  <si>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</si>
  <si>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</si>
  <si>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</si>
  <si>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</si>
  <si>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</si>
  <si>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</si>
  <si>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</si>
  <si>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</si>
  <si>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</si>
  <si>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</si>
  <si>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</si>
  <si>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</si>
  <si>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</si>
  <si>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</si>
  <si>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</si>
  <si>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</si>
  <si>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</si>
  <si>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</si>
  <si>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</si>
  <si>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</si>
  <si>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</si>
  <si>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</si>
  <si>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</si>
  <si>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</si>
  <si>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</si>
  <si>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</si>
  <si>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</si>
  <si>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</si>
  <si>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</si>
  <si>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</si>
  <si>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</si>
  <si>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</si>
  <si>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</si>
  <si>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</si>
  <si>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</si>
  <si>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</si>
  <si>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</si>
  <si>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</si>
  <si>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</si>
  <si>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</si>
  <si>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</si>
  <si>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</si>
  <si>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</si>
  <si>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</si>
  <si>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</si>
  <si>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</si>
  <si>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</si>
  <si>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</si>
  <si>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</si>
  <si>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</si>
  <si>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</si>
  <si>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</si>
  <si>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</si>
  <si>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</si>
  <si>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</si>
  <si>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</si>
  <si>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</si>
  <si>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</si>
  <si>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</si>
  <si>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</si>
  <si>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</si>
  <si>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</si>
  <si>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</si>
  <si>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</si>
  <si>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</si>
  <si>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</si>
  <si>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</si>
  <si>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</si>
  <si>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</si>
  <si>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</si>
  <si>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</si>
  <si>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</si>
  <si>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</si>
  <si>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</si>
  <si>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</si>
  <si>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</si>
  <si>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</si>
  <si>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</si>
  <si>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</si>
  <si>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</si>
  <si>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</si>
  <si>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</si>
  <si>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</si>
  <si>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</si>
  <si>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</si>
  <si>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</si>
  <si>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</si>
  <si>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</si>
  <si>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</si>
  <si>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</si>
  <si>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</si>
  <si>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</si>
  <si>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</si>
  <si>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</si>
  <si>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</si>
  <si>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</si>
  <si>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</si>
  <si>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</si>
  <si>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</si>
  <si>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</si>
  <si>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</si>
  <si>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</si>
  <si>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</si>
  <si>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</si>
  <si>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</si>
  <si>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</si>
  <si>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</si>
  <si>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</si>
  <si>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</si>
  <si>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</si>
  <si>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</si>
  <si>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</si>
  <si>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</si>
  <si>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</si>
  <si>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</si>
  <si>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</si>
  <si>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</si>
  <si>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</si>
  <si>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</si>
  <si>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</si>
  <si>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</si>
  <si>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</si>
  <si>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</si>
  <si>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</si>
  <si>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</si>
  <si>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</si>
  <si>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</si>
  <si>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</si>
  <si>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</si>
  <si>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</si>
  <si>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</si>
  <si>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</si>
  <si>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</si>
  <si>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</si>
  <si>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</si>
  <si>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</si>
  <si>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</si>
  <si>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</si>
  <si>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</si>
  <si>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</si>
  <si>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</si>
  <si>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</si>
  <si>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</si>
  <si>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</si>
  <si>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</si>
  <si>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</si>
  <si>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</si>
  <si>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</si>
  <si>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</si>
  <si>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</si>
  <si>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</si>
  <si>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</si>
  <si>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</si>
  <si>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</si>
  <si>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</si>
  <si>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</si>
  <si>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</si>
  <si>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</si>
  <si>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</si>
  <si>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</si>
  <si>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</si>
  <si>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</si>
  <si>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</si>
  <si>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</si>
  <si>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</si>
  <si>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</si>
  <si>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</si>
  <si>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</si>
  <si>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</si>
  <si>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</si>
  <si>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</si>
  <si>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</si>
  <si>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</si>
  <si>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</si>
  <si>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</si>
  <si>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</si>
  <si>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</si>
  <si>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</si>
  <si>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</si>
  <si>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</si>
  <si>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</si>
  <si>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</si>
  <si>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</si>
  <si>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</si>
  <si>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</si>
  <si>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</si>
  <si>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</si>
  <si>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</si>
  <si>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</si>
  <si>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</si>
  <si>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</si>
  <si>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</si>
  <si>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</si>
  <si>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</si>
  <si>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</si>
  <si>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</si>
  <si>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</si>
  <si>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</si>
  <si>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</si>
  <si>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</si>
  <si>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</si>
  <si>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</si>
  <si>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</si>
  <si>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</si>
  <si>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</si>
  <si>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</si>
  <si>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</si>
  <si>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</si>
  <si>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</si>
  <si>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</si>
  <si>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</si>
  <si>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</si>
  <si>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</si>
  <si>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</si>
  <si>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</si>
  <si>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</si>
  <si>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</si>
  <si>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</si>
  <si>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</si>
  <si>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</si>
  <si>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</si>
  <si>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</si>
  <si>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</si>
  <si>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</si>
  <si>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</si>
  <si>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</si>
  <si>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</si>
  <si>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</si>
  <si>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</si>
  <si>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</si>
  <si>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</si>
  <si>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</si>
  <si>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</si>
  <si>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</si>
  <si>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</si>
  <si>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</si>
  <si>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</si>
  <si>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</si>
  <si>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</si>
  <si>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</si>
  <si>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</si>
  <si>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</si>
  <si>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</si>
  <si>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</si>
  <si>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</si>
  <si>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</si>
  <si>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</si>
  <si>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</si>
  <si>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</si>
  <si>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</si>
  <si>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</si>
  <si>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</si>
  <si>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</si>
  <si>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</si>
  <si>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</si>
  <si>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</si>
  <si>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</si>
  <si>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</si>
  <si>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</si>
  <si>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</si>
  <si>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</si>
  <si>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</si>
  <si>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</si>
  <si>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</si>
  <si>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</si>
  <si>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</si>
  <si>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</si>
  <si>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</si>
  <si>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</si>
  <si>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</si>
  <si>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</si>
  <si>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</si>
  <si>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</si>
  <si>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</si>
  <si>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</si>
  <si>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</si>
  <si>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</si>
  <si>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</si>
  <si>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</si>
  <si>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</si>
  <si>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</si>
  <si>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</si>
  <si>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</si>
  <si>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</si>
  <si>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</si>
  <si>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</si>
  <si>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</si>
  <si>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</si>
  <si>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</si>
  <si>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</si>
  <si>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</si>
  <si>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</si>
  <si>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</si>
  <si>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</si>
  <si>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</si>
  <si>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</si>
  <si>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</si>
  <si>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</si>
  <si>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</si>
  <si>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</si>
  <si>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</si>
  <si>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</si>
  <si>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</si>
  <si>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</si>
  <si>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</si>
  <si>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</si>
  <si>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</si>
  <si>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</si>
  <si>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</si>
  <si>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</si>
  <si>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</si>
  <si>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</si>
  <si>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</si>
  <si>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</si>
  <si>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</si>
  <si>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</si>
  <si>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</si>
  <si>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</si>
  <si>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</si>
  <si>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</si>
  <si>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</si>
  <si>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</si>
  <si>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</si>
  <si>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</si>
  <si>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</si>
  <si>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</si>
  <si>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</si>
  <si>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</si>
  <si>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</si>
  <si>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</si>
  <si>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</si>
  <si>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</si>
  <si>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</si>
  <si>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</si>
  <si>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</si>
  <si>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</si>
  <si>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</si>
  <si>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</si>
  <si>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</si>
  <si>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</si>
  <si>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</si>
  <si>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</si>
  <si>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</si>
  <si>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</si>
  <si>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</si>
  <si>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</si>
  <si>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</si>
  <si>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</si>
  <si>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</si>
  <si>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</si>
  <si>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</si>
  <si>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</si>
  <si>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</si>
  <si>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</si>
  <si>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</si>
  <si>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</si>
  <si>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</si>
  <si>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</si>
  <si>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</si>
  <si>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</si>
  <si>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</si>
  <si>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</si>
  <si>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</si>
  <si>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</si>
  <si>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</si>
  <si>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</si>
  <si>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</si>
  <si>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</si>
  <si>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</si>
  <si>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</si>
  <si>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</si>
  <si>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</si>
  <si>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</si>
  <si>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</si>
  <si>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</si>
  <si>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</si>
  <si>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</si>
  <si>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</si>
  <si>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</si>
  <si>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</si>
  <si>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</si>
  <si>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</si>
  <si>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</si>
  <si>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</si>
  <si>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</si>
  <si>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</si>
  <si>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</si>
  <si>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</si>
  <si>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</si>
  <si>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</si>
  <si>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</si>
  <si>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</si>
  <si>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</si>
  <si>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</si>
  <si>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</si>
  <si>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</si>
  <si>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</si>
  <si>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</si>
  <si>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</si>
  <si>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</si>
  <si>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</si>
  <si>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</si>
  <si>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</si>
  <si>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</si>
  <si>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</si>
  <si>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</si>
  <si>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</si>
  <si>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</si>
  <si>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</si>
  <si>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</si>
  <si>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</si>
  <si>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</si>
  <si>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</si>
  <si>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</si>
  <si>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</si>
  <si>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</si>
  <si>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</si>
  <si>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</si>
  <si>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</si>
  <si>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</si>
  <si>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</si>
  <si>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</si>
  <si>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</si>
  <si>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</si>
  <si>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</si>
  <si>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</si>
  <si>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</si>
  <si>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</si>
  <si>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</si>
  <si>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</si>
  <si>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</si>
  <si>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</si>
  <si>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</si>
  <si>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</si>
  <si>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</si>
  <si>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</si>
  <si>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</si>
  <si>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</si>
  <si>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</si>
  <si>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</si>
  <si>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</si>
  <si>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</si>
  <si>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</si>
  <si>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</si>
  <si>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</si>
  <si>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</si>
  <si>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</si>
  <si>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</si>
  <si>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</si>
  <si>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</si>
  <si>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</si>
  <si>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</si>
  <si>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</si>
  <si>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</si>
  <si>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</si>
  <si>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</si>
  <si>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</si>
  <si>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</si>
  <si>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</si>
  <si>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</si>
  <si>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</si>
  <si>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</si>
  <si>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</si>
  <si>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</si>
  <si>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</si>
  <si>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</si>
  <si>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</si>
  <si>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</si>
  <si>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</si>
  <si>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</si>
  <si>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</si>
  <si>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</si>
  <si>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</si>
  <si>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</si>
  <si>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</si>
  <si>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</si>
  <si>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</si>
  <si>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</si>
  <si>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</si>
  <si>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</si>
  <si>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</si>
  <si>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</si>
  <si>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</si>
  <si>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</si>
  <si>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</si>
  <si>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</si>
  <si>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</si>
  <si>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</si>
  <si>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</si>
  <si>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</si>
  <si>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</si>
  <si>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</si>
  <si>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</si>
  <si>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</si>
  <si>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</si>
  <si>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</si>
  <si>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</si>
  <si>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</si>
  <si>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</si>
  <si>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</si>
  <si>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</si>
  <si>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</si>
  <si>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</si>
  <si>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</si>
  <si>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</si>
  <si>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</si>
  <si>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</si>
  <si>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</si>
  <si>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</si>
  <si>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</si>
  <si>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</si>
  <si>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</si>
  <si>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</si>
  <si>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</si>
  <si>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</si>
  <si>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</si>
  <si>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</si>
  <si>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</si>
  <si>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</si>
  <si>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</si>
  <si>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</si>
  <si>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</si>
  <si>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</si>
  <si>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</si>
  <si>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</si>
  <si>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</si>
  <si>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</si>
  <si>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</si>
  <si>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</si>
  <si>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</si>
  <si>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</si>
  <si>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</si>
  <si>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</si>
  <si>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</si>
  <si>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</si>
  <si>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</si>
  <si>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</si>
  <si>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</si>
  <si>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</si>
  <si>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</si>
  <si>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</si>
  <si>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</si>
  <si>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</si>
  <si>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</si>
  <si>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</si>
  <si>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</si>
  <si>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</si>
  <si>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</si>
  <si>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</si>
  <si>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</si>
  <si>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</si>
  <si>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</si>
  <si>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</si>
  <si>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</si>
  <si>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</si>
  <si>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</si>
  <si>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</si>
  <si>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</si>
  <si>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</si>
  <si>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</si>
  <si>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</si>
  <si>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</si>
  <si>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</si>
  <si>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</si>
  <si>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</si>
  <si>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</si>
  <si>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</si>
  <si>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</si>
  <si>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</si>
  <si>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</si>
  <si>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</si>
  <si>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</si>
  <si>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</si>
  <si>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</si>
  <si>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</si>
  <si>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</si>
  <si>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</si>
  <si>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</si>
  <si>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</si>
  <si>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</si>
  <si>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</si>
  <si>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</si>
  <si>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</si>
  <si>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</si>
  <si>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</si>
  <si>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</si>
  <si>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</si>
  <si>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</si>
  <si>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</si>
  <si>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</si>
  <si>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</si>
  <si>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</si>
  <si>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</si>
  <si>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</si>
  <si>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</si>
  <si>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</si>
  <si>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</si>
  <si>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</si>
  <si>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</si>
  <si>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</si>
  <si>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</si>
  <si>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</si>
  <si>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</si>
  <si>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</si>
  <si>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</si>
  <si>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</si>
  <si>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</si>
  <si>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</si>
  <si>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</si>
  <si>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</si>
  <si>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</si>
  <si>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</si>
  <si>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</si>
  <si>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</si>
  <si>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</si>
  <si>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</si>
  <si>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</si>
  <si>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</si>
  <si>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</si>
  <si>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</si>
  <si>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</si>
  <si>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</si>
  <si>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</si>
  <si>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</si>
  <si>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</si>
  <si>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</si>
  <si>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</si>
  <si>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</si>
  <si>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</si>
  <si>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</si>
  <si>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</si>
  <si>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</si>
  <si>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</si>
  <si>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</si>
  <si>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</si>
  <si>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</si>
  <si>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</si>
  <si>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</si>
  <si>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</si>
  <si>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</si>
  <si>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</si>
  <si>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</si>
  <si>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</si>
  <si>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</si>
  <si>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</si>
  <si>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</si>
  <si>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</si>
  <si>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</si>
  <si>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</si>
  <si>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</si>
  <si>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</si>
  <si>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</si>
  <si>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</si>
  <si>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</si>
  <si>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</si>
  <si>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</si>
  <si>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</si>
  <si>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</si>
  <si>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</si>
  <si>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</si>
  <si>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</si>
  <si>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</si>
  <si>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</si>
  <si>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</si>
  <si>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</si>
  <si>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</si>
  <si>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</si>
  <si>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</si>
  <si>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</si>
  <si>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</si>
  <si>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</si>
  <si>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</si>
  <si>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</si>
  <si>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</si>
  <si>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</si>
  <si>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</si>
  <si>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</si>
  <si>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</si>
  <si>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</si>
  <si>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</si>
  <si>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</si>
  <si>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</si>
  <si>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</si>
  <si>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</si>
  <si>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</si>
  <si>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</si>
  <si>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</si>
  <si>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</si>
  <si>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</si>
  <si>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</si>
  <si>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</si>
  <si>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</si>
  <si>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</si>
  <si>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</si>
  <si>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</si>
  <si>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</si>
  <si>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</si>
  <si>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</si>
  <si>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</si>
  <si>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</si>
  <si>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</si>
  <si>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</si>
  <si>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</si>
  <si>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</si>
  <si>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</si>
  <si>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</si>
  <si>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</si>
  <si>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</si>
  <si>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</si>
  <si>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</si>
  <si>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</si>
  <si>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</si>
  <si>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</si>
  <si>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</si>
  <si>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</si>
  <si>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</si>
  <si>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</si>
  <si>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</si>
  <si>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</si>
  <si>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</si>
  <si>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</si>
  <si>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</si>
  <si>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</si>
  <si>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</si>
  <si>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</si>
  <si>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</si>
  <si>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</si>
  <si>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</si>
  <si>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</si>
  <si>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</si>
  <si>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</si>
  <si>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</si>
  <si>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</si>
  <si>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</si>
  <si>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</si>
  <si>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</si>
  <si>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</si>
  <si>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</si>
  <si>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</si>
  <si>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</si>
  <si>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</si>
  <si>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</si>
  <si>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</si>
  <si>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</si>
  <si>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</si>
  <si>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</si>
  <si>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</si>
  <si>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</si>
  <si>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</si>
  <si>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</si>
  <si>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</si>
  <si>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</si>
  <si>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</si>
  <si>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</si>
  <si>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</si>
  <si>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</si>
  <si>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</si>
  <si>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</si>
  <si>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</si>
  <si>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</si>
  <si>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</si>
  <si>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</si>
  <si>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</si>
  <si>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</si>
  <si>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</si>
  <si>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</si>
  <si>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</si>
  <si>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</si>
  <si>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</si>
  <si>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</si>
  <si>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</si>
  <si>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</si>
  <si>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</si>
  <si>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</si>
  <si>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</si>
  <si>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</si>
  <si>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</si>
  <si>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</si>
  <si>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</si>
  <si>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</si>
  <si>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</si>
  <si>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</si>
  <si>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</si>
  <si>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</si>
  <si>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</si>
  <si>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</si>
  <si>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</si>
  <si>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</si>
  <si>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</si>
  <si>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</si>
  <si>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</si>
  <si>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</si>
  <si>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</si>
  <si>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</si>
  <si>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</si>
  <si>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</si>
  <si>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</si>
  <si>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</si>
  <si>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</si>
  <si>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</si>
  <si>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</si>
  <si>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</si>
  <si>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</si>
  <si>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</si>
  <si>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</si>
  <si>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</si>
  <si>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</si>
  <si>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</si>
  <si>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</si>
  <si>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</si>
  <si>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</si>
  <si>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</si>
  <si>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</si>
  <si>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</si>
  <si>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</si>
  <si>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</si>
  <si>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</si>
  <si>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</si>
  <si>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</si>
  <si>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</si>
  <si>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</si>
  <si>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</si>
  <si>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</si>
  <si>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</si>
  <si>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</si>
  <si>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</si>
  <si>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</si>
  <si>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</si>
  <si>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</si>
  <si>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</si>
  <si>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</si>
  <si>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</si>
  <si>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</si>
  <si>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</si>
  <si>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</si>
  <si>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</si>
  <si>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</si>
  <si>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</si>
  <si>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</si>
  <si>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</si>
  <si>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</si>
  <si>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</si>
  <si>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</si>
  <si>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</si>
  <si>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</si>
  <si>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</si>
  <si>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</si>
  <si>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</si>
  <si>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</si>
  <si>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</si>
  <si>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</si>
  <si>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</si>
  <si>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</si>
  <si>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</si>
  <si>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</si>
  <si>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</si>
  <si>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</si>
  <si>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</si>
  <si>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</si>
  <si>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</si>
  <si>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</si>
  <si>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</si>
  <si>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</si>
  <si>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</si>
  <si>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</si>
  <si>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</si>
  <si>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</si>
  <si>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</si>
  <si>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</si>
  <si>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</si>
  <si>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</si>
  <si>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</si>
  <si>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</si>
  <si>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</si>
  <si>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</si>
  <si>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</si>
  <si>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</si>
  <si>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</si>
  <si>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</si>
  <si>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</si>
  <si>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</si>
  <si>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</si>
  <si>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</si>
  <si>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</si>
  <si>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</si>
  <si>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</si>
  <si>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</si>
  <si>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</si>
  <si>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</si>
  <si>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</si>
  <si>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</si>
  <si>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</si>
  <si>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</si>
  <si>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</si>
  <si>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</si>
  <si>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</si>
  <si>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</si>
  <si>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</si>
  <si>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</si>
  <si>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</si>
  <si>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</si>
  <si>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</si>
  <si>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</si>
  <si>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</si>
  <si>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</si>
  <si>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</si>
  <si>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</si>
  <si>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</si>
  <si>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</si>
  <si>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</si>
  <si>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</si>
  <si>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</si>
  <si>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</si>
  <si>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</si>
  <si>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</si>
  <si>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</si>
  <si>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</si>
  <si>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</si>
  <si>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</si>
  <si>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</si>
  <si>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</si>
  <si>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</si>
  <si>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</si>
  <si>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</si>
  <si>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</si>
  <si>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</si>
  <si>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</si>
  <si>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</si>
  <si>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</si>
  <si>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</si>
  <si>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</si>
  <si>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</si>
  <si>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</si>
  <si>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</si>
  <si>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</si>
  <si>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</si>
  <si>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</si>
  <si>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</si>
  <si>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</si>
  <si>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</si>
  <si>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</si>
  <si>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</si>
  <si>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</si>
  <si>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</si>
  <si>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</si>
  <si>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</si>
  <si>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</si>
  <si>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</si>
  <si>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</si>
  <si>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</si>
  <si>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</si>
  <si>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</si>
  <si>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</si>
  <si>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</si>
  <si>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</si>
  <si>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</si>
  <si>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</si>
  <si>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</si>
  <si>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</si>
  <si>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</si>
  <si>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</si>
  <si>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</si>
  <si>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</si>
  <si>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</si>
  <si>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</si>
  <si>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</si>
  <si>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</si>
  <si>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</si>
  <si>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</si>
  <si>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</si>
  <si>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</si>
  <si>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</si>
  <si>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</si>
  <si>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</si>
  <si>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</si>
  <si>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</si>
  <si>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</si>
  <si>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</si>
  <si>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</si>
  <si>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</si>
  <si>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</si>
  <si>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</si>
  <si>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</si>
  <si>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</si>
  <si>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</si>
  <si>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</si>
  <si>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</si>
  <si>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</si>
  <si>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</si>
  <si>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</si>
  <si>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</si>
  <si>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</si>
  <si>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</si>
  <si>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</si>
  <si>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</si>
  <si>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</si>
  <si>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</si>
  <si>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</si>
  <si>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</si>
  <si>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</si>
  <si>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</si>
  <si>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</si>
  <si>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</si>
  <si>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</si>
  <si>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</si>
  <si>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</si>
  <si>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</si>
  <si>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</si>
  <si>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</si>
  <si>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</si>
  <si>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</si>
  <si>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</si>
  <si>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</si>
  <si>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</si>
  <si>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</si>
  <si>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</si>
  <si>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</si>
  <si>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</si>
  <si>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</si>
  <si>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</si>
  <si>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</si>
  <si>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</si>
  <si>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</si>
  <si>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</si>
  <si>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</si>
  <si>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</si>
  <si>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</si>
  <si>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</si>
  <si>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</si>
  <si>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</si>
  <si>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</si>
  <si>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</si>
  <si>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</si>
  <si>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</si>
  <si>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</si>
  <si>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</si>
  <si>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</si>
  <si>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</si>
  <si>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</si>
  <si>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</si>
  <si>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</si>
  <si>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</si>
  <si>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</si>
  <si>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</si>
  <si>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</si>
  <si>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</si>
  <si>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</si>
  <si>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</si>
  <si>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</si>
  <si>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</si>
  <si>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</si>
  <si>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</si>
  <si>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</si>
  <si>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</si>
  <si>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</si>
  <si>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</si>
  <si>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</si>
  <si>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</si>
  <si>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</si>
  <si>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</si>
  <si>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</si>
  <si>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</si>
  <si>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</si>
  <si>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</si>
  <si>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</si>
  <si>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</si>
  <si>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</si>
  <si>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</si>
  <si>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</si>
  <si>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</si>
  <si>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</si>
  <si>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</si>
  <si>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</si>
  <si>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</si>
  <si>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</si>
  <si>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</si>
  <si>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</si>
  <si>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</si>
  <si>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</si>
  <si>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</si>
  <si>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</si>
  <si>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</si>
  <si>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</si>
  <si>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</si>
  <si>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</si>
  <si>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</si>
  <si>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</si>
  <si>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</si>
  <si>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</si>
  <si>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</si>
  <si>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</si>
  <si>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</si>
  <si>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</si>
  <si>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</si>
  <si>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</si>
  <si>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</si>
  <si>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</si>
  <si>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</si>
  <si>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</si>
  <si>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</si>
  <si>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</si>
  <si>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</si>
  <si>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</si>
  <si>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</si>
  <si>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</si>
  <si>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</si>
  <si>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</si>
  <si>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</si>
  <si>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</si>
  <si>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</si>
  <si>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</si>
  <si>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</si>
  <si>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</si>
  <si>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</si>
  <si>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</si>
  <si>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</si>
  <si>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</si>
  <si>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</si>
  <si>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</si>
  <si>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</si>
  <si>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</si>
  <si>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</si>
  <si>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</si>
  <si>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</si>
  <si>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</si>
  <si>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</si>
  <si>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</si>
  <si>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</si>
  <si>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</si>
  <si>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</si>
  <si>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</si>
  <si>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</si>
  <si>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</si>
  <si>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</si>
  <si>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</si>
  <si>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</si>
  <si>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</si>
  <si>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</si>
  <si>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</si>
  <si>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</si>
  <si>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</si>
  <si>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</si>
  <si>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</si>
  <si>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</si>
  <si>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</si>
  <si>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</si>
  <si>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</si>
  <si>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</si>
  <si>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</si>
  <si>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</si>
  <si>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</si>
  <si>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</si>
  <si>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</si>
  <si>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</si>
  <si>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</si>
  <si>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</si>
  <si>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</si>
  <si>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</si>
  <si>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</si>
  <si>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</si>
  <si>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</si>
  <si>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</si>
  <si>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</si>
  <si>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</si>
  <si>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</si>
  <si>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</si>
  <si>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</si>
  <si>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</si>
  <si>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</si>
  <si>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</si>
  <si>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</si>
  <si>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</si>
  <si>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</si>
  <si>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</si>
  <si>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</si>
  <si>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</si>
  <si>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</si>
  <si>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</si>
  <si>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</si>
  <si>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</si>
  <si>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</si>
  <si>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</si>
  <si>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</si>
  <si>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</si>
  <si>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</si>
  <si>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</si>
  <si>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</si>
  <si>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</si>
  <si>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</si>
  <si>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</si>
  <si>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</si>
  <si>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</si>
  <si>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</si>
  <si>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</si>
  <si>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</si>
  <si>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</si>
  <si>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</si>
  <si>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</si>
  <si>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</si>
  <si>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</si>
  <si>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</si>
  <si>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</si>
  <si>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</si>
  <si>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</si>
  <si>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</si>
  <si>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</si>
  <si>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</si>
  <si>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</si>
  <si>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</si>
  <si>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</si>
  <si>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</si>
  <si>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</si>
  <si>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</si>
  <si>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</si>
  <si>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</si>
  <si>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</si>
  <si>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</si>
  <si>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</si>
  <si>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</si>
  <si>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</si>
  <si>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</si>
  <si>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</si>
  <si>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</si>
  <si>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</si>
  <si>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</si>
  <si>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</si>
  <si>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</si>
  <si>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</si>
  <si>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</si>
  <si>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</si>
  <si>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</si>
  <si>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</si>
  <si>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</si>
  <si>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</si>
  <si>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</si>
  <si>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</si>
  <si>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</si>
  <si>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</si>
  <si>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</si>
  <si>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</si>
  <si>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</si>
  <si>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</si>
  <si>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</si>
  <si>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</si>
  <si>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</si>
  <si>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</si>
  <si>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</si>
  <si>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</si>
  <si>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</si>
  <si>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</si>
  <si>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</si>
  <si>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</si>
  <si>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</si>
  <si>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</si>
  <si>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</si>
  <si>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</si>
  <si>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</si>
  <si>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</si>
  <si>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</si>
  <si>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</si>
  <si>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</si>
  <si>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</si>
  <si>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</si>
  <si>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</si>
  <si>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</si>
  <si>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</si>
  <si>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</si>
  <si>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</si>
  <si>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</si>
  <si>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</si>
  <si>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</si>
  <si>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</si>
  <si>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</si>
  <si>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</si>
  <si>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</si>
  <si>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</si>
  <si>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</si>
  <si>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</si>
  <si>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</si>
  <si>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</si>
  <si>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</si>
  <si>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</si>
  <si>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</si>
  <si>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</si>
  <si>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</si>
  <si>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</si>
  <si>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</si>
  <si>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</si>
  <si>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</si>
  <si>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</si>
  <si>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</si>
  <si>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</si>
  <si>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</si>
  <si>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</si>
  <si>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</si>
  <si>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</si>
  <si>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</si>
  <si>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</si>
  <si>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</si>
  <si>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</si>
  <si>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</si>
  <si>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</si>
  <si>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</si>
  <si>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</si>
  <si>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</si>
  <si>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</si>
  <si>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</si>
  <si>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</si>
  <si>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</si>
  <si>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</si>
  <si>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</si>
  <si>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</si>
  <si>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</si>
  <si>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</si>
  <si>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</si>
  <si>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</si>
  <si>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</si>
  <si>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</si>
  <si>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</si>
  <si>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</si>
  <si>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</si>
  <si>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</si>
  <si>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</si>
  <si>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</si>
  <si>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</si>
  <si>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</si>
  <si>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</si>
  <si>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</si>
  <si>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</si>
  <si>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</si>
  <si>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</si>
  <si>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</si>
  <si>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</si>
  <si>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</si>
  <si>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</si>
  <si>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</si>
  <si>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</si>
  <si>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</si>
  <si>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</si>
  <si>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</si>
  <si>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</si>
  <si>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</si>
  <si>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</si>
  <si>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</si>
  <si>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</si>
  <si>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</si>
  <si>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</si>
  <si>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</si>
  <si>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</si>
  <si>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</si>
  <si>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</si>
  <si>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</si>
  <si>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</si>
  <si>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</si>
  <si>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</si>
  <si>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</si>
  <si>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</si>
  <si>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</si>
  <si>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</si>
  <si>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</si>
  <si>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</si>
  <si>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</si>
  <si>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</si>
  <si>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</si>
  <si>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</si>
  <si>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</si>
  <si>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</si>
  <si>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</si>
  <si>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</si>
  <si>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</si>
  <si>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</si>
  <si>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</si>
  <si>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</si>
  <si>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</si>
  <si>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</si>
  <si>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</si>
  <si>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</si>
  <si>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</si>
  <si>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</si>
  <si>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</si>
  <si>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</si>
  <si>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</si>
  <si>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</si>
  <si>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</si>
  <si>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</si>
  <si>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</si>
  <si>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</si>
  <si>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</si>
  <si>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</si>
  <si>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</si>
  <si>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</si>
  <si>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</si>
  <si>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</si>
  <si>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</si>
  <si>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</si>
  <si>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</si>
  <si>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</si>
  <si>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</si>
  <si>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</si>
  <si>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</si>
  <si>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</si>
  <si>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</si>
  <si>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</si>
  <si>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</si>
  <si>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</si>
  <si>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</si>
  <si>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</si>
  <si>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</si>
  <si>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</si>
  <si>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</si>
  <si>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</si>
  <si>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</si>
  <si>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</si>
  <si>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</si>
  <si>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</si>
  <si>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</si>
  <si>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</si>
  <si>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</si>
  <si>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</si>
  <si>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</si>
  <si>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</si>
  <si>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</si>
  <si>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</si>
  <si>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</si>
  <si>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</si>
  <si>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</si>
  <si>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</si>
  <si>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</si>
  <si>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</si>
  <si>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</si>
  <si>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</si>
  <si>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</si>
  <si>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</si>
  <si>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</si>
  <si>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</si>
  <si>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</si>
  <si>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</si>
  <si>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</si>
  <si>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</si>
  <si>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</si>
  <si>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</si>
  <si>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</si>
  <si>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</si>
  <si>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</si>
  <si>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</si>
  <si>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</si>
  <si>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</si>
  <si>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</si>
  <si>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</si>
  <si>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</si>
  <si>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</si>
  <si>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</si>
  <si>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</si>
  <si>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</si>
  <si>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</si>
  <si>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</si>
  <si>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</si>
  <si>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</si>
  <si>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</si>
  <si>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</si>
  <si>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</si>
  <si>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</si>
  <si>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</si>
  <si>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</si>
  <si>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</si>
  <si>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</si>
  <si>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</si>
  <si>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</si>
  <si>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</si>
  <si>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</si>
  <si>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</si>
  <si>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</si>
  <si>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</si>
  <si>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</si>
  <si>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</si>
  <si>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</si>
  <si>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</si>
  <si>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</si>
  <si>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</si>
  <si>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</si>
  <si>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</si>
  <si>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</si>
  <si>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</si>
  <si>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</si>
  <si>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</si>
  <si>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</si>
  <si>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</si>
  <si>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</si>
  <si>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</si>
  <si>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</si>
  <si>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</si>
  <si>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</si>
  <si>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</si>
  <si>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</si>
  <si>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</si>
  <si>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</si>
  <si>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</si>
  <si>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</si>
  <si>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</si>
  <si>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</si>
  <si>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</si>
  <si>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</si>
  <si>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</si>
  <si>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</si>
  <si>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</si>
  <si>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</si>
  <si>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</si>
  <si>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</si>
  <si>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</si>
  <si>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</si>
  <si>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</si>
  <si>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</si>
  <si>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</si>
  <si>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</si>
  <si>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</si>
  <si>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</si>
  <si>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</si>
  <si>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</si>
  <si>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</si>
  <si>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</si>
  <si>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</si>
  <si>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</si>
  <si>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</si>
  <si>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</si>
  <si>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</si>
  <si>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</si>
  <si>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</si>
  <si>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</si>
  <si>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</si>
  <si>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</si>
  <si>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</si>
  <si>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</si>
  <si>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</si>
  <si>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</si>
  <si>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</si>
  <si>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</si>
  <si>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</si>
  <si>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</si>
  <si>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</si>
  <si>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</si>
  <si>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</si>
  <si>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</si>
  <si>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</si>
  <si>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</si>
  <si>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</si>
  <si>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</si>
  <si>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</si>
  <si>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</si>
  <si>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</si>
  <si>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</si>
  <si>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</si>
  <si>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</si>
  <si>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</si>
  <si>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</si>
  <si>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</si>
  <si>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</si>
  <si>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</si>
  <si>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</si>
  <si>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</si>
  <si>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</si>
  <si>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</si>
  <si>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</si>
  <si>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</si>
  <si>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</si>
  <si>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</si>
  <si>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</si>
  <si>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</si>
  <si>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</si>
  <si>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</si>
  <si>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</si>
  <si>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</si>
  <si>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</si>
  <si>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</si>
  <si>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</si>
  <si>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</si>
  <si>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</si>
  <si>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</si>
  <si>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</si>
  <si>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</si>
  <si>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</si>
  <si>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</si>
  <si>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</si>
  <si>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</si>
  <si>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</si>
  <si>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</si>
  <si>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</si>
  <si>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</si>
  <si>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</si>
  <si>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</si>
  <si>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</si>
  <si>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</si>
  <si>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</si>
  <si>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</si>
  <si>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</si>
  <si>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</si>
  <si>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</si>
  <si>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</si>
  <si>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</si>
  <si>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</si>
  <si>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</si>
  <si>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</si>
  <si>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</si>
  <si>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</si>
  <si>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</si>
  <si>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</si>
  <si>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</si>
  <si>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</si>
  <si>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</si>
  <si>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</si>
  <si>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</si>
  <si>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</si>
  <si>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</si>
  <si>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</si>
  <si>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</si>
  <si>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</si>
  <si>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</si>
  <si>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</si>
  <si>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</si>
  <si>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</si>
  <si>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</si>
  <si>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</si>
  <si>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</si>
  <si>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</si>
  <si>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</si>
  <si>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</si>
  <si>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</si>
  <si>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</si>
  <si>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</si>
  <si>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</si>
  <si>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</si>
  <si>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</si>
  <si>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</si>
  <si>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</si>
  <si>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</si>
  <si>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</si>
  <si>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</si>
  <si>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</si>
  <si>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</si>
  <si>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</si>
  <si>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</si>
  <si>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</si>
  <si>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</si>
  <si>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</si>
  <si>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</si>
  <si>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</si>
  <si>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</si>
  <si>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</si>
  <si>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</si>
  <si>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</si>
  <si>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</si>
  <si>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</si>
  <si>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</si>
  <si>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</si>
  <si>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</si>
  <si>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</si>
  <si>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</si>
  <si>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</si>
  <si>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</si>
  <si>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</si>
  <si>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</si>
  <si>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</si>
  <si>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</si>
  <si>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</si>
  <si>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</si>
  <si>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</si>
  <si>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</si>
  <si>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</si>
  <si>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</si>
  <si>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</si>
  <si>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</si>
  <si>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</si>
  <si>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</si>
  <si>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</si>
  <si>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</si>
  <si>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</si>
  <si>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</si>
  <si>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</si>
  <si>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</si>
  <si>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</si>
  <si>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</si>
  <si>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</si>
  <si>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</si>
  <si>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</si>
  <si>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</si>
  <si>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</si>
  <si>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</si>
  <si>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</si>
  <si>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</si>
  <si>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</si>
  <si>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</si>
  <si>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</si>
  <si>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</si>
  <si>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</si>
  <si>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</si>
  <si>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</si>
  <si>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</si>
  <si>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</si>
  <si>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</si>
  <si>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</si>
  <si>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</si>
  <si>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</si>
  <si>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</si>
  <si>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</si>
  <si>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</si>
  <si>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</si>
  <si>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</si>
  <si>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</si>
  <si>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</si>
  <si>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</si>
  <si>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</si>
  <si>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</si>
  <si>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</si>
  <si>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</si>
  <si>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</si>
  <si>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</si>
  <si>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</si>
  <si>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</si>
  <si>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</si>
  <si>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</si>
  <si>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</si>
  <si>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</si>
  <si>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</si>
  <si>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</si>
  <si>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</si>
  <si>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</si>
  <si>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</si>
  <si>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</si>
  <si>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</si>
  <si>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</si>
  <si>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</si>
  <si>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</si>
  <si>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</si>
  <si>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</si>
  <si>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</si>
  <si>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</si>
  <si>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</si>
  <si>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</si>
  <si>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</si>
  <si>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</si>
  <si>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</si>
  <si>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</si>
  <si>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</si>
  <si>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</si>
  <si>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</si>
  <si>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</si>
  <si>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</si>
  <si>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</si>
  <si>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</si>
  <si>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</si>
  <si>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</si>
  <si>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</si>
  <si>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</si>
  <si>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</si>
  <si>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</si>
  <si>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</si>
  <si>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</si>
  <si>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</si>
  <si>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</si>
  <si>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</si>
  <si>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</si>
  <si>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</si>
  <si>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</si>
  <si>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</si>
  <si>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</si>
  <si>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</si>
  <si>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</si>
  <si>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</si>
  <si>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</si>
  <si>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</si>
  <si>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</si>
  <si>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</si>
  <si>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</si>
  <si>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</si>
  <si>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</si>
  <si>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</si>
  <si>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</si>
  <si>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</si>
  <si>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</si>
  <si>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</si>
  <si>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</si>
  <si>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</si>
  <si>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</si>
  <si>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</si>
  <si>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</si>
  <si>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</si>
  <si>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</si>
  <si>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</si>
  <si>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</si>
  <si>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</si>
  <si>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</si>
  <si>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</si>
  <si>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</si>
  <si>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</si>
  <si>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</si>
  <si>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</si>
  <si>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</si>
  <si>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</si>
  <si>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</si>
  <si>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</si>
  <si>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</si>
  <si>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</si>
  <si>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</si>
  <si>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</si>
  <si>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</si>
  <si>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</si>
  <si>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</si>
  <si>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</si>
  <si>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</si>
  <si>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</si>
  <si>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</si>
  <si>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</si>
  <si>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</si>
  <si>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</si>
  <si>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</si>
  <si>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</si>
  <si>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</si>
  <si>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</si>
  <si>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</si>
  <si>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</si>
  <si>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</si>
  <si>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</si>
  <si>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</si>
  <si>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</si>
  <si>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</si>
  <si>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</si>
  <si>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</si>
  <si>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</si>
  <si>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</si>
  <si>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</si>
  <si>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</si>
  <si>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</si>
  <si>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</si>
  <si>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</si>
  <si>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</si>
  <si>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</si>
  <si>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</si>
  <si>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</si>
  <si>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</si>
  <si>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</si>
  <si>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</si>
  <si>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</si>
  <si>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</si>
  <si>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</si>
  <si>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</si>
  <si>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</si>
  <si>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</si>
  <si>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</si>
  <si>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</si>
  <si>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</si>
  <si>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</si>
  <si>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</si>
  <si>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</si>
  <si>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</si>
  <si>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</si>
  <si>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</si>
  <si>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</si>
  <si>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</si>
  <si>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</si>
  <si>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</si>
  <si>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</si>
  <si>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</si>
  <si>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</si>
  <si>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</si>
  <si>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</si>
  <si>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</si>
  <si>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</si>
  <si>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</si>
  <si>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</si>
  <si>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</si>
  <si>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</si>
  <si>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</si>
  <si>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</si>
  <si>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</si>
  <si>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</si>
  <si>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</si>
  <si>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</si>
  <si>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</si>
  <si>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</si>
  <si>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</si>
  <si>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</si>
  <si>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</si>
  <si>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</si>
  <si>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</si>
  <si>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</si>
  <si>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</si>
  <si>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</si>
  <si>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</si>
  <si>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</si>
  <si>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</si>
  <si>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</si>
  <si>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</si>
  <si>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</si>
  <si>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</si>
  <si>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</si>
  <si>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</si>
  <si>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</si>
  <si>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</si>
  <si>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</si>
  <si>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</si>
  <si>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</si>
  <si>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</si>
  <si>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</si>
  <si>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</si>
  <si>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</si>
  <si>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</si>
  <si>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</si>
  <si>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</si>
  <si>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</si>
  <si>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</si>
  <si>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</si>
  <si>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</si>
  <si>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</si>
  <si>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</si>
  <si>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</si>
  <si>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</si>
  <si>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</si>
  <si>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</si>
  <si>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</si>
  <si>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</si>
  <si>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</si>
  <si>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</si>
  <si>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</si>
  <si>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</si>
  <si>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</si>
  <si>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</si>
  <si>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</si>
  <si>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</si>
  <si>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</si>
  <si>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</si>
  <si>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</si>
  <si>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</si>
  <si>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</si>
  <si>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</si>
  <si>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</si>
  <si>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</si>
  <si>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</si>
  <si>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</si>
  <si>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</si>
  <si>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</si>
  <si>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</si>
  <si>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</si>
  <si>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</si>
  <si>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</si>
  <si>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</si>
  <si>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</si>
  <si>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</si>
  <si>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</si>
  <si>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</si>
  <si>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</si>
  <si>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</si>
  <si>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</si>
  <si>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</si>
  <si>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</si>
  <si>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</si>
  <si>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</si>
  <si>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</si>
  <si>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</si>
  <si>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</si>
  <si>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</si>
  <si>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</si>
  <si>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</si>
  <si>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</si>
  <si>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</si>
  <si>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</si>
  <si>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</si>
  <si>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</si>
  <si>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</si>
  <si>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</si>
  <si>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</si>
  <si>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</si>
  <si>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</si>
  <si>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</si>
  <si>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</si>
  <si>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</si>
  <si>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</si>
  <si>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</si>
  <si>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</si>
  <si>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</si>
  <si>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</si>
  <si>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</si>
  <si>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</si>
  <si>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</si>
  <si>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</si>
  <si>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</si>
  <si>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</si>
  <si>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</si>
  <si>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</si>
  <si>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</si>
  <si>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</si>
  <si>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</si>
  <si>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</si>
  <si>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</si>
  <si>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</si>
  <si>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</si>
  <si>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</si>
  <si>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</si>
  <si>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</si>
  <si>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</si>
  <si>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</si>
  <si>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</si>
  <si>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</si>
  <si>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</si>
  <si>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</si>
  <si>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</si>
  <si>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</si>
  <si>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</si>
  <si>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</si>
  <si>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</si>
  <si>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</si>
  <si>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</si>
  <si>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</si>
  <si>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</si>
  <si>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</si>
  <si>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</si>
  <si>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</si>
  <si>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</si>
  <si>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</si>
  <si>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</si>
  <si>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</si>
  <si>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</si>
  <si>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</si>
  <si>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</si>
  <si>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</si>
  <si>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</si>
  <si>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</si>
  <si>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</si>
  <si>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</si>
  <si>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</si>
  <si>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</si>
  <si>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</si>
  <si>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</si>
  <si>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</si>
  <si>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</si>
  <si>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</si>
  <si>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</si>
  <si>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</si>
  <si>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</si>
  <si>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</si>
  <si>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</si>
  <si>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</si>
  <si>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</si>
  <si>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</si>
  <si>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</si>
  <si>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</si>
  <si>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</si>
  <si>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</si>
  <si>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</si>
  <si>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</si>
  <si>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</si>
  <si>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</si>
  <si>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</si>
  <si>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</si>
  <si>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</si>
  <si>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</si>
  <si>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</si>
  <si>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</si>
  <si>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</si>
  <si>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</si>
  <si>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</si>
  <si>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</si>
  <si>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</si>
  <si>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</si>
  <si>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</si>
  <si>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</si>
  <si>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</si>
  <si>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</si>
  <si>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</si>
  <si>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</si>
  <si>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</si>
  <si>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</si>
  <si>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</si>
  <si>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</si>
  <si>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</si>
  <si>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</si>
  <si>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</si>
  <si>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</si>
  <si>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</si>
  <si>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</si>
  <si>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</si>
  <si>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</si>
  <si>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</si>
  <si>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</si>
  <si>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</si>
  <si>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</si>
  <si>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</si>
  <si>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</si>
  <si>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</si>
  <si>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</si>
  <si>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</si>
  <si>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</si>
  <si>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</si>
  <si>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</si>
  <si>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</si>
  <si>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</si>
  <si>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</si>
  <si>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</si>
  <si>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</si>
  <si>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</si>
  <si>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</si>
  <si>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</si>
  <si>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</si>
  <si>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</si>
  <si>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</si>
  <si>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</si>
  <si>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</si>
  <si>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</si>
  <si>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</si>
  <si>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</si>
  <si>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</si>
  <si>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</si>
  <si>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</si>
  <si>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</si>
  <si>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</si>
  <si>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</si>
  <si>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</si>
  <si>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</si>
  <si>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</si>
  <si>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</si>
  <si>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</si>
  <si>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</si>
  <si>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</si>
  <si>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</si>
  <si>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</si>
  <si>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</si>
  <si>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</si>
  <si>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</si>
  <si>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</si>
  <si>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</si>
  <si>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</si>
  <si>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</si>
  <si>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</si>
  <si>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</si>
  <si>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</si>
  <si>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</si>
  <si>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</si>
  <si>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</si>
  <si>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</si>
  <si>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</si>
  <si>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</si>
  <si>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</si>
  <si>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</si>
  <si>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</si>
  <si>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</si>
  <si>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</si>
  <si>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</si>
  <si>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</si>
  <si>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</si>
  <si>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</si>
  <si>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</si>
  <si>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</si>
  <si>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</si>
  <si>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</si>
  <si>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</si>
  <si>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</si>
  <si>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</si>
  <si>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</si>
  <si>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</si>
  <si>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</si>
  <si>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</si>
  <si>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</si>
  <si>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</si>
  <si>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</si>
  <si>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</si>
  <si>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</si>
  <si>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</si>
  <si>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</si>
  <si>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</si>
  <si>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</si>
  <si>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</si>
  <si>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</si>
  <si>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</si>
  <si>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</si>
  <si>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</si>
  <si>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</si>
  <si>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</si>
  <si>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</si>
  <si>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</si>
  <si>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</si>
  <si>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</si>
  <si>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</si>
  <si>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</si>
  <si>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</si>
  <si>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</si>
  <si>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</si>
  <si>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</si>
  <si>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</si>
  <si>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</si>
  <si>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</si>
  <si>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</si>
  <si>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</si>
  <si>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</si>
  <si>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</si>
  <si>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</si>
  <si>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</si>
  <si>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</si>
  <si>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</si>
  <si>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</si>
  <si>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</si>
  <si>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</si>
  <si>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</si>
  <si>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</si>
  <si>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</si>
  <si>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</si>
  <si>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</si>
  <si>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</si>
  <si>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</si>
  <si>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</si>
  <si>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</si>
  <si>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</si>
  <si>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</si>
  <si>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</si>
  <si>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</si>
  <si>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</si>
  <si>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</si>
  <si>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</si>
  <si>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</si>
  <si>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</si>
  <si>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</si>
  <si>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</si>
  <si>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</si>
  <si>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</si>
  <si>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</si>
  <si>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</si>
  <si>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</si>
  <si>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</si>
  <si>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</si>
  <si>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</si>
  <si>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</si>
  <si>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</si>
  <si>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</si>
  <si>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</si>
  <si>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</si>
  <si>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</si>
  <si>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</si>
  <si>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</si>
  <si>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</si>
  <si>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</si>
  <si>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</si>
  <si>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</si>
  <si>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</si>
  <si>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</si>
  <si>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</si>
  <si>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</si>
  <si>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</si>
  <si>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</si>
  <si>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</si>
  <si>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</si>
  <si>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</si>
  <si>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</si>
  <si>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</si>
  <si>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</si>
  <si>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</si>
  <si>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</si>
  <si>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</si>
  <si>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</si>
  <si>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</si>
  <si>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</si>
  <si>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</si>
  <si>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</si>
  <si>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</si>
  <si>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</si>
  <si>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</si>
  <si>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</si>
  <si>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</si>
  <si>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</si>
  <si>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</si>
  <si>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</si>
  <si>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</si>
  <si>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</si>
  <si>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</si>
  <si>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</si>
  <si>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</si>
  <si>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</si>
  <si>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</si>
  <si>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</si>
  <si>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</si>
  <si>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</si>
  <si>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</si>
  <si>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</si>
  <si>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</si>
  <si>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</si>
  <si>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</si>
  <si>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</si>
  <si>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</si>
  <si>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</si>
  <si>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</si>
  <si>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</si>
  <si>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</si>
  <si>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</si>
  <si>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</si>
  <si>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</si>
  <si>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</si>
  <si>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</si>
  <si>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</si>
  <si>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</si>
  <si>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</si>
  <si>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</si>
  <si>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</si>
  <si>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</si>
  <si>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</si>
  <si>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</si>
  <si>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</si>
  <si>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</si>
  <si>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</si>
  <si>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</si>
  <si>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</si>
  <si>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</si>
  <si>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</si>
  <si>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</si>
  <si>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</si>
  <si>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</si>
  <si>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</si>
  <si>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</si>
  <si>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</si>
  <si>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</si>
  <si>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</si>
  <si>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</si>
  <si>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</si>
  <si>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</si>
  <si>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</si>
  <si>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</si>
  <si>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</si>
  <si>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</si>
  <si>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</si>
  <si>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</si>
  <si>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</si>
  <si>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</si>
  <si>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</si>
  <si>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</si>
  <si>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</si>
  <si>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</si>
  <si>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</si>
  <si>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</si>
  <si>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</si>
  <si>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</si>
  <si>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</si>
  <si>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</si>
  <si>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</si>
  <si>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</si>
  <si>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</si>
  <si>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</si>
  <si>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</si>
  <si>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</si>
  <si>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</si>
  <si>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</si>
  <si>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</si>
  <si>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</si>
  <si>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</si>
  <si>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</si>
  <si>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</si>
  <si>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</si>
  <si>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</si>
  <si>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</si>
  <si>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</si>
  <si>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</si>
  <si>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</si>
  <si>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</si>
  <si>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</si>
  <si>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</si>
  <si>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</si>
  <si>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</si>
  <si>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</si>
  <si>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</si>
  <si>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</si>
  <si>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</si>
  <si>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</si>
  <si>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</si>
  <si>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</si>
  <si>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</si>
  <si>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</si>
  <si>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</si>
  <si>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</si>
  <si>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</si>
  <si>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</si>
  <si>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</si>
  <si>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</si>
  <si>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</si>
  <si>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</si>
  <si>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</si>
  <si>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</si>
  <si>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</si>
  <si>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</si>
  <si>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</si>
  <si>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</si>
  <si>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</si>
  <si>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</si>
  <si>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</si>
  <si>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</si>
  <si>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</si>
  <si>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</si>
  <si>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</si>
  <si>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</si>
  <si>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</si>
  <si>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</si>
  <si>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</si>
  <si>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</si>
  <si>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</si>
  <si>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</si>
  <si>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</si>
  <si>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</si>
  <si>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</si>
  <si>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</si>
  <si>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</si>
  <si>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</si>
  <si>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</si>
  <si>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</si>
  <si>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</si>
  <si>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</si>
  <si>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</si>
  <si>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</si>
  <si>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</si>
  <si>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</si>
  <si>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</si>
  <si>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</si>
  <si>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</si>
  <si>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</si>
  <si>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</si>
  <si>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</si>
  <si>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</si>
  <si>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</si>
  <si>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</si>
  <si>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</si>
  <si>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</si>
  <si>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</si>
  <si>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</si>
  <si>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</si>
  <si>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</si>
  <si>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</si>
  <si>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</si>
  <si>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</si>
  <si>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</si>
  <si>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</si>
  <si>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</si>
  <si>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</si>
  <si>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</si>
  <si>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</si>
  <si>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</si>
  <si>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</si>
  <si>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</si>
  <si>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</si>
  <si>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</si>
  <si>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</si>
  <si>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</si>
  <si>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</si>
  <si>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</si>
  <si>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</si>
  <si>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</si>
  <si>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</si>
  <si>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</si>
  <si>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</si>
  <si>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</si>
  <si>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</si>
  <si>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</si>
  <si>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</si>
  <si>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</si>
  <si>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</si>
  <si>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</si>
  <si>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</si>
  <si>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</si>
  <si>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</si>
  <si>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</si>
  <si>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</si>
  <si>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</si>
  <si>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</si>
  <si>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</si>
  <si>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</si>
  <si>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</si>
  <si>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</si>
  <si>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</si>
  <si>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</si>
  <si>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</si>
  <si>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</si>
  <si>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</si>
  <si>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</si>
  <si>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</si>
  <si>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</si>
  <si>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</si>
  <si>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</si>
  <si>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</si>
  <si>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</si>
  <si>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</si>
  <si>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</si>
  <si>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</si>
  <si>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</si>
  <si>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</si>
  <si>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</si>
  <si>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</si>
  <si>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</si>
  <si>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</si>
  <si>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</si>
  <si>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</si>
  <si>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</si>
  <si>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</si>
  <si>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</si>
  <si>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</si>
  <si>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</si>
  <si>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</si>
  <si>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</si>
  <si>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</si>
  <si>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</si>
  <si>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</si>
  <si>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</si>
  <si>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</si>
  <si>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</si>
  <si>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</si>
  <si>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</si>
  <si>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</si>
  <si>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</si>
  <si>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</si>
  <si>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</si>
  <si>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</si>
  <si>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</si>
  <si>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</si>
  <si>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</si>
  <si>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</si>
  <si>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</si>
  <si>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</si>
  <si>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</si>
  <si>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</si>
  <si>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</si>
  <si>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</si>
  <si>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</si>
  <si>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</si>
  <si>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</si>
  <si>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</si>
  <si>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</si>
  <si>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</si>
  <si>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</si>
  <si>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</si>
  <si>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</si>
  <si>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</si>
  <si>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</si>
  <si>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</si>
  <si>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</si>
  <si>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</si>
  <si>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</si>
  <si>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</si>
  <si>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</si>
  <si>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</si>
  <si>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</si>
  <si>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</si>
  <si>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</si>
  <si>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</si>
  <si>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</si>
  <si>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</si>
  <si>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</si>
  <si>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</si>
  <si>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</si>
  <si>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</si>
  <si>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</si>
  <si>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</si>
  <si>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</si>
  <si>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</si>
  <si>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</si>
  <si>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</si>
  <si>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</si>
  <si>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</si>
  <si>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</si>
  <si>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</si>
  <si>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</si>
  <si>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</si>
  <si>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</si>
  <si>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</si>
  <si>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</si>
  <si>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</si>
  <si>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</si>
  <si>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</si>
  <si>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</si>
  <si>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</si>
  <si>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</si>
  <si>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</si>
  <si>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</si>
  <si>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</si>
  <si>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</si>
  <si>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</si>
  <si>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</si>
  <si>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</si>
  <si>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</si>
  <si>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</si>
  <si>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</si>
  <si>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</si>
  <si>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</si>
  <si>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</si>
  <si>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</si>
  <si>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</si>
  <si>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</si>
  <si>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</si>
  <si>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</si>
  <si>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</si>
  <si>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</si>
  <si>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</si>
  <si>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</si>
  <si>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</si>
  <si>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</si>
  <si>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</si>
  <si>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</si>
  <si>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</si>
  <si>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</si>
  <si>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</si>
  <si>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</si>
  <si>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</si>
  <si>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</si>
  <si>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</si>
  <si>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</si>
  <si>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</si>
  <si>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</si>
  <si>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</si>
  <si>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</si>
  <si>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</si>
  <si>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</si>
  <si>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</si>
  <si>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</si>
  <si>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</si>
  <si>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</si>
  <si>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</si>
  <si>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</si>
  <si>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</si>
  <si>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</si>
  <si>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</si>
  <si>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</si>
  <si>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</si>
  <si>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</si>
  <si>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</si>
  <si>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</si>
  <si>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</si>
  <si>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</si>
  <si>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</si>
  <si>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</si>
  <si>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</si>
  <si>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</si>
  <si>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</si>
  <si>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</si>
  <si>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</si>
  <si>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</si>
  <si>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</si>
  <si>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</si>
  <si>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</si>
  <si>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</si>
  <si>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</si>
  <si>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</si>
  <si>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</si>
  <si>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</si>
  <si>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</si>
  <si>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</si>
  <si>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</si>
  <si>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</si>
  <si>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</si>
  <si>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</si>
  <si>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</si>
  <si>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</si>
  <si>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</si>
  <si>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</si>
  <si>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</si>
  <si>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</si>
  <si>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</si>
  <si>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</si>
  <si>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</si>
  <si>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</si>
  <si>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</si>
  <si>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</si>
  <si>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</si>
  <si>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</si>
  <si>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</si>
  <si>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</si>
  <si>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</si>
  <si>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</si>
  <si>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</si>
  <si>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</si>
  <si>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</si>
  <si>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</si>
  <si>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</si>
  <si>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</si>
  <si>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</si>
  <si>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</si>
  <si>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</si>
  <si>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</si>
  <si>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</si>
  <si>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</si>
  <si>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</si>
  <si>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</si>
  <si>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</si>
  <si>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</si>
  <si>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</si>
  <si>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</si>
  <si>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</si>
  <si>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</si>
  <si>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</si>
  <si>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</si>
  <si>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</si>
  <si>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</si>
  <si>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</si>
  <si>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</si>
  <si>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</si>
  <si>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</si>
  <si>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</si>
  <si>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</si>
  <si>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</si>
  <si>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</si>
  <si>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</si>
  <si>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</si>
  <si>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</si>
  <si>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</si>
  <si>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</si>
  <si>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</si>
  <si>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</si>
  <si>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</si>
  <si>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</si>
  <si>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</si>
  <si>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</si>
  <si>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</si>
  <si>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</si>
  <si>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</si>
  <si>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</si>
  <si>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</si>
  <si>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</si>
  <si>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</si>
  <si>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</si>
  <si>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</si>
  <si>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</si>
  <si>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</si>
  <si>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</si>
  <si>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</si>
  <si>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</si>
  <si>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</si>
  <si>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</si>
  <si>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</si>
  <si>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</si>
  <si>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</si>
  <si>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</si>
  <si>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</si>
  <si>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</si>
  <si>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</si>
  <si>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</si>
  <si>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</si>
  <si>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</si>
  <si>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</si>
  <si>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</si>
  <si>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</si>
  <si>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</si>
  <si>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</si>
  <si>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</si>
  <si>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</si>
  <si>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</si>
  <si>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</si>
  <si>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</si>
  <si>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</si>
  <si>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</si>
  <si>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</si>
  <si>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</si>
  <si>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</si>
  <si>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</si>
  <si>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</si>
  <si>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</si>
  <si>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</si>
  <si>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</si>
  <si>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</si>
  <si>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</si>
  <si>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</si>
  <si>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</si>
  <si>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</si>
  <si>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</si>
  <si>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</si>
  <si>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</si>
  <si>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</si>
  <si>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</si>
  <si>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</si>
  <si>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</si>
  <si>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</si>
  <si>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</si>
  <si>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</si>
  <si>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</si>
  <si>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</si>
  <si>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</si>
  <si>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</si>
  <si>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</si>
  <si>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</si>
  <si>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</si>
  <si>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</si>
  <si>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</si>
  <si>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</si>
  <si>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</si>
  <si>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</si>
  <si>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</si>
  <si>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</si>
  <si>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</si>
  <si>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</si>
  <si>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</si>
  <si>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</si>
  <si>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</si>
  <si>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</si>
  <si>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</si>
  <si>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</si>
  <si>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</si>
  <si>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</si>
  <si>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</si>
  <si>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</si>
  <si>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</si>
  <si>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</si>
  <si>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</si>
  <si>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</si>
  <si>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</si>
  <si>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</si>
  <si>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</si>
  <si>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</si>
  <si>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</si>
  <si>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</si>
  <si>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</si>
  <si>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</si>
  <si>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</si>
  <si>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</si>
  <si>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</si>
  <si>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</si>
  <si>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</si>
  <si>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</si>
  <si>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</si>
  <si>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</si>
  <si>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</si>
  <si>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</si>
  <si>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</si>
  <si>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</si>
  <si>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</si>
  <si>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</si>
  <si>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</si>
  <si>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</si>
  <si>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</si>
  <si>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</si>
  <si>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</si>
  <si>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</si>
  <si>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</si>
  <si>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</si>
  <si>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</si>
  <si>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</si>
  <si>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</si>
  <si>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</si>
  <si>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</si>
  <si>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</si>
  <si>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</si>
  <si>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</si>
  <si>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</si>
  <si>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</si>
  <si>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</si>
  <si>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</si>
  <si>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</si>
  <si>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</si>
  <si>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</si>
  <si>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</si>
  <si>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</si>
  <si>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</si>
  <si>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</si>
  <si>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</si>
  <si>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</si>
  <si>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</si>
  <si>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</si>
  <si>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</si>
  <si>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</si>
  <si>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</si>
  <si>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</si>
  <si>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</si>
  <si>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</si>
  <si>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</si>
  <si>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</si>
  <si>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</si>
  <si>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</si>
  <si>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</si>
  <si>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</si>
  <si>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</si>
  <si>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</si>
  <si>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</si>
  <si>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</si>
  <si>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</si>
  <si>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</si>
  <si>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</si>
  <si>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</si>
  <si>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</si>
  <si>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</si>
  <si>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</si>
  <si>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</si>
  <si>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</si>
  <si>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</si>
  <si>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</si>
  <si>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</si>
  <si>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</si>
  <si>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</si>
  <si>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</si>
  <si>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</si>
  <si>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</si>
  <si>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</si>
  <si>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</si>
  <si>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</si>
  <si>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</si>
  <si>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</si>
  <si>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</si>
  <si>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</si>
  <si>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</si>
  <si>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</si>
  <si>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</si>
  <si>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</si>
  <si>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</si>
  <si>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</si>
  <si>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</si>
  <si>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</si>
  <si>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</si>
  <si>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</si>
  <si>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</si>
  <si>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</si>
  <si>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</si>
  <si>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</si>
  <si>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</si>
  <si>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</si>
  <si>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</si>
  <si>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</si>
  <si>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</si>
  <si>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</si>
  <si>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</si>
  <si>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</si>
  <si>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</si>
  <si>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</si>
  <si>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</si>
  <si>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</si>
  <si>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</si>
  <si>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</si>
  <si>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</si>
  <si>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</si>
  <si>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</si>
  <si>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</si>
  <si>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</si>
  <si>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</si>
  <si>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</si>
  <si>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</si>
  <si>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</si>
  <si>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</si>
  <si>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</si>
  <si>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</si>
  <si>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</si>
  <si>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</si>
  <si>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</si>
  <si>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</si>
  <si>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</si>
  <si>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</si>
  <si>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</si>
  <si>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</si>
  <si>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</si>
  <si>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</si>
  <si>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</si>
  <si>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</si>
  <si>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</si>
  <si>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</si>
  <si>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</si>
  <si>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</si>
  <si>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</si>
  <si>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</si>
  <si>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</si>
  <si>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</si>
  <si>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</si>
  <si>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</si>
  <si>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</si>
  <si>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</si>
  <si>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</si>
  <si>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</si>
  <si>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</si>
  <si>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</si>
  <si>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</si>
  <si>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商业</t>
    <phoneticPr fontId="3" type="noConversion"/>
  </si>
  <si>
    <t>地上</t>
  </si>
  <si>
    <t>地下</t>
  </si>
  <si>
    <t>车库—商业</t>
  </si>
  <si>
    <t>商业</t>
    <phoneticPr fontId="7" type="noConversion"/>
  </si>
  <si>
    <t>成新度</t>
  </si>
  <si>
    <t>收益法</t>
  </si>
  <si>
    <t>宗地容积率</t>
  </si>
  <si>
    <t>不临65条商业街</t>
  </si>
  <si>
    <t>楼层修正</t>
  </si>
  <si>
    <t>较好</t>
  </si>
  <si>
    <t>一般</t>
  </si>
  <si>
    <t>好</t>
  </si>
  <si>
    <t>未包含在土地购买价格中</t>
  </si>
  <si>
    <t>全部缴纳</t>
  </si>
  <si>
    <t>已包含在土地取得成本中</t>
  </si>
  <si>
    <t>成本法</t>
  </si>
  <si>
    <t>商业租金</t>
    <phoneticPr fontId="134" type="noConversion"/>
  </si>
  <si>
    <t>车库租金</t>
    <phoneticPr fontId="134" type="noConversion"/>
  </si>
  <si>
    <t>地上建筑面积</t>
    <phoneticPr fontId="134" type="noConversion"/>
  </si>
  <si>
    <t>地下建筑面积</t>
    <phoneticPr fontId="134" type="noConversion"/>
  </si>
  <si>
    <t>楼层</t>
  </si>
  <si>
    <t>系数</t>
  </si>
  <si>
    <t>租金</t>
  </si>
  <si>
    <t>面积</t>
  </si>
  <si>
    <t>面积占比</t>
  </si>
  <si>
    <t>自定义</t>
  </si>
  <si>
    <t>钢混</t>
  </si>
  <si>
    <t>非生产用房</t>
  </si>
  <si>
    <t>否</t>
  </si>
  <si>
    <t>现房</t>
  </si>
  <si>
    <t>项目全部</t>
  </si>
  <si>
    <r>
      <t>1</t>
    </r>
    <r>
      <rPr>
        <sz val="11"/>
        <color theme="1"/>
        <rFont val="宋体"/>
        <family val="3"/>
        <charset val="134"/>
        <scheme val="minor"/>
      </rPr>
      <t>-5层商业</t>
    </r>
    <phoneticPr fontId="134" type="noConversion"/>
  </si>
  <si>
    <t>地下车位</t>
    <phoneticPr fontId="134" type="noConversion"/>
  </si>
  <si>
    <t xml:space="preserve"> </t>
    <phoneticPr fontId="3" type="noConversion"/>
  </si>
  <si>
    <t>房本面积</t>
    <phoneticPr fontId="134" type="noConversion"/>
  </si>
  <si>
    <t>合同面积</t>
    <phoneticPr fontId="134" type="noConversion"/>
  </si>
  <si>
    <t>总价</t>
  </si>
  <si>
    <t>成本比率</t>
  </si>
  <si>
    <t>中心城区以外</t>
  </si>
  <si>
    <t>押一</t>
  </si>
  <si>
    <t>需扣减承租人权益</t>
  </si>
  <si>
    <t>含维修费及管理费</t>
    <phoneticPr fontId="3" type="noConversion"/>
  </si>
  <si>
    <t>维修费不单独体现</t>
    <phoneticPr fontId="3" type="noConversion"/>
  </si>
  <si>
    <t>与级别开发程度不一致</t>
  </si>
  <si>
    <t>通路</t>
  </si>
  <si>
    <t>通电</t>
  </si>
  <si>
    <t>通上水</t>
  </si>
  <si>
    <t>通讯</t>
  </si>
  <si>
    <t>通下水</t>
  </si>
  <si>
    <t>燃气</t>
  </si>
  <si>
    <t>平整</t>
  </si>
  <si>
    <t>商务金融用地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</si>
</sst>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96" fontId="0" fillId="0" borderId="0" xfId="0" applyNumberFormat="1">
      <alignment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6" fontId="47" fillId="22" borderId="1" xfId="0" applyNumberFormat="1" applyFont="1" applyFill="1" applyBorder="1" applyAlignment="1" applyProtection="1">
      <alignment vertical="center" wrapText="1"/>
      <protection locked="0"/>
    </xf>
    <xf numFmtId="0" fontId="53" fillId="22" borderId="65" xfId="0" applyFont="1" applyFill="1" applyBorder="1" applyAlignment="1" applyProtection="1">
      <alignment vertical="center" wrapText="1"/>
      <protection locked="0"/>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4" fillId="22" borderId="5" xfId="1" applyFont="1" applyFill="1" applyBorder="1" applyProtection="1">
      <alignment vertical="center"/>
      <protection locked="0"/>
    </xf>
    <xf numFmtId="10" fontId="52" fillId="23" borderId="24" xfId="0" applyNumberFormat="1" applyFont="1" applyFill="1" applyBorder="1" applyAlignment="1">
      <alignment horizontal="center" vertical="center"/>
    </xf>
    <xf numFmtId="181" fontId="52" fillId="23" borderId="79" xfId="0" applyNumberFormat="1" applyFont="1" applyFill="1" applyBorder="1" applyAlignment="1">
      <alignment horizontal="center" vertical="center"/>
    </xf>
    <xf numFmtId="0" fontId="129" fillId="7" borderId="0" xfId="0" applyFont="1" applyFill="1" applyProtection="1">
      <alignment vertical="center"/>
      <protection locked="0"/>
    </xf>
    <xf numFmtId="14"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666495</xdr:colOff>
      <xdr:row>15</xdr:row>
      <xdr:rowOff>28250</xdr:rowOff>
    </xdr:to>
    <xdr:pic>
      <xdr:nvPicPr>
        <xdr:cNvPr id="2" name="图片 1">
          <a:extLst>
            <a:ext uri="{FF2B5EF4-FFF2-40B4-BE49-F238E27FC236}">
              <a16:creationId xmlns:a16="http://schemas.microsoft.com/office/drawing/2014/main" id="{7AC03F8E-2C3C-6D04-4DF5-4F550D4131F9}"/>
            </a:ext>
          </a:extLst>
        </xdr:cNvPr>
        <xdr:cNvPicPr>
          <a:picLocks noChangeAspect="1"/>
        </xdr:cNvPicPr>
      </xdr:nvPicPr>
      <xdr:blipFill>
        <a:blip xmlns:r="http://schemas.openxmlformats.org/officeDocument/2006/relationships" r:embed="rId1"/>
        <a:stretch>
          <a:fillRect/>
        </a:stretch>
      </xdr:blipFill>
      <xdr:spPr>
        <a:xfrm>
          <a:off x="8915400" y="0"/>
          <a:ext cx="2038095" cy="2600000"/>
        </a:xfrm>
        <a:prstGeom prst="rect">
          <a:avLst/>
        </a:prstGeom>
      </xdr:spPr>
    </xdr:pic>
    <xdr:clientData/>
  </xdr:twoCellAnchor>
  <xdr:twoCellAnchor editAs="oneCell">
    <xdr:from>
      <xdr:col>0</xdr:col>
      <xdr:colOff>0</xdr:colOff>
      <xdr:row>0</xdr:row>
      <xdr:rowOff>0</xdr:rowOff>
    </xdr:from>
    <xdr:to>
      <xdr:col>12</xdr:col>
      <xdr:colOff>665638</xdr:colOff>
      <xdr:row>25</xdr:row>
      <xdr:rowOff>28036</xdr:rowOff>
    </xdr:to>
    <xdr:pic>
      <xdr:nvPicPr>
        <xdr:cNvPr id="3" name="图片 2">
          <a:extLst>
            <a:ext uri="{FF2B5EF4-FFF2-40B4-BE49-F238E27FC236}">
              <a16:creationId xmlns:a16="http://schemas.microsoft.com/office/drawing/2014/main" id="{7ED4BD3C-9E7F-98B0-1CCB-E3B25BFB5CA1}"/>
            </a:ext>
          </a:extLst>
        </xdr:cNvPr>
        <xdr:cNvPicPr>
          <a:picLocks noChangeAspect="1"/>
        </xdr:cNvPicPr>
      </xdr:nvPicPr>
      <xdr:blipFill>
        <a:blip xmlns:r="http://schemas.openxmlformats.org/officeDocument/2006/relationships" r:embed="rId2"/>
        <a:stretch>
          <a:fillRect/>
        </a:stretch>
      </xdr:blipFill>
      <xdr:spPr>
        <a:xfrm>
          <a:off x="0" y="0"/>
          <a:ext cx="8895238" cy="4314286"/>
        </a:xfrm>
        <a:prstGeom prst="rect">
          <a:avLst/>
        </a:prstGeom>
      </xdr:spPr>
    </xdr:pic>
    <xdr:clientData/>
  </xdr:twoCellAnchor>
  <xdr:twoCellAnchor editAs="oneCell">
    <xdr:from>
      <xdr:col>0</xdr:col>
      <xdr:colOff>0</xdr:colOff>
      <xdr:row>25</xdr:row>
      <xdr:rowOff>47625</xdr:rowOff>
    </xdr:from>
    <xdr:to>
      <xdr:col>11</xdr:col>
      <xdr:colOff>160962</xdr:colOff>
      <xdr:row>36</xdr:row>
      <xdr:rowOff>9294</xdr:rowOff>
    </xdr:to>
    <xdr:pic>
      <xdr:nvPicPr>
        <xdr:cNvPr id="4" name="图片 3">
          <a:extLst>
            <a:ext uri="{FF2B5EF4-FFF2-40B4-BE49-F238E27FC236}">
              <a16:creationId xmlns:a16="http://schemas.microsoft.com/office/drawing/2014/main" id="{C9ABE0D6-B88C-71CD-4C15-41E47B63E70B}"/>
            </a:ext>
          </a:extLst>
        </xdr:cNvPr>
        <xdr:cNvPicPr>
          <a:picLocks noChangeAspect="1"/>
        </xdr:cNvPicPr>
      </xdr:nvPicPr>
      <xdr:blipFill>
        <a:blip xmlns:r="http://schemas.openxmlformats.org/officeDocument/2006/relationships" r:embed="rId3"/>
        <a:stretch>
          <a:fillRect/>
        </a:stretch>
      </xdr:blipFill>
      <xdr:spPr>
        <a:xfrm>
          <a:off x="0" y="4333875"/>
          <a:ext cx="7704762" cy="1847619"/>
        </a:xfrm>
        <a:prstGeom prst="rect">
          <a:avLst/>
        </a:prstGeom>
      </xdr:spPr>
    </xdr:pic>
    <xdr:clientData/>
  </xdr:twoCellAnchor>
  <xdr:twoCellAnchor editAs="oneCell">
    <xdr:from>
      <xdr:col>13</xdr:col>
      <xdr:colOff>57150</xdr:colOff>
      <xdr:row>15</xdr:row>
      <xdr:rowOff>66675</xdr:rowOff>
    </xdr:from>
    <xdr:to>
      <xdr:col>21</xdr:col>
      <xdr:colOff>342179</xdr:colOff>
      <xdr:row>48</xdr:row>
      <xdr:rowOff>65968</xdr:rowOff>
    </xdr:to>
    <xdr:pic>
      <xdr:nvPicPr>
        <xdr:cNvPr id="5" name="图片 4">
          <a:extLst>
            <a:ext uri="{FF2B5EF4-FFF2-40B4-BE49-F238E27FC236}">
              <a16:creationId xmlns:a16="http://schemas.microsoft.com/office/drawing/2014/main" id="{28023251-0186-B2D4-346F-59F78ACA1E3C}"/>
            </a:ext>
          </a:extLst>
        </xdr:cNvPr>
        <xdr:cNvPicPr>
          <a:picLocks noChangeAspect="1"/>
        </xdr:cNvPicPr>
      </xdr:nvPicPr>
      <xdr:blipFill>
        <a:blip xmlns:r="http://schemas.openxmlformats.org/officeDocument/2006/relationships" r:embed="rId4"/>
        <a:stretch>
          <a:fillRect/>
        </a:stretch>
      </xdr:blipFill>
      <xdr:spPr>
        <a:xfrm>
          <a:off x="8972550" y="2638425"/>
          <a:ext cx="5771429" cy="5657143"/>
        </a:xfrm>
        <a:prstGeom prst="rect">
          <a:avLst/>
        </a:prstGeom>
      </xdr:spPr>
    </xdr:pic>
    <xdr:clientData/>
  </xdr:twoCellAnchor>
  <xdr:twoCellAnchor editAs="oneCell">
    <xdr:from>
      <xdr:col>0</xdr:col>
      <xdr:colOff>0</xdr:colOff>
      <xdr:row>36</xdr:row>
      <xdr:rowOff>66675</xdr:rowOff>
    </xdr:from>
    <xdr:to>
      <xdr:col>6</xdr:col>
      <xdr:colOff>637581</xdr:colOff>
      <xdr:row>51</xdr:row>
      <xdr:rowOff>66354</xdr:rowOff>
    </xdr:to>
    <xdr:pic>
      <xdr:nvPicPr>
        <xdr:cNvPr id="6" name="图片 5">
          <a:extLst>
            <a:ext uri="{FF2B5EF4-FFF2-40B4-BE49-F238E27FC236}">
              <a16:creationId xmlns:a16="http://schemas.microsoft.com/office/drawing/2014/main" id="{4BB9FE1C-4E74-918F-6487-B7E36587EB03}"/>
            </a:ext>
          </a:extLst>
        </xdr:cNvPr>
        <xdr:cNvPicPr>
          <a:picLocks noChangeAspect="1"/>
        </xdr:cNvPicPr>
      </xdr:nvPicPr>
      <xdr:blipFill>
        <a:blip xmlns:r="http://schemas.openxmlformats.org/officeDocument/2006/relationships" r:embed="rId5"/>
        <a:stretch>
          <a:fillRect/>
        </a:stretch>
      </xdr:blipFill>
      <xdr:spPr>
        <a:xfrm>
          <a:off x="0" y="6238875"/>
          <a:ext cx="4752381" cy="2571429"/>
        </a:xfrm>
        <a:prstGeom prst="rect">
          <a:avLst/>
        </a:prstGeom>
      </xdr:spPr>
    </xdr:pic>
    <xdr:clientData/>
  </xdr:twoCellAnchor>
  <xdr:twoCellAnchor editAs="oneCell">
    <xdr:from>
      <xdr:col>7</xdr:col>
      <xdr:colOff>76200</xdr:colOff>
      <xdr:row>38</xdr:row>
      <xdr:rowOff>66675</xdr:rowOff>
    </xdr:from>
    <xdr:to>
      <xdr:col>12</xdr:col>
      <xdr:colOff>485295</xdr:colOff>
      <xdr:row>48</xdr:row>
      <xdr:rowOff>18842</xdr:rowOff>
    </xdr:to>
    <xdr:pic>
      <xdr:nvPicPr>
        <xdr:cNvPr id="7" name="图片 6">
          <a:extLst>
            <a:ext uri="{FF2B5EF4-FFF2-40B4-BE49-F238E27FC236}">
              <a16:creationId xmlns:a16="http://schemas.microsoft.com/office/drawing/2014/main" id="{36A9628F-5FEC-1898-90E7-36A43609BB3E}"/>
            </a:ext>
          </a:extLst>
        </xdr:cNvPr>
        <xdr:cNvPicPr>
          <a:picLocks noChangeAspect="1"/>
        </xdr:cNvPicPr>
      </xdr:nvPicPr>
      <xdr:blipFill>
        <a:blip xmlns:r="http://schemas.openxmlformats.org/officeDocument/2006/relationships" r:embed="rId6"/>
        <a:stretch>
          <a:fillRect/>
        </a:stretch>
      </xdr:blipFill>
      <xdr:spPr>
        <a:xfrm>
          <a:off x="4876800" y="6581775"/>
          <a:ext cx="3838095"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31750</xdr:colOff>
      <xdr:row>25</xdr:row>
      <xdr:rowOff>21166</xdr:rowOff>
    </xdr:from>
    <xdr:to>
      <xdr:col>16</xdr:col>
      <xdr:colOff>90310</xdr:colOff>
      <xdr:row>29</xdr:row>
      <xdr:rowOff>296143</xdr:rowOff>
    </xdr:to>
    <xdr:pic>
      <xdr:nvPicPr>
        <xdr:cNvPr id="2" name="图片 1">
          <a:extLst>
            <a:ext uri="{FF2B5EF4-FFF2-40B4-BE49-F238E27FC236}">
              <a16:creationId xmlns:a16="http://schemas.microsoft.com/office/drawing/2014/main" id="{DE566985-B350-3E96-B620-2CFEAD3AFD6E}"/>
            </a:ext>
          </a:extLst>
        </xdr:cNvPr>
        <xdr:cNvPicPr>
          <a:picLocks noChangeAspect="1"/>
        </xdr:cNvPicPr>
      </xdr:nvPicPr>
      <xdr:blipFill>
        <a:blip xmlns:r="http://schemas.openxmlformats.org/officeDocument/2006/relationships" r:embed="rId1"/>
        <a:stretch>
          <a:fillRect/>
        </a:stretch>
      </xdr:blipFill>
      <xdr:spPr>
        <a:xfrm>
          <a:off x="8053917" y="3915833"/>
          <a:ext cx="5657143"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28</xdr:row>
      <xdr:rowOff>94638</xdr:rowOff>
    </xdr:to>
    <xdr:pic>
      <xdr:nvPicPr>
        <xdr:cNvPr id="2" name="图片 1">
          <a:extLst>
            <a:ext uri="{FF2B5EF4-FFF2-40B4-BE49-F238E27FC236}">
              <a16:creationId xmlns:a16="http://schemas.microsoft.com/office/drawing/2014/main" id="{C9BB864F-87B4-36C2-FD1C-6F96F728898F}"/>
            </a:ext>
          </a:extLst>
        </xdr:cNvPr>
        <xdr:cNvPicPr>
          <a:picLocks noChangeAspect="1"/>
        </xdr:cNvPicPr>
      </xdr:nvPicPr>
      <xdr:blipFill>
        <a:blip xmlns:r="http://schemas.openxmlformats.org/officeDocument/2006/relationships" r:embed="rId1"/>
        <a:stretch>
          <a:fillRect/>
        </a:stretch>
      </xdr:blipFill>
      <xdr:spPr>
        <a:xfrm>
          <a:off x="0" y="0"/>
          <a:ext cx="4695238" cy="4895238"/>
        </a:xfrm>
        <a:prstGeom prst="rect">
          <a:avLst/>
        </a:prstGeom>
      </xdr:spPr>
    </xdr:pic>
    <xdr:clientData/>
  </xdr:twoCellAnchor>
  <xdr:twoCellAnchor editAs="oneCell">
    <xdr:from>
      <xdr:col>7</xdr:col>
      <xdr:colOff>225803</xdr:colOff>
      <xdr:row>17</xdr:row>
      <xdr:rowOff>99391</xdr:rowOff>
    </xdr:from>
    <xdr:to>
      <xdr:col>14</xdr:col>
      <xdr:colOff>333981</xdr:colOff>
      <xdr:row>30</xdr:row>
      <xdr:rowOff>49696</xdr:rowOff>
    </xdr:to>
    <xdr:pic>
      <xdr:nvPicPr>
        <xdr:cNvPr id="3" name="图片 2">
          <a:extLst>
            <a:ext uri="{FF2B5EF4-FFF2-40B4-BE49-F238E27FC236}">
              <a16:creationId xmlns:a16="http://schemas.microsoft.com/office/drawing/2014/main" id="{BBD7B4E5-0532-94FB-A28A-118BBD87CC8B}"/>
            </a:ext>
          </a:extLst>
        </xdr:cNvPr>
        <xdr:cNvPicPr>
          <a:picLocks noChangeAspect="1"/>
        </xdr:cNvPicPr>
      </xdr:nvPicPr>
      <xdr:blipFill>
        <a:blip xmlns:r="http://schemas.openxmlformats.org/officeDocument/2006/relationships" r:embed="rId2"/>
        <a:stretch>
          <a:fillRect/>
        </a:stretch>
      </xdr:blipFill>
      <xdr:spPr>
        <a:xfrm>
          <a:off x="5037999" y="3056282"/>
          <a:ext cx="5152286" cy="2211457"/>
        </a:xfrm>
        <a:prstGeom prst="rect">
          <a:avLst/>
        </a:prstGeom>
      </xdr:spPr>
    </xdr:pic>
    <xdr:clientData/>
  </xdr:twoCellAnchor>
  <xdr:twoCellAnchor editAs="oneCell">
    <xdr:from>
      <xdr:col>0</xdr:col>
      <xdr:colOff>0</xdr:colOff>
      <xdr:row>33</xdr:row>
      <xdr:rowOff>0</xdr:rowOff>
    </xdr:from>
    <xdr:to>
      <xdr:col>13</xdr:col>
      <xdr:colOff>545438</xdr:colOff>
      <xdr:row>61</xdr:row>
      <xdr:rowOff>25064</xdr:rowOff>
    </xdr:to>
    <xdr:pic>
      <xdr:nvPicPr>
        <xdr:cNvPr id="4" name="图片 3">
          <a:extLst>
            <a:ext uri="{FF2B5EF4-FFF2-40B4-BE49-F238E27FC236}">
              <a16:creationId xmlns:a16="http://schemas.microsoft.com/office/drawing/2014/main" id="{805F0BF6-B197-48E7-32C5-1E74112EBFD6}"/>
            </a:ext>
          </a:extLst>
        </xdr:cNvPr>
        <xdr:cNvPicPr>
          <a:picLocks noChangeAspect="1"/>
        </xdr:cNvPicPr>
      </xdr:nvPicPr>
      <xdr:blipFill>
        <a:blip xmlns:r="http://schemas.openxmlformats.org/officeDocument/2006/relationships" r:embed="rId3"/>
        <a:stretch>
          <a:fillRect/>
        </a:stretch>
      </xdr:blipFill>
      <xdr:spPr>
        <a:xfrm>
          <a:off x="0" y="5739848"/>
          <a:ext cx="9714286" cy="4895238"/>
        </a:xfrm>
        <a:prstGeom prst="rect">
          <a:avLst/>
        </a:prstGeom>
      </xdr:spPr>
    </xdr:pic>
    <xdr:clientData/>
  </xdr:twoCellAnchor>
  <xdr:twoCellAnchor editAs="oneCell">
    <xdr:from>
      <xdr:col>14</xdr:col>
      <xdr:colOff>72243</xdr:colOff>
      <xdr:row>32</xdr:row>
      <xdr:rowOff>19326</xdr:rowOff>
    </xdr:from>
    <xdr:to>
      <xdr:col>19</xdr:col>
      <xdr:colOff>525338</xdr:colOff>
      <xdr:row>52</xdr:row>
      <xdr:rowOff>35870</xdr:rowOff>
    </xdr:to>
    <xdr:pic>
      <xdr:nvPicPr>
        <xdr:cNvPr id="5" name="图片 4">
          <a:extLst>
            <a:ext uri="{FF2B5EF4-FFF2-40B4-BE49-F238E27FC236}">
              <a16:creationId xmlns:a16="http://schemas.microsoft.com/office/drawing/2014/main" id="{56BCBE79-CA4C-AB46-12D2-E8225B37FCB9}"/>
            </a:ext>
          </a:extLst>
        </xdr:cNvPr>
        <xdr:cNvPicPr>
          <a:picLocks noChangeAspect="1"/>
        </xdr:cNvPicPr>
      </xdr:nvPicPr>
      <xdr:blipFill>
        <a:blip xmlns:r="http://schemas.openxmlformats.org/officeDocument/2006/relationships" r:embed="rId4"/>
        <a:stretch>
          <a:fillRect/>
        </a:stretch>
      </xdr:blipFill>
      <xdr:spPr>
        <a:xfrm>
          <a:off x="9935910" y="5437993"/>
          <a:ext cx="4126570" cy="3403210"/>
        </a:xfrm>
        <a:prstGeom prst="rect">
          <a:avLst/>
        </a:prstGeom>
      </xdr:spPr>
    </xdr:pic>
    <xdr:clientData/>
  </xdr:twoCellAnchor>
  <xdr:twoCellAnchor editAs="oneCell">
    <xdr:from>
      <xdr:col>14</xdr:col>
      <xdr:colOff>0</xdr:colOff>
      <xdr:row>53</xdr:row>
      <xdr:rowOff>0</xdr:rowOff>
    </xdr:from>
    <xdr:to>
      <xdr:col>19</xdr:col>
      <xdr:colOff>281023</xdr:colOff>
      <xdr:row>73</xdr:row>
      <xdr:rowOff>137143</xdr:rowOff>
    </xdr:to>
    <xdr:pic>
      <xdr:nvPicPr>
        <xdr:cNvPr id="6" name="图片 5">
          <a:extLst>
            <a:ext uri="{FF2B5EF4-FFF2-40B4-BE49-F238E27FC236}">
              <a16:creationId xmlns:a16="http://schemas.microsoft.com/office/drawing/2014/main" id="{3E74BC09-644A-A820-EEFC-EEA321ABD040}"/>
            </a:ext>
          </a:extLst>
        </xdr:cNvPr>
        <xdr:cNvPicPr>
          <a:picLocks noChangeAspect="1"/>
        </xdr:cNvPicPr>
      </xdr:nvPicPr>
      <xdr:blipFill>
        <a:blip xmlns:r="http://schemas.openxmlformats.org/officeDocument/2006/relationships" r:embed="rId5"/>
        <a:stretch>
          <a:fillRect/>
        </a:stretch>
      </xdr:blipFill>
      <xdr:spPr>
        <a:xfrm>
          <a:off x="9863667" y="8974667"/>
          <a:ext cx="3952381" cy="3523809"/>
        </a:xfrm>
        <a:prstGeom prst="rect">
          <a:avLst/>
        </a:prstGeom>
      </xdr:spPr>
    </xdr:pic>
    <xdr:clientData/>
  </xdr:twoCellAnchor>
  <xdr:twoCellAnchor editAs="oneCell">
    <xdr:from>
      <xdr:col>0</xdr:col>
      <xdr:colOff>0</xdr:colOff>
      <xdr:row>61</xdr:row>
      <xdr:rowOff>116417</xdr:rowOff>
    </xdr:from>
    <xdr:to>
      <xdr:col>5</xdr:col>
      <xdr:colOff>531846</xdr:colOff>
      <xdr:row>83</xdr:row>
      <xdr:rowOff>607</xdr:rowOff>
    </xdr:to>
    <xdr:pic>
      <xdr:nvPicPr>
        <xdr:cNvPr id="7" name="图片 6">
          <a:extLst>
            <a:ext uri="{FF2B5EF4-FFF2-40B4-BE49-F238E27FC236}">
              <a16:creationId xmlns:a16="http://schemas.microsoft.com/office/drawing/2014/main" id="{7217D445-DD6E-9746-A2F8-41B98291462B}"/>
            </a:ext>
          </a:extLst>
        </xdr:cNvPr>
        <xdr:cNvPicPr>
          <a:picLocks noChangeAspect="1"/>
        </xdr:cNvPicPr>
      </xdr:nvPicPr>
      <xdr:blipFill>
        <a:blip xmlns:r="http://schemas.openxmlformats.org/officeDocument/2006/relationships" r:embed="rId6"/>
        <a:stretch>
          <a:fillRect/>
        </a:stretch>
      </xdr:blipFill>
      <xdr:spPr>
        <a:xfrm>
          <a:off x="0" y="10445750"/>
          <a:ext cx="3971429" cy="3609524"/>
        </a:xfrm>
        <a:prstGeom prst="rect">
          <a:avLst/>
        </a:prstGeom>
      </xdr:spPr>
    </xdr:pic>
    <xdr:clientData/>
  </xdr:twoCellAnchor>
  <xdr:twoCellAnchor editAs="oneCell">
    <xdr:from>
      <xdr:col>6</xdr:col>
      <xdr:colOff>0</xdr:colOff>
      <xdr:row>62</xdr:row>
      <xdr:rowOff>0</xdr:rowOff>
    </xdr:from>
    <xdr:to>
      <xdr:col>11</xdr:col>
      <xdr:colOff>472571</xdr:colOff>
      <xdr:row>82</xdr:row>
      <xdr:rowOff>60953</xdr:rowOff>
    </xdr:to>
    <xdr:pic>
      <xdr:nvPicPr>
        <xdr:cNvPr id="8" name="图片 7">
          <a:extLst>
            <a:ext uri="{FF2B5EF4-FFF2-40B4-BE49-F238E27FC236}">
              <a16:creationId xmlns:a16="http://schemas.microsoft.com/office/drawing/2014/main" id="{7513D994-FEFC-58BC-675E-52287DA411E4}"/>
            </a:ext>
          </a:extLst>
        </xdr:cNvPr>
        <xdr:cNvPicPr>
          <a:picLocks noChangeAspect="1"/>
        </xdr:cNvPicPr>
      </xdr:nvPicPr>
      <xdr:blipFill>
        <a:blip xmlns:r="http://schemas.openxmlformats.org/officeDocument/2006/relationships" r:embed="rId7"/>
        <a:stretch>
          <a:fillRect/>
        </a:stretch>
      </xdr:blipFill>
      <xdr:spPr>
        <a:xfrm>
          <a:off x="4127500" y="10498667"/>
          <a:ext cx="4028571" cy="3447619"/>
        </a:xfrm>
        <a:prstGeom prst="rect">
          <a:avLst/>
        </a:prstGeom>
      </xdr:spPr>
    </xdr:pic>
    <xdr:clientData/>
  </xdr:twoCellAnchor>
  <xdr:twoCellAnchor editAs="oneCell">
    <xdr:from>
      <xdr:col>12</xdr:col>
      <xdr:colOff>232834</xdr:colOff>
      <xdr:row>74</xdr:row>
      <xdr:rowOff>105834</xdr:rowOff>
    </xdr:from>
    <xdr:to>
      <xdr:col>17</xdr:col>
      <xdr:colOff>635549</xdr:colOff>
      <xdr:row>95</xdr:row>
      <xdr:rowOff>83167</xdr:rowOff>
    </xdr:to>
    <xdr:pic>
      <xdr:nvPicPr>
        <xdr:cNvPr id="9" name="图片 8">
          <a:extLst>
            <a:ext uri="{FF2B5EF4-FFF2-40B4-BE49-F238E27FC236}">
              <a16:creationId xmlns:a16="http://schemas.microsoft.com/office/drawing/2014/main" id="{2342524B-EF64-49FF-7559-81BEF9B0A8C0}"/>
            </a:ext>
          </a:extLst>
        </xdr:cNvPr>
        <xdr:cNvPicPr>
          <a:picLocks noChangeAspect="1"/>
        </xdr:cNvPicPr>
      </xdr:nvPicPr>
      <xdr:blipFill>
        <a:blip xmlns:r="http://schemas.openxmlformats.org/officeDocument/2006/relationships" r:embed="rId8"/>
        <a:stretch>
          <a:fillRect/>
        </a:stretch>
      </xdr:blipFill>
      <xdr:spPr>
        <a:xfrm>
          <a:off x="8720667" y="12636501"/>
          <a:ext cx="4076190" cy="3533333"/>
        </a:xfrm>
        <a:prstGeom prst="rect">
          <a:avLst/>
        </a:prstGeom>
      </xdr:spPr>
    </xdr:pic>
    <xdr:clientData/>
  </xdr:twoCellAnchor>
  <xdr:twoCellAnchor editAs="oneCell">
    <xdr:from>
      <xdr:col>0</xdr:col>
      <xdr:colOff>0</xdr:colOff>
      <xdr:row>83</xdr:row>
      <xdr:rowOff>137582</xdr:rowOff>
    </xdr:from>
    <xdr:to>
      <xdr:col>5</xdr:col>
      <xdr:colOff>598512</xdr:colOff>
      <xdr:row>98</xdr:row>
      <xdr:rowOff>54725</xdr:rowOff>
    </xdr:to>
    <xdr:pic>
      <xdr:nvPicPr>
        <xdr:cNvPr id="10" name="图片 9">
          <a:extLst>
            <a:ext uri="{FF2B5EF4-FFF2-40B4-BE49-F238E27FC236}">
              <a16:creationId xmlns:a16="http://schemas.microsoft.com/office/drawing/2014/main" id="{AB1B34AE-2921-A38B-9B3E-840013C75D9E}"/>
            </a:ext>
          </a:extLst>
        </xdr:cNvPr>
        <xdr:cNvPicPr>
          <a:picLocks noChangeAspect="1"/>
        </xdr:cNvPicPr>
      </xdr:nvPicPr>
      <xdr:blipFill>
        <a:blip xmlns:r="http://schemas.openxmlformats.org/officeDocument/2006/relationships" r:embed="rId9"/>
        <a:stretch>
          <a:fillRect/>
        </a:stretch>
      </xdr:blipFill>
      <xdr:spPr>
        <a:xfrm>
          <a:off x="0" y="14192249"/>
          <a:ext cx="4038095" cy="2457143"/>
        </a:xfrm>
        <a:prstGeom prst="rect">
          <a:avLst/>
        </a:prstGeom>
      </xdr:spPr>
    </xdr:pic>
    <xdr:clientData/>
  </xdr:twoCellAnchor>
  <xdr:twoCellAnchor editAs="oneCell">
    <xdr:from>
      <xdr:col>6</xdr:col>
      <xdr:colOff>10583</xdr:colOff>
      <xdr:row>83</xdr:row>
      <xdr:rowOff>137584</xdr:rowOff>
    </xdr:from>
    <xdr:to>
      <xdr:col>11</xdr:col>
      <xdr:colOff>626012</xdr:colOff>
      <xdr:row>116</xdr:row>
      <xdr:rowOff>159108</xdr:rowOff>
    </xdr:to>
    <xdr:pic>
      <xdr:nvPicPr>
        <xdr:cNvPr id="11" name="图片 10">
          <a:extLst>
            <a:ext uri="{FF2B5EF4-FFF2-40B4-BE49-F238E27FC236}">
              <a16:creationId xmlns:a16="http://schemas.microsoft.com/office/drawing/2014/main" id="{1A15E0B2-BB55-E754-7293-1F6E49447785}"/>
            </a:ext>
          </a:extLst>
        </xdr:cNvPr>
        <xdr:cNvPicPr>
          <a:picLocks noChangeAspect="1"/>
        </xdr:cNvPicPr>
      </xdr:nvPicPr>
      <xdr:blipFill>
        <a:blip xmlns:r="http://schemas.openxmlformats.org/officeDocument/2006/relationships" r:embed="rId10"/>
        <a:stretch>
          <a:fillRect/>
        </a:stretch>
      </xdr:blipFill>
      <xdr:spPr>
        <a:xfrm>
          <a:off x="4138083" y="14192251"/>
          <a:ext cx="4171429" cy="5609524"/>
        </a:xfrm>
        <a:prstGeom prst="rect">
          <a:avLst/>
        </a:prstGeom>
      </xdr:spPr>
    </xdr:pic>
    <xdr:clientData/>
  </xdr:twoCellAnchor>
  <xdr:twoCellAnchor editAs="oneCell">
    <xdr:from>
      <xdr:col>0</xdr:col>
      <xdr:colOff>95250</xdr:colOff>
      <xdr:row>99</xdr:row>
      <xdr:rowOff>95250</xdr:rowOff>
    </xdr:from>
    <xdr:to>
      <xdr:col>5</xdr:col>
      <xdr:colOff>17572</xdr:colOff>
      <xdr:row>136</xdr:row>
      <xdr:rowOff>77536</xdr:rowOff>
    </xdr:to>
    <xdr:pic>
      <xdr:nvPicPr>
        <xdr:cNvPr id="12" name="图片 11">
          <a:extLst>
            <a:ext uri="{FF2B5EF4-FFF2-40B4-BE49-F238E27FC236}">
              <a16:creationId xmlns:a16="http://schemas.microsoft.com/office/drawing/2014/main" id="{34DA5199-F860-CAA3-09E4-022493761C9E}"/>
            </a:ext>
          </a:extLst>
        </xdr:cNvPr>
        <xdr:cNvPicPr>
          <a:picLocks noChangeAspect="1"/>
        </xdr:cNvPicPr>
      </xdr:nvPicPr>
      <xdr:blipFill>
        <a:blip xmlns:r="http://schemas.openxmlformats.org/officeDocument/2006/relationships" r:embed="rId11"/>
        <a:stretch>
          <a:fillRect/>
        </a:stretch>
      </xdr:blipFill>
      <xdr:spPr>
        <a:xfrm>
          <a:off x="95250" y="16859250"/>
          <a:ext cx="3361905"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估价对象为北京市房地产，为所有。根据《国有土地使用证》[]，估价对象（分摊）出让国有建设用地使用权面积为21989.41平方米，建筑面积为51136.03平方米。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估价对象为北京市房地产,为开发建设的，该项目尚在开发建设中。根据《国有土地使用证》[]，估价对象（分摊）出让国有建设用地使用权面积为21989.41平方米，规划建筑面积为51136.03平方米。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2025年2月24日（评估专业人员实地查勘之日）</v>
      </c>
    </row>
    <row r="13" spans="1:2">
      <c r="A13" s="1119" t="s">
        <v>529</v>
      </c>
      <c r="B13" s="1120"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65019</v>
      </c>
    </row>
    <row r="21" spans="1:2">
      <c r="A21" s="1119" t="s">
        <v>537</v>
      </c>
      <c r="B21" s="1120">
        <f ca="1">'预评函-2'!D7</f>
        <v>12715</v>
      </c>
    </row>
    <row r="22" spans="1:2">
      <c r="A22" s="1119" t="s">
        <v>538</v>
      </c>
      <c r="B22" s="1120" t="str">
        <f ca="1">'预评函-2'!D6</f>
        <v>陆亿伍仟零壹拾玖万元整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65019</v>
      </c>
    </row>
    <row r="31" spans="1:2">
      <c r="A31" s="1119" t="s">
        <v>576</v>
      </c>
      <c r="B31" s="1120">
        <f ca="1">'预评函-2'!D15</f>
        <v>12715</v>
      </c>
    </row>
    <row r="32" spans="1:2">
      <c r="A32" s="1119" t="s">
        <v>543</v>
      </c>
      <c r="B32" s="1120" t="str">
        <f ca="1">'预评函-2'!D14</f>
        <v>陆亿伍仟零壹拾玖万元整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51136.03</v>
      </c>
    </row>
    <row r="44" spans="1:2">
      <c r="A44" s="1119" t="s">
        <v>575</v>
      </c>
      <c r="B44" s="1120" t="str">
        <f>'预评函-3'!C2</f>
        <v>(分摊)土地面积</v>
      </c>
    </row>
    <row r="45" spans="1:2">
      <c r="A45" s="1119" t="s">
        <v>547</v>
      </c>
      <c r="B45" s="1120">
        <f>'预评函-3'!C4</f>
        <v>21989.41</v>
      </c>
    </row>
    <row r="46" spans="1:2">
      <c r="A46" s="1119" t="s">
        <v>573</v>
      </c>
      <c r="B46" s="1120" t="str">
        <f>'预评函-3'!D2</f>
        <v>出让国有建设用地使用权价值</v>
      </c>
    </row>
    <row r="47" spans="1:2">
      <c r="A47" s="1119" t="s">
        <v>548</v>
      </c>
      <c r="B47" s="1120">
        <f ca="1">'预评函-3'!D4</f>
        <v>49154</v>
      </c>
    </row>
    <row r="48" spans="1:2">
      <c r="A48" s="1119" t="s">
        <v>549</v>
      </c>
      <c r="B48" s="1120">
        <f ca="1">'预评函-3'!E4</f>
        <v>9612</v>
      </c>
    </row>
    <row r="49" spans="1:2">
      <c r="A49" s="1119" t="s">
        <v>550</v>
      </c>
      <c r="B49" s="1120" t="str">
        <f ca="1">'预评函-3'!D5</f>
        <v>肆亿玖仟壹佰伍拾肆万元整</v>
      </c>
    </row>
    <row r="50" spans="1:2">
      <c r="A50" s="1119" t="s">
        <v>574</v>
      </c>
      <c r="B50" s="1120" t="str">
        <f>'预评函-3'!F2</f>
        <v>在建建筑物价值</v>
      </c>
    </row>
    <row r="51" spans="1:2">
      <c r="A51" s="1119" t="s">
        <v>551</v>
      </c>
      <c r="B51" s="1120">
        <f ca="1">'预评函-3'!F4</f>
        <v>15865</v>
      </c>
    </row>
    <row r="52" spans="1:2">
      <c r="A52" s="1119" t="s">
        <v>552</v>
      </c>
      <c r="B52" s="1120">
        <f ca="1">'预评函-3'!G4</f>
        <v>3103</v>
      </c>
    </row>
    <row r="53" spans="1:2">
      <c r="A53" s="1119" t="s">
        <v>580</v>
      </c>
      <c r="B53" s="1120" t="str">
        <f ca="1">'预评函-3'!F5</f>
        <v>壹亿伍仟捌佰陆拾伍万元整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7" t="s">
        <v>2571</v>
      </c>
      <c r="J2" s="3207"/>
      <c r="K2" s="3207"/>
      <c r="L2" s="3207"/>
      <c r="M2" s="3207"/>
      <c r="N2" s="3207"/>
      <c r="O2" s="3207"/>
      <c r="P2" s="3207"/>
      <c r="Q2" s="3207"/>
      <c r="R2" s="3207"/>
    </row>
    <row r="3" spans="1:18">
      <c r="A3" s="2763" t="s">
        <v>2492</v>
      </c>
      <c r="B3" s="2764">
        <f>项目基本情况!D3</f>
        <v>45712</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1.81</v>
      </c>
      <c r="D5" s="2768">
        <f>IF(ISERROR(ROUND(POWER(1+E5,A5-C5)*(POWER(1+E5,C5)-1)/(POWER(1+E5,A5)-1),3)),0,ROUND(POWER(1+E5,A5-C5)*(POWER(1+E5,C5)-1)/(POWER(1+E5,A5)-1),4))</f>
        <v>8.6599999999999996E-2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11.82</v>
      </c>
      <c r="D6" s="2768">
        <f>IF(ISERROR(ROUND(POWER(1+E6,A6-C6)*(POWER(1+E6,C6)-1)/(POWER(1+E6,A6)-1),3)),0,ROUND(POWER(1+E6,A6-C6)*(POWER(1+E6,C6)-1)/(POWER(1+E6,A6)-1),4))</f>
        <v>0.43169999999999997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31.83</v>
      </c>
      <c r="D7" s="2768">
        <f>IF(ISERROR(ROUND(POWER(1+E7,A7-C7)*(POWER(1+E7,C7)-1)/(POWER(1+E7,A7)-1),3)),0,ROUND(POWER(1+E7,A7-C7)*(POWER(1+E7,C7)-1)/(POWER(1+E7,A7)-1),4))</f>
        <v>0.76200000000000001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4" t="s">
        <v>3380</v>
      </c>
      <c r="B50" s="3144" t="s">
        <v>3381</v>
      </c>
      <c r="C50" s="3144" t="s">
        <v>3382</v>
      </c>
      <c r="D50" s="3144" t="s">
        <v>3383</v>
      </c>
    </row>
    <row r="51" spans="1:4">
      <c r="A51" s="3144" t="s">
        <v>3384</v>
      </c>
      <c r="B51" s="2765">
        <f>B52+B53</f>
        <v>15000</v>
      </c>
      <c r="C51" s="3145">
        <f>D51/B51</f>
        <v>2666.6666666666665</v>
      </c>
      <c r="D51" s="2765">
        <f>D52+D53</f>
        <v>40000000</v>
      </c>
    </row>
    <row r="52" spans="1:4">
      <c r="A52" s="3146" t="s">
        <v>3385</v>
      </c>
      <c r="B52" s="3147">
        <v>10000</v>
      </c>
      <c r="C52" s="3147">
        <v>1500</v>
      </c>
      <c r="D52" s="3148">
        <f>C52*B52</f>
        <v>15000000</v>
      </c>
    </row>
    <row r="53" spans="1:4">
      <c r="A53" s="3146" t="s">
        <v>3386</v>
      </c>
      <c r="B53" s="3147">
        <v>5000</v>
      </c>
      <c r="C53" s="3147">
        <v>5000</v>
      </c>
      <c r="D53" s="3148">
        <f>C53*B53</f>
        <v>25000000</v>
      </c>
    </row>
    <row r="54" spans="1:4">
      <c r="A54" s="3144" t="s">
        <v>3387</v>
      </c>
      <c r="B54" s="2765">
        <f>B51</f>
        <v>15000</v>
      </c>
      <c r="C54" s="2771">
        <v>700</v>
      </c>
      <c r="D54" s="2765">
        <f t="shared" ref="D54:D55" si="5">C54*B54</f>
        <v>10500000</v>
      </c>
    </row>
    <row r="55" spans="1:4">
      <c r="A55" s="3144" t="s">
        <v>3388</v>
      </c>
      <c r="B55" s="2765">
        <f>B51</f>
        <v>15000</v>
      </c>
      <c r="C55" s="2771">
        <v>1500</v>
      </c>
      <c r="D55" s="2765">
        <f t="shared" si="5"/>
        <v>22500000</v>
      </c>
    </row>
    <row r="56" spans="1:4">
      <c r="A56" s="3144" t="s">
        <v>3389</v>
      </c>
      <c r="B56" s="2765">
        <f>B51</f>
        <v>15000</v>
      </c>
      <c r="C56" s="3149">
        <f>C51+C54+C55</f>
        <v>4866.6666666666661</v>
      </c>
      <c r="D56" s="2765">
        <f>D51+D54+D55</f>
        <v>73000000</v>
      </c>
    </row>
    <row r="58" spans="1:4">
      <c r="A58" s="3144" t="s">
        <v>3390</v>
      </c>
      <c r="B58" s="3150">
        <v>0.05</v>
      </c>
      <c r="C58" s="2765">
        <f>C56*(1+B58)</f>
        <v>5110</v>
      </c>
      <c r="D58" s="2765">
        <f>D56*B58</f>
        <v>3650000</v>
      </c>
    </row>
    <row r="60" spans="1:4">
      <c r="A60" s="3144" t="s">
        <v>3391</v>
      </c>
      <c r="B60" s="2771">
        <v>3500</v>
      </c>
      <c r="C60" s="2771">
        <f>C53</f>
        <v>5000</v>
      </c>
      <c r="D60" s="2765">
        <f>C60*B60</f>
        <v>17500000</v>
      </c>
    </row>
    <row r="62" spans="1:4">
      <c r="A62" s="3144" t="s">
        <v>3392</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45712</v>
      </c>
      <c r="C3" s="2186" t="s">
        <v>2171</v>
      </c>
      <c r="D3" s="2185">
        <v>45712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3394</v>
      </c>
      <c r="C8" s="2201"/>
      <c r="D8" s="3211" t="s">
        <v>2177</v>
      </c>
      <c r="E8" s="2202" t="s">
        <v>3395</v>
      </c>
      <c r="F8" s="2203"/>
      <c r="G8" s="2442"/>
      <c r="H8" s="2442"/>
      <c r="I8" s="2442"/>
      <c r="J8" s="2245"/>
      <c r="K8" s="2400"/>
      <c r="L8" s="2399"/>
      <c r="M8" s="2399"/>
      <c r="N8" s="2245"/>
      <c r="O8" s="1670"/>
      <c r="P8" s="2245"/>
      <c r="Q8" s="2245"/>
      <c r="R8" s="2245"/>
    </row>
    <row r="9" spans="1:30" ht="13.5" thickBot="1">
      <c r="A9" s="2204" t="s">
        <v>2178</v>
      </c>
      <c r="B9" s="2205" t="s">
        <v>3395</v>
      </c>
      <c r="C9" s="2206"/>
      <c r="D9" s="3212"/>
      <c r="E9" s="2205" t="s">
        <v>43</v>
      </c>
      <c r="F9" s="2207"/>
      <c r="G9" s="2443"/>
      <c r="H9" s="2443"/>
      <c r="I9" s="2443"/>
      <c r="J9" s="2245"/>
      <c r="K9" s="2402"/>
      <c r="L9" s="2399"/>
      <c r="M9" s="2399"/>
      <c r="N9" s="2245"/>
      <c r="O9" s="1670"/>
      <c r="P9" s="2245"/>
      <c r="Q9" s="2245"/>
      <c r="R9" s="2245"/>
    </row>
    <row r="10" spans="1:30" ht="13.5" thickTop="1">
      <c r="A10" s="2208" t="s">
        <v>2179</v>
      </c>
      <c r="B10" s="2209" t="s">
        <v>3396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v>54546</v>
      </c>
      <c r="E13" s="803"/>
      <c r="F13" s="803">
        <v>58198</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f>IF(A13="出让",IF(F13="","",ROUNDDOWN(MIN((F13-$D$3)/365,F14),2)),F14)</f>
        <v>34.200000000000003</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8"/>
      <c r="C16" s="3219"/>
      <c r="D16" s="3220"/>
      <c r="E16" s="2222" t="s">
        <v>2194</v>
      </c>
      <c r="F16" s="3221"/>
      <c r="G16" s="3222"/>
      <c r="H16" s="3222"/>
      <c r="I16" s="3223"/>
      <c r="J16" s="2245"/>
      <c r="K16" s="2403"/>
      <c r="L16" s="1670"/>
      <c r="M16" s="1670"/>
      <c r="N16" s="2245"/>
      <c r="O16" s="1670"/>
      <c r="P16" s="2245"/>
      <c r="Q16" s="2245"/>
      <c r="R16" s="2245"/>
    </row>
    <row r="17" spans="1:28">
      <c r="A17" s="305" t="s">
        <v>2195</v>
      </c>
      <c r="B17" s="294" t="s">
        <v>2196</v>
      </c>
      <c r="C17" s="8">
        <f>'数据-汇总表'!E3</f>
        <v>51136.03</v>
      </c>
      <c r="D17" s="1256" t="s">
        <v>2197</v>
      </c>
      <c r="E17" s="3224" t="s">
        <v>2198</v>
      </c>
      <c r="F17" s="3225"/>
      <c r="G17" s="3225"/>
      <c r="H17" s="3225"/>
      <c r="I17" s="322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21989.41</v>
      </c>
      <c r="D18" s="1029" t="s">
        <v>2201</v>
      </c>
      <c r="E18" s="3227" t="s">
        <v>2202</v>
      </c>
      <c r="F18" s="3228"/>
      <c r="G18" s="3228"/>
      <c r="H18" s="3228"/>
      <c r="I18" s="322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4" t="s">
        <v>2206</v>
      </c>
      <c r="C20" s="3215"/>
      <c r="D20" s="3216" t="s">
        <v>2207</v>
      </c>
      <c r="E20" s="3217"/>
      <c r="F20" s="2430" t="s">
        <v>1056</v>
      </c>
      <c r="G20" s="2442"/>
      <c r="H20" s="2442"/>
      <c r="I20" s="2442"/>
      <c r="J20" s="2245"/>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2"/>
      <c r="B30" s="294" t="s">
        <v>2218</v>
      </c>
      <c r="C30" s="3233"/>
      <c r="D30" s="3234"/>
      <c r="E30" s="2442"/>
      <c r="F30" s="2442"/>
      <c r="G30" s="2442"/>
      <c r="H30" s="2442"/>
      <c r="I30" s="2442"/>
      <c r="J30" s="2245"/>
      <c r="K30" s="2402"/>
      <c r="L30" s="2399"/>
      <c r="M30" s="2399"/>
      <c r="N30" s="2245"/>
      <c r="O30" s="1670"/>
      <c r="P30" s="2245"/>
      <c r="Q30" s="2245"/>
      <c r="R30" s="2245"/>
      <c r="S30" s="2245"/>
      <c r="T30" s="2245"/>
      <c r="U30" s="2245"/>
      <c r="V30" s="2245"/>
    </row>
    <row r="31" spans="1:28">
      <c r="A31" s="323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5"/>
      <c r="V34" s="2245"/>
    </row>
    <row r="35" spans="1:30">
      <c r="A35" s="2236"/>
      <c r="B35" s="3230" t="s">
        <v>2229</v>
      </c>
      <c r="C35" s="3230"/>
      <c r="D35" s="3230"/>
      <c r="E35" s="323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21989.41</v>
      </c>
      <c r="B3" s="11">
        <f>IF(C3="否",G5-AT5,G5)</f>
        <v>51136.03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51136.03</v>
      </c>
      <c r="H5" s="13">
        <f t="shared" ref="H5:AT5" si="0">SUM(H13:H656)</f>
        <v>51136.03</v>
      </c>
      <c r="I5" s="13">
        <f t="shared" si="0"/>
        <v>45260.62</v>
      </c>
      <c r="J5" s="13">
        <f t="shared" si="0"/>
        <v>0</v>
      </c>
      <c r="K5" s="13">
        <f t="shared" si="0"/>
        <v>5875.41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51136.03</v>
      </c>
      <c r="BA5" s="15">
        <f t="shared" si="1"/>
        <v>51136.03</v>
      </c>
      <c r="BB5" s="15">
        <f t="shared" si="1"/>
        <v>45260.62</v>
      </c>
      <c r="BC5" s="15">
        <f t="shared" si="1"/>
        <v>5875.41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21989.41</v>
      </c>
      <c r="F6" s="13" t="s">
        <v>0</v>
      </c>
      <c r="G6" s="13" t="s">
        <v>1</v>
      </c>
      <c r="H6" s="17">
        <f>SUMIF(I$12:AB$12,"总值",I6:AB6)</f>
        <v>21989.41</v>
      </c>
      <c r="I6" s="13">
        <f t="shared" ref="I6:AB6" si="2">ROUND($A$3*I5/$B$3,2)</f>
        <v>19462.88</v>
      </c>
      <c r="J6" s="13">
        <f t="shared" si="2"/>
        <v>0</v>
      </c>
      <c r="K6" s="13">
        <f t="shared" si="2"/>
        <v>2526.5300000000002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21989.41</v>
      </c>
      <c r="AZ6" s="13" t="s">
        <v>2</v>
      </c>
      <c r="BA6" s="13">
        <f>ROUND($AY$6*BA5/$AZ$5,2)</f>
        <v>21989.41</v>
      </c>
      <c r="BB6" s="13">
        <f>ROUND($AY$6*BB5/$AZ$5,2)</f>
        <v>19462.88</v>
      </c>
      <c r="BC6" s="13">
        <f t="shared" ref="BC6:BH6" si="4">ROUND($AY$6*BC5/$AZ$5,2)</f>
        <v>2526.5300000000002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3402</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3" t="s">
        <v>3399</v>
      </c>
      <c r="D13" s="1513" t="s">
        <v>3398</v>
      </c>
      <c r="E13" s="13">
        <f>IF($C$3="是",ROUND($A$3*G13/$B$3,2),ROUND($A$3*(G13-AT13)/$B$3,2))</f>
        <v>21989.41</v>
      </c>
      <c r="F13" s="29"/>
      <c r="G13" s="30">
        <f>H13+AC13+AT13</f>
        <v>51136.03</v>
      </c>
      <c r="H13" s="17">
        <f>SUMIF(I$12:AB$12,"总值",I13:AB13)</f>
        <v>51136.03</v>
      </c>
      <c r="I13" s="3157">
        <f>位置面积!G55</f>
        <v>45260.62</v>
      </c>
      <c r="J13" s="1514"/>
      <c r="K13" s="1514">
        <v>5875.41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21989.41</v>
      </c>
      <c r="AZ13" s="13">
        <f>BA13+BL13</f>
        <v>51136.03</v>
      </c>
      <c r="BA13" s="13">
        <f>SUM(BB13:BK13)</f>
        <v>51136.03</v>
      </c>
      <c r="BB13" s="13">
        <f>IF($D13="是",I13-J13,0)</f>
        <v>45260.62</v>
      </c>
      <c r="BC13" s="13">
        <f>IF($D13="是",K13-L13,0)</f>
        <v>5875.41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t="s">
        <v>3433</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F55:G56"/>
  <sheetViews>
    <sheetView topLeftCell="A19" workbookViewId="0">
      <selection activeCell="K57" sqref="K57"/>
    </sheetView>
  </sheetViews>
  <sheetFormatPr defaultRowHeight="13.5"/>
  <sheetData>
    <row r="55" spans="6:7">
      <c r="F55" s="1405" t="s">
        <v>3431</v>
      </c>
      <c r="G55">
        <v>45260.62</v>
      </c>
    </row>
    <row r="56" spans="6:7">
      <c r="F56" s="1405" t="s">
        <v>3432</v>
      </c>
      <c r="G56">
        <f>51136.03-G55</f>
        <v>5875.4099999999962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M40" sqref="M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21989.41</v>
      </c>
      <c r="E3" s="41">
        <f>'数据-基础表'!AZ5</f>
        <v>51136.03</v>
      </c>
      <c r="F3" s="2439"/>
      <c r="G3" s="42"/>
      <c r="H3" s="43" t="s">
        <v>1106</v>
      </c>
      <c r="I3" s="802">
        <f>ROUND('数据-基础表'!B3/'数据-基础表'!A3,2)</f>
        <v>2.33</v>
      </c>
      <c r="J3" s="2439"/>
      <c r="K3" s="2439"/>
      <c r="L3" s="2439"/>
      <c r="M3" s="2439"/>
      <c r="N3" s="2440"/>
      <c r="O3" s="2439"/>
      <c r="P3" s="2439"/>
    </row>
    <row r="4" spans="1:16" ht="15">
      <c r="A4" s="3248"/>
      <c r="B4" s="3249"/>
      <c r="C4" s="3250"/>
      <c r="D4" s="1524" t="s">
        <v>1107</v>
      </c>
      <c r="E4" s="1525" t="s">
        <v>1108</v>
      </c>
      <c r="F4" s="2439"/>
      <c r="G4" s="2434" t="s">
        <v>1133</v>
      </c>
      <c r="H4" s="43" t="s">
        <v>1113</v>
      </c>
      <c r="I4" s="802">
        <f>ROUND(SUMIF('数据-基础表'!I9:AS9,"地上",'数据-基础表'!I5:AS5)/'数据-基础表'!A3,2)</f>
        <v>2.06</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f>ROUND(E31/D31,2)</f>
        <v>2.33</v>
      </c>
      <c r="J5" s="2439"/>
      <c r="K5" s="2439"/>
      <c r="L5" s="2439"/>
      <c r="M5" s="2439"/>
      <c r="N5" s="2439"/>
      <c r="O5" s="2439"/>
      <c r="P5" s="2439"/>
    </row>
    <row r="6" spans="1:16" ht="15" thickBot="1">
      <c r="A6" s="1527"/>
      <c r="B6" s="3251" t="s">
        <v>1111</v>
      </c>
      <c r="C6" s="3251"/>
      <c r="D6" s="43">
        <f>ROUND($D$3*E6/$E$3,2)</f>
        <v>21989.41</v>
      </c>
      <c r="E6" s="44">
        <f>E3-E5</f>
        <v>51136.03</v>
      </c>
      <c r="F6" s="2439"/>
      <c r="G6" s="1529" t="s">
        <v>1112</v>
      </c>
      <c r="H6" s="45" t="s">
        <v>1113</v>
      </c>
      <c r="I6" s="2435">
        <f>ROUND(F31/D31,2)</f>
        <v>2.06</v>
      </c>
      <c r="J6" s="2439"/>
      <c r="K6" s="2439"/>
      <c r="L6" s="2439"/>
      <c r="M6" s="2439"/>
      <c r="N6" s="2439"/>
      <c r="O6" s="2439"/>
      <c r="P6" s="2439"/>
    </row>
    <row r="7" spans="1:16" ht="15.75" thickBot="1">
      <c r="A7" s="3243"/>
      <c r="B7" s="3244"/>
      <c r="C7" s="324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19462.88</v>
      </c>
      <c r="E8" s="46">
        <f>SUMIF('数据-基础表'!BB10:BK10,"地上",'数据-基础表'!BB5:BK5)</f>
        <v>45260.62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2526.5300000000002</v>
      </c>
      <c r="E14" s="46">
        <f>SUMPRODUCT(('数据-基础表'!BB10:BK10="地下")*('数据-基础表'!BB11:BK11="车库—商业")*('数据-基础表'!BB5:BK5))</f>
        <v>5875.41</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21989.41</v>
      </c>
      <c r="E16" s="48">
        <f>SUM(E8:E15)</f>
        <v>51136.03</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3403</v>
      </c>
      <c r="D19" s="43">
        <f>ROUND($D$3*E19/$E$3,2)</f>
        <v>21989.41</v>
      </c>
      <c r="E19" s="51">
        <f t="shared" ref="E19:E26" si="1">SUM(F19:G19)</f>
        <v>51136.03</v>
      </c>
      <c r="F19" s="2558">
        <f>'数据-基础表'!I13</f>
        <v>45260.62</v>
      </c>
      <c r="G19" s="1243">
        <f>'数据-基础表'!K13+'数据-基础表'!M13</f>
        <v>5875.41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21989.41</v>
      </c>
      <c r="S19" s="51">
        <f t="shared" si="5"/>
        <v>51136.03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21989.41</v>
      </c>
      <c r="E27" s="1073">
        <f>IF(SUM(E19:E26)='数据-基础表'!BA5,SUM(E19:E26),IF(F27="地上面积有误","面积有误","地下面积有误"))</f>
        <v>51136.03</v>
      </c>
      <c r="F27" s="1072">
        <f>IF(SUM(F19:F26)=E8,SUM(F19:F26),"地上面积有误")</f>
        <v>45260.62</v>
      </c>
      <c r="G27" s="1074">
        <f>SUM(G19:G26)</f>
        <v>5875.41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21989.41</v>
      </c>
      <c r="S27" s="43">
        <f>IF(SUM(S19:S26)=$E$3,SUM(S19:S26),SUM(S19:S26)&amp;"误差"&amp;ROUND(SUM(S19:S26)-E3,2))</f>
        <v>51136.03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21989.41</v>
      </c>
      <c r="E31" s="643">
        <f>E27+E30</f>
        <v>51136.03</v>
      </c>
      <c r="F31" s="644">
        <f>F27+F30</f>
        <v>45260.62</v>
      </c>
      <c r="G31" s="645">
        <f>G27+G30</f>
        <v>5875.41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54546</v>
      </c>
      <c r="F6" s="61">
        <f>SUMIF(项目基本情况!C$12:I$12,C6,项目基本情况!C$15:I$15)</f>
        <v>24.2</v>
      </c>
      <c r="G6" s="62">
        <f>IF(ISERROR(ROUND(POWER(1+H6,D6-F6)*(POWER(1+H6,F6)-1)/(POWER(1+H6,D6)-1),3)),0,ROUND(POWER(1+H6,D6-F6)*(POWER(1+H6,F6)-1)/(POWER(1+H6,D6)-1),3))</f>
        <v>0.80800000000000005</v>
      </c>
      <c r="H6" s="691">
        <v>0.05</v>
      </c>
      <c r="I6" s="691">
        <v>5.5E-2</v>
      </c>
      <c r="J6" s="63">
        <v>7.0000000000000007E-2</v>
      </c>
      <c r="K6" s="970">
        <f>SUMIF('数据-汇总表'!C$19:C$33,A6,'数据-汇总表'!E$19:E$33)</f>
        <v>51136.03</v>
      </c>
      <c r="L6" s="692">
        <v>3800</v>
      </c>
      <c r="M6" s="64">
        <f t="shared" ref="M6:M14" si="0">ROUND(K6*L6/10000,0)</f>
        <v>19432</v>
      </c>
      <c r="N6" s="690">
        <f>ROUND(1-(2025-2012)/60,2)</f>
        <v>0.78</v>
      </c>
      <c r="O6" s="64" t="str">
        <f>IF($N$5="成新度","——",ROUND(M6*N6,0))</f>
        <v>——</v>
      </c>
      <c r="P6" s="65" t="str">
        <f>IF($N$5="成新度","——",M6-O6)</f>
        <v>——</v>
      </c>
      <c r="Q6" s="693">
        <v>0.2</v>
      </c>
      <c r="R6" s="66">
        <f ca="1">SUMIF('数据-汇总表'!C$19:C$33,A6,'数据-汇总表'!R$19:R$27)</f>
        <v>21989.41</v>
      </c>
      <c r="S6" s="49">
        <f>IF('数据-汇总表'!$I$17="按面积比例",SUMIF('数据-汇总表'!C$19:C$33,A6,'数据-汇总表'!K$19:K$33),SUMIF('数据-汇总表'!C$19:C$33,A6,'数据-汇总表'!N$19:N$33))</f>
        <v>0</v>
      </c>
      <c r="T6" s="1092">
        <f>ROUND($L$14*S6/10000,0)</f>
        <v>0</v>
      </c>
      <c r="U6" s="3127">
        <f>租金!N16</f>
        <v>1.73</v>
      </c>
      <c r="V6" s="67">
        <v>0</v>
      </c>
      <c r="W6" s="67">
        <v>0</v>
      </c>
      <c r="X6" s="979"/>
      <c r="Y6" s="68">
        <f>N6</f>
        <v>0.78</v>
      </c>
      <c r="Z6" s="69">
        <f>租金!P13</f>
        <v>3.87</v>
      </c>
      <c r="AA6" s="63">
        <v>0.02</v>
      </c>
      <c r="AB6" s="63">
        <v>0.1</v>
      </c>
      <c r="AC6" s="979"/>
      <c r="AD6" s="70">
        <f>ROUND(1-(2036-2012)/60,2)</f>
        <v>0.6</v>
      </c>
      <c r="AE6" s="980">
        <f ca="1">IF(AN6="",0,SUMIF(INDIRECT("'"&amp;AN6&amp;"'"&amp;"!E:E"),$AE$5,INDIRECT("'"&amp;AN6&amp;"'"&amp;"!F:F")))</f>
        <v>24.2</v>
      </c>
      <c r="AF6" s="74">
        <f>租金!P16</f>
        <v>11.86</v>
      </c>
      <c r="AG6" s="130">
        <f ca="1">IF(AF6="",0,AE6-AF6)</f>
        <v>12.34</v>
      </c>
      <c r="AH6" s="71"/>
      <c r="AI6" s="73">
        <v>365</v>
      </c>
      <c r="AJ6" s="74"/>
      <c r="AK6" s="75">
        <v>2E-3</v>
      </c>
      <c r="AL6" s="76">
        <v>1E-3</v>
      </c>
      <c r="AM6" s="77">
        <v>0.01</v>
      </c>
      <c r="AN6" s="1589" t="s">
        <v>3405</v>
      </c>
      <c r="AO6" s="50">
        <f ca="1">SUMIF(INDIRECT("'"&amp;AN6&amp;"'"&amp;"!A:A"),"总价",INDIRECT("'"&amp;AN6&amp;"'"&amp;"!B:B"))</f>
        <v>51907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51136.03</v>
      </c>
      <c r="L16" s="87">
        <f>ROUND(M16*10000/SUM(K6:K14),0)</f>
        <v>3800</v>
      </c>
      <c r="M16" s="87">
        <f>SUM(M6:M14)</f>
        <v>19432</v>
      </c>
      <c r="N16" s="88">
        <f>ROUND(SUMPRODUCT(M6:M14,N6:N14)/M16,3)</f>
        <v>0.78</v>
      </c>
      <c r="O16" s="87">
        <f>SUM(O6:O14)</f>
        <v>0</v>
      </c>
      <c r="P16" s="87">
        <f>SUM(P6:P14)</f>
        <v>0</v>
      </c>
      <c r="Q16" s="89">
        <f>ROUND(SUMPRODUCT(Q6:Q13,K6:K13)/SUMPRODUCT((Q6:Q13&gt;0)*(K6:K13)),2)</f>
        <v>0.2</v>
      </c>
      <c r="R16" s="974">
        <f ca="1">SUM(R6:R13)</f>
        <v>21989.41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f>'数据-基础表'!I13</f>
        <v>45260.62</v>
      </c>
      <c r="Q19" s="3155">
        <v>0.2</v>
      </c>
      <c r="R19" s="2449">
        <f>Q19*P19</f>
        <v>9052.1240000000016</v>
      </c>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f>'数据-基础表'!K13</f>
        <v>5875.41</v>
      </c>
      <c r="Q20" s="3155">
        <v>0.05</v>
      </c>
      <c r="R20" s="2449">
        <f>Q20*P20</f>
        <v>293.77050000000003</v>
      </c>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f>P19+P20</f>
        <v>51136.03</v>
      </c>
      <c r="Q21" s="2449"/>
      <c r="R21" s="3156">
        <f>(R19+R20)/P21</f>
        <v>0.18276535155349374</v>
      </c>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1023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2277</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51136.03</v>
      </c>
      <c r="C1" s="2462"/>
      <c r="D1" s="2462"/>
      <c r="E1" s="2462"/>
      <c r="F1" s="2462"/>
      <c r="G1" s="2463"/>
      <c r="H1" s="2463"/>
      <c r="I1" s="2463"/>
      <c r="J1" s="2463"/>
      <c r="K1" s="2463"/>
    </row>
    <row r="2" spans="1:11" ht="16.5">
      <c r="A2" s="2300" t="s">
        <v>653</v>
      </c>
      <c r="B2" s="2300">
        <f>SUM(C14:C23)</f>
        <v>21989.41</v>
      </c>
      <c r="C2" s="2462"/>
      <c r="D2" s="2462"/>
      <c r="E2" s="2462"/>
      <c r="F2" s="2462"/>
      <c r="G2" s="2463"/>
      <c r="H2" s="2463"/>
      <c r="I2" s="2463"/>
      <c r="J2" s="2463"/>
      <c r="K2" s="2463"/>
    </row>
    <row r="3" spans="1:11" ht="16.5">
      <c r="A3" s="2300" t="s">
        <v>662</v>
      </c>
      <c r="B3" s="2302">
        <f>项目基本情况!D3</f>
        <v>45712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65019</v>
      </c>
      <c r="C5" s="2300">
        <f ca="1">IF(B5=D14,结果表!H102,ROUND(B5*10000/$B$1,0))</f>
        <v>12715</v>
      </c>
      <c r="D5" s="2300">
        <f ca="1">ROUND(B5*10000/$B$2,0)</f>
        <v>29568</v>
      </c>
      <c r="E5" s="2462"/>
      <c r="F5" s="2463"/>
      <c r="G5" s="2463"/>
      <c r="H5" s="2463"/>
      <c r="I5" s="2463"/>
      <c r="J5" s="2463"/>
      <c r="K5" s="2463"/>
    </row>
    <row r="6" spans="1:11" ht="16.5">
      <c r="A6" s="2300" t="s">
        <v>656</v>
      </c>
      <c r="B6" s="2300">
        <f ca="1">SUM(G14:G23)</f>
        <v>65019</v>
      </c>
      <c r="C6" s="2300">
        <f ca="1">IF(B6=G14,结果表!H108,ROUND(B6*10000/$B$1,0))</f>
        <v>12715</v>
      </c>
      <c r="D6" s="2300">
        <f ca="1">ROUND(B6*10000/$B$2,0)</f>
        <v>29568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51136.03</v>
      </c>
      <c r="C14" s="2306">
        <f>'数据-汇总表'!D3</f>
        <v>21989.41</v>
      </c>
      <c r="D14" s="2306">
        <f ca="1">结果表!G19</f>
        <v>65019</v>
      </c>
      <c r="E14" s="2306">
        <f ca="1">ROUND(D14*10000/B14,0)</f>
        <v>12715</v>
      </c>
      <c r="F14" s="2306">
        <f ca="1">ROUND(D14*10000/C14,0)</f>
        <v>29568</v>
      </c>
      <c r="G14" s="2306">
        <f ca="1">D14</f>
        <v>65019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12" zoomScaleNormal="100" zoomScaleSheetLayoutView="100" zoomScalePageLayoutView="80" workbookViewId="0">
      <selection activeCell="F119" sqref="F119:G1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3429</v>
      </c>
      <c r="H1" s="1621" t="str">
        <f>IF(G1="现房","——","估价对象范围")</f>
        <v>——</v>
      </c>
      <c r="I1" s="1622" t="s">
        <v>3430</v>
      </c>
    </row>
    <row r="2" spans="1:12" ht="21.75" customHeight="1" thickBot="1">
      <c r="A2" s="3321" t="str">
        <f>项目基本情况!S2</f>
        <v>北京市房地产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4" t="s">
        <v>1265</v>
      </c>
      <c r="B4" s="1625" t="s">
        <v>1266</v>
      </c>
      <c r="C4" s="1626" t="s">
        <v>3415</v>
      </c>
      <c r="D4" s="1626" t="s">
        <v>3405</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324">
        <v>25</v>
      </c>
      <c r="C5" s="3327">
        <v>20</v>
      </c>
      <c r="D5" s="3315">
        <v>20</v>
      </c>
      <c r="E5" s="123" t="s">
        <v>1269</v>
      </c>
      <c r="F5" s="1627"/>
      <c r="G5" s="1627"/>
      <c r="H5" s="1627"/>
      <c r="I5" s="1281"/>
    </row>
    <row r="6" spans="1:12" ht="12.75">
      <c r="A6" s="3269"/>
      <c r="B6" s="3324"/>
      <c r="C6" s="3329"/>
      <c r="D6" s="3315"/>
      <c r="E6" s="123" t="s">
        <v>1270</v>
      </c>
      <c r="F6" s="1627"/>
      <c r="G6" s="1627"/>
      <c r="H6" s="1627"/>
      <c r="I6" s="1281"/>
    </row>
    <row r="7" spans="1:12" ht="12.75">
      <c r="A7" s="3269"/>
      <c r="B7" s="3324"/>
      <c r="C7" s="3328"/>
      <c r="D7" s="3315"/>
      <c r="E7" s="123" t="s">
        <v>1271</v>
      </c>
      <c r="F7" s="1627"/>
      <c r="G7" s="1627"/>
      <c r="H7" s="1627"/>
      <c r="I7" s="1281"/>
    </row>
    <row r="8" spans="1:12" ht="12.75">
      <c r="A8" s="3269" t="s">
        <v>1272</v>
      </c>
      <c r="B8" s="3324">
        <v>15</v>
      </c>
      <c r="C8" s="3327">
        <v>3</v>
      </c>
      <c r="D8" s="3315">
        <v>5</v>
      </c>
      <c r="E8" s="123" t="s">
        <v>1273</v>
      </c>
      <c r="F8" s="1627"/>
      <c r="G8" s="1627"/>
      <c r="H8" s="1627"/>
      <c r="I8" s="1281"/>
    </row>
    <row r="9" spans="1:12" ht="12.75">
      <c r="A9" s="3269"/>
      <c r="B9" s="3324"/>
      <c r="C9" s="3328"/>
      <c r="D9" s="3315"/>
      <c r="E9" s="123" t="s">
        <v>1274</v>
      </c>
      <c r="F9" s="1627"/>
      <c r="G9" s="1627"/>
      <c r="H9" s="1627"/>
      <c r="I9" s="1281"/>
    </row>
    <row r="10" spans="1:12" ht="12.75">
      <c r="A10" s="3269" t="s">
        <v>1275</v>
      </c>
      <c r="B10" s="3324">
        <v>15</v>
      </c>
      <c r="C10" s="3327">
        <v>3</v>
      </c>
      <c r="D10" s="3315">
        <v>5</v>
      </c>
      <c r="E10" s="123" t="s">
        <v>1276</v>
      </c>
      <c r="F10" s="1627"/>
      <c r="G10" s="1627"/>
      <c r="H10" s="1627"/>
      <c r="I10" s="1281"/>
    </row>
    <row r="11" spans="1:12" ht="12.75">
      <c r="A11" s="3269"/>
      <c r="B11" s="3324"/>
      <c r="C11" s="3328"/>
      <c r="D11" s="3315"/>
      <c r="E11" s="123" t="s">
        <v>1277</v>
      </c>
      <c r="F11" s="1627"/>
      <c r="G11" s="1627"/>
      <c r="H11" s="1627"/>
      <c r="I11" s="1281"/>
    </row>
    <row r="12" spans="1:12" ht="12.75">
      <c r="A12" s="3269" t="s">
        <v>1278</v>
      </c>
      <c r="B12" s="3324">
        <v>15</v>
      </c>
      <c r="C12" s="3327">
        <v>5</v>
      </c>
      <c r="D12" s="3315">
        <v>5</v>
      </c>
      <c r="E12" s="123" t="s">
        <v>1279</v>
      </c>
      <c r="F12" s="1627"/>
      <c r="G12" s="1627"/>
      <c r="H12" s="1627"/>
      <c r="I12" s="1281"/>
    </row>
    <row r="13" spans="1:12" ht="12.75">
      <c r="A13" s="3269"/>
      <c r="B13" s="3324"/>
      <c r="C13" s="3328"/>
      <c r="D13" s="3315"/>
      <c r="E13" s="123" t="s">
        <v>1280</v>
      </c>
      <c r="F13" s="1627"/>
      <c r="G13" s="1627"/>
      <c r="H13" s="1627"/>
      <c r="I13" s="1281"/>
    </row>
    <row r="14" spans="1:12" ht="12.75">
      <c r="A14" s="3269" t="s">
        <v>1281</v>
      </c>
      <c r="B14" s="3324">
        <v>30</v>
      </c>
      <c r="C14" s="3327">
        <v>10</v>
      </c>
      <c r="D14" s="3315">
        <v>15</v>
      </c>
      <c r="E14" s="123" t="s">
        <v>1282</v>
      </c>
      <c r="F14" s="1627"/>
      <c r="G14" s="1627"/>
      <c r="H14" s="1627"/>
      <c r="I14" s="1281"/>
    </row>
    <row r="15" spans="1:12" ht="12.75">
      <c r="A15" s="3269"/>
      <c r="B15" s="3324"/>
      <c r="C15" s="3329"/>
      <c r="D15" s="3315"/>
      <c r="E15" s="123" t="s">
        <v>1283</v>
      </c>
      <c r="F15" s="1627"/>
      <c r="G15" s="1627"/>
      <c r="H15" s="1627"/>
      <c r="I15" s="1281"/>
    </row>
    <row r="16" spans="1:12" ht="12.75">
      <c r="A16" s="3269"/>
      <c r="B16" s="3324"/>
      <c r="C16" s="3328"/>
      <c r="D16" s="3315"/>
      <c r="E16" s="123" t="s">
        <v>1284</v>
      </c>
      <c r="F16" s="1627"/>
      <c r="G16" s="1627"/>
      <c r="H16" s="1627"/>
      <c r="I16" s="1281"/>
    </row>
    <row r="17" spans="1:36" ht="15">
      <c r="A17" s="1628" t="s">
        <v>1285</v>
      </c>
      <c r="B17" s="54"/>
      <c r="C17" s="124">
        <f>SUM(C5:C16)</f>
        <v>41</v>
      </c>
      <c r="D17" s="124">
        <f>SUM(D5:D16)</f>
        <v>50</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346" t="s">
        <v>2131</v>
      </c>
      <c r="F18" s="3347"/>
      <c r="G18" s="3347"/>
      <c r="H18" s="3347"/>
      <c r="I18" s="3347"/>
      <c r="K18" s="294" t="s">
        <v>1289</v>
      </c>
      <c r="L18" s="294">
        <f>IF(C1="",'数据-汇总表'!E3,SUMIF(项目类型,C1,'数据-汇总表'!E17:E26)+SUMIF(项目类型,C1,'数据-汇总表'!I17:I26))</f>
        <v>51136.03</v>
      </c>
      <c r="M18" s="294">
        <f>IF(C1="",'数据-汇总表'!E3,SUMIF(项目类型,C1,'数据-汇总表'!E17:E26))</f>
        <v>51136.03</v>
      </c>
    </row>
    <row r="19" spans="1:36" ht="15">
      <c r="A19" s="1630" t="s">
        <v>1290</v>
      </c>
      <c r="B19" s="1631" t="s">
        <v>1291</v>
      </c>
      <c r="C19" s="126">
        <f ca="1">SUMIF(INDIRECT("'"&amp;C4&amp;"'"&amp;"!A:A"),结果表!B19,INDIRECT("'"&amp;C4&amp;"'"&amp;"!B:B"))</f>
        <v>81044</v>
      </c>
      <c r="D19" s="127">
        <f ca="1">SUMIF(INDIRECT("'"&amp;D4&amp;"'"&amp;"!A:A"),结果表!B19,INDIRECT("'"&amp;D4&amp;"'"&amp;"!B:B"))</f>
        <v>51907</v>
      </c>
      <c r="E19" s="1630" t="s">
        <v>1292</v>
      </c>
      <c r="F19" s="1631" t="s">
        <v>1291</v>
      </c>
      <c r="G19" s="128">
        <f ca="1">ROUND(C19*$C$18+D19*$D$18,0)</f>
        <v>65019</v>
      </c>
      <c r="H19" s="1632" t="s">
        <v>1293</v>
      </c>
      <c r="I19" s="121"/>
      <c r="K19" s="294" t="s">
        <v>1294</v>
      </c>
      <c r="L19" s="294">
        <f>IF(C1="",'数据-汇总表'!D3,SUMIF(项目类型,C1,'数据-汇总表'!D17:D26)+SUMIF(项目类型,C1,'数据-汇总表'!H17:H27))</f>
        <v>21989.41</v>
      </c>
      <c r="M19" s="294">
        <f>IF(C1="",'数据-汇总表'!D3,SUMIF(项目类型,C1,'数据-汇总表'!D17:D26))</f>
        <v>21989.41</v>
      </c>
    </row>
    <row r="20" spans="1:36" ht="15">
      <c r="A20" s="1633"/>
      <c r="B20" s="43" t="s">
        <v>1295</v>
      </c>
      <c r="C20" s="129">
        <f ca="1">SUMIF(INDIRECT("'"&amp;C4&amp;"'"&amp;"!A:A"),结果表!B20,INDIRECT("'"&amp;C4&amp;"'"&amp;"!B:B"))</f>
        <v>15849</v>
      </c>
      <c r="D20" s="130">
        <f ca="1">SUMIF(INDIRECT("'"&amp;D4&amp;"'"&amp;"!A:A"),结果表!B20,INDIRECT("'"&amp;D4&amp;"'"&amp;"!B:B"))</f>
        <v>10151</v>
      </c>
      <c r="E20" s="1633"/>
      <c r="F20" s="43" t="s">
        <v>1295</v>
      </c>
      <c r="G20" s="131">
        <f ca="1">ROUND(C20*$C$18+D20*$D$18,0)</f>
        <v>12715</v>
      </c>
      <c r="H20" s="760" t="s">
        <v>1296</v>
      </c>
      <c r="I20" s="121"/>
    </row>
    <row r="21" spans="1:36" ht="15" customHeight="1" thickBot="1">
      <c r="A21" s="449"/>
      <c r="B21" s="93" t="s">
        <v>1297</v>
      </c>
      <c r="C21" s="678">
        <f ca="1">ROUND(C19*10000/L19,0)</f>
        <v>36856</v>
      </c>
      <c r="D21" s="679">
        <f ca="1">ROUND(D19*10000/L19,0)</f>
        <v>23605</v>
      </c>
      <c r="E21" s="449"/>
      <c r="F21" s="93" t="s">
        <v>1297</v>
      </c>
      <c r="G21" s="132">
        <f ca="1">ROUND(G19*10000/L19,0)</f>
        <v>29568</v>
      </c>
      <c r="H21" s="1634" t="s">
        <v>1296</v>
      </c>
      <c r="I21" s="121"/>
    </row>
    <row r="22" spans="1:36" ht="15" thickBot="1">
      <c r="A22" s="1564" t="s">
        <v>1298</v>
      </c>
      <c r="B22" s="1635"/>
      <c r="C22" s="1636"/>
      <c r="D22" s="680">
        <f ca="1">IF(C19&lt;D19,D19/C19-1,C19/D19-1)</f>
        <v>0.56133084169765146</v>
      </c>
      <c r="E22" s="121"/>
      <c r="F22" s="121"/>
      <c r="G22" s="121"/>
      <c r="H22" s="121"/>
      <c r="I22" s="121"/>
    </row>
    <row r="23" spans="1:36" ht="13.5" thickBot="1">
      <c r="A23" s="646"/>
      <c r="B23" s="646"/>
      <c r="C23" s="646"/>
      <c r="D23" s="646"/>
      <c r="E23" s="121"/>
      <c r="F23" s="121"/>
      <c r="G23" s="121"/>
      <c r="H23" s="121"/>
      <c r="I23" s="121"/>
    </row>
    <row r="24" spans="1:36" ht="14.25">
      <c r="A24" s="3339" t="s">
        <v>1299</v>
      </c>
      <c r="B24" s="1631" t="s">
        <v>1291</v>
      </c>
      <c r="C24" s="128">
        <f>IF(B30=0,0,D30)</f>
        <v>0</v>
      </c>
      <c r="D24" s="1637"/>
      <c r="E24" s="121"/>
      <c r="F24" s="121"/>
      <c r="G24" s="121"/>
      <c r="H24" s="121"/>
      <c r="I24" s="121"/>
    </row>
    <row r="25" spans="1:36" ht="14.25">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65019</v>
      </c>
      <c r="D32" s="1641" t="s">
        <v>3436</v>
      </c>
      <c r="E32" s="121"/>
      <c r="F32" s="121"/>
      <c r="G32" s="121"/>
      <c r="H32" s="121"/>
      <c r="I32" s="121"/>
    </row>
    <row r="33" spans="1:15" ht="15">
      <c r="A33" s="740" t="s">
        <v>1306</v>
      </c>
      <c r="B33" s="123"/>
      <c r="C33" s="1642" t="s">
        <v>3437</v>
      </c>
      <c r="D33" s="1643" t="s">
        <v>3415</v>
      </c>
      <c r="E33" s="1644" t="s">
        <v>1307</v>
      </c>
      <c r="F33" s="1645" t="str">
        <f>IF(D32="楼面单价","取值（单价）","取值（总价）")</f>
        <v>取值（总价）</v>
      </c>
      <c r="G33" s="121"/>
      <c r="H33" s="121"/>
      <c r="I33" s="121"/>
    </row>
    <row r="34" spans="1:15" ht="15">
      <c r="A34" s="1646"/>
      <c r="B34" s="1647" t="s">
        <v>1308</v>
      </c>
      <c r="C34" s="140">
        <f ca="1">IF(C33="自定义",F34,C32-C35)</f>
        <v>49154</v>
      </c>
      <c r="D34" s="808">
        <f ca="1">IF(C33="自定义",ROUND(C34/C32,3),IF(C33="收益比率",SUMIF(INDIRECT("'"&amp;D33&amp;"'"&amp;"!b:b"),"土地收益比率",INDIRECT("'"&amp;D33&amp;"'"&amp;"!c:c")),SUMIF(INDIRECT("'"&amp;D33&amp;"'"&amp;"!b:b"),"土地成本比率",INDIRECT("'"&amp;D33&amp;"'"&amp;"!c:c"))))</f>
        <v>0.75600000000000001</v>
      </c>
      <c r="E34" s="1648" t="s">
        <v>1309</v>
      </c>
      <c r="F34" s="1243"/>
      <c r="G34" s="121"/>
      <c r="H34" s="121"/>
      <c r="I34" s="121"/>
    </row>
    <row r="35" spans="1:15" ht="15.75" thickBot="1">
      <c r="A35" s="1649"/>
      <c r="B35" s="1650" t="s">
        <v>1310</v>
      </c>
      <c r="C35" s="1090">
        <f ca="1">IF(C33="自定义",F35,ROUND(C32*D35,0))</f>
        <v>15865</v>
      </c>
      <c r="D35" s="1091">
        <f ca="1">IF(C33="自定义",ROUND(C35/C32,3),IF(C33="收益比率",SUMIF(INDIRECT("'"&amp;D33&amp;"'"&amp;"!b:b"),"建筑物收益比率",INDIRECT("'"&amp;D33&amp;"'"&amp;"!c:c")),SUMIF(INDIRECT("'"&amp;D33&amp;"'"&amp;"!b:b"),"建筑物成本比率",INDIRECT("'"&amp;D33&amp;"'"&amp;"!c:c"))))</f>
        <v>0.24399999999999999</v>
      </c>
      <c r="E35" s="1651" t="s">
        <v>1311</v>
      </c>
      <c r="F35" s="146"/>
      <c r="G35" s="121"/>
      <c r="H35" s="121"/>
      <c r="I35" s="121"/>
    </row>
    <row r="36" spans="1:15" ht="15.75" thickBot="1">
      <c r="A36" s="3316" t="s">
        <v>1312</v>
      </c>
      <c r="B36" s="1652" t="s">
        <v>1313</v>
      </c>
      <c r="C36" s="137"/>
      <c r="D36" s="1653"/>
      <c r="E36" s="1567"/>
      <c r="F36" s="1654"/>
      <c r="G36" s="121"/>
      <c r="H36" s="121"/>
      <c r="I36" s="121"/>
    </row>
    <row r="37" spans="1:15" ht="15.75" thickBot="1">
      <c r="A37" s="3317"/>
      <c r="B37" s="1555" t="s">
        <v>1314</v>
      </c>
      <c r="C37" s="139"/>
      <c r="D37" s="1071"/>
      <c r="E37" s="1071"/>
      <c r="F37" s="1654"/>
      <c r="G37" s="121"/>
      <c r="H37" s="121"/>
      <c r="I37" s="121"/>
    </row>
    <row r="38" spans="1:15" ht="15.75" thickBot="1">
      <c r="A38" s="331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f ca="1">ROUND(H101*F45,0)</f>
        <v>65019</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10">
        <v>1</v>
      </c>
      <c r="K46" s="3257" t="s">
        <v>1331</v>
      </c>
      <c r="L46" s="3257"/>
      <c r="M46" s="3258"/>
      <c r="N46" s="3258"/>
      <c r="O46" s="3258"/>
    </row>
    <row r="47" spans="1:15" ht="12" customHeight="1">
      <c r="A47" s="152" t="s">
        <v>1332</v>
      </c>
      <c r="B47" s="153"/>
      <c r="C47" s="154"/>
      <c r="D47" s="1024" t="s">
        <v>1333</v>
      </c>
      <c r="E47" s="294" t="s">
        <v>1334</v>
      </c>
      <c r="F47" s="155" t="s">
        <v>1335</v>
      </c>
      <c r="G47" s="2333" t="s">
        <v>1336</v>
      </c>
      <c r="H47" s="2334"/>
      <c r="I47" s="151"/>
      <c r="J47" s="2310">
        <v>2</v>
      </c>
      <c r="K47" s="3257" t="s">
        <v>1337</v>
      </c>
      <c r="L47" s="3257"/>
      <c r="M47" s="3259">
        <f>'数据-取费表'!B2</f>
        <v>45712</v>
      </c>
      <c r="N47" s="3259"/>
      <c r="O47" s="3259"/>
    </row>
    <row r="48" spans="1:15" ht="25.5">
      <c r="A48" s="3319" t="s">
        <v>1338</v>
      </c>
      <c r="B48" s="3320"/>
      <c r="C48" s="332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7" t="s">
        <v>1340</v>
      </c>
      <c r="L48" s="3257"/>
      <c r="M48" s="3260">
        <f ca="1">H101</f>
        <v>65019</v>
      </c>
      <c r="N48" s="3260"/>
      <c r="O48" s="3260"/>
    </row>
    <row r="49" spans="1:35" ht="25.5" customHeight="1">
      <c r="A49" s="2152" t="s">
        <v>1341</v>
      </c>
      <c r="B49" s="3305" t="s">
        <v>1342</v>
      </c>
      <c r="C49" s="3305"/>
      <c r="D49" s="1478">
        <v>0</v>
      </c>
      <c r="E49" s="316" t="s">
        <v>1343</v>
      </c>
      <c r="F49" s="2233" t="s">
        <v>28</v>
      </c>
      <c r="G49" s="3288"/>
      <c r="H49" s="2134" t="s">
        <v>2134</v>
      </c>
      <c r="I49" s="2135"/>
      <c r="J49" s="2310">
        <v>4</v>
      </c>
      <c r="K49" s="3257" t="str">
        <f>IF(项目基本情况!E8="房地产抵押价值","房地产抵押价值","抵押担保权已注销时的房地产抵押价值")</f>
        <v>房地产抵押价值</v>
      </c>
      <c r="L49" s="3257"/>
      <c r="M49" s="3260">
        <f ca="1">IF(项目基本情况!E8="房地产抵押价值",H107,H109)</f>
        <v>65019</v>
      </c>
      <c r="N49" s="3260"/>
      <c r="O49" s="3260"/>
    </row>
    <row r="50" spans="1:35" ht="25.5" customHeight="1">
      <c r="A50" s="2338"/>
      <c r="B50" s="3305" t="s">
        <v>1344</v>
      </c>
      <c r="C50" s="3305"/>
      <c r="D50" s="2189"/>
      <c r="E50" s="323"/>
      <c r="F50" s="2233"/>
      <c r="G50" s="3289"/>
      <c r="H50" s="2136" t="s">
        <v>2135</v>
      </c>
      <c r="I50" s="2135"/>
      <c r="J50" s="3256" t="s">
        <v>1345</v>
      </c>
      <c r="K50" s="3256"/>
      <c r="L50" s="3256"/>
      <c r="M50" s="3256"/>
      <c r="N50" s="3256"/>
      <c r="O50" s="3256"/>
    </row>
    <row r="51" spans="1:35" ht="20.45" customHeight="1">
      <c r="A51" s="2339"/>
      <c r="B51" s="3305" t="s">
        <v>1346</v>
      </c>
      <c r="C51" s="3305"/>
      <c r="D51" s="1024"/>
      <c r="E51" s="319"/>
      <c r="F51" s="2233"/>
      <c r="G51" s="3290"/>
      <c r="H51" s="2136" t="s">
        <v>2136</v>
      </c>
      <c r="I51" s="2135"/>
      <c r="J51" s="2311" t="s">
        <v>1347</v>
      </c>
      <c r="K51" s="3257" t="s">
        <v>1348</v>
      </c>
      <c r="L51" s="3257"/>
      <c r="M51" s="2311" t="s">
        <v>1349</v>
      </c>
      <c r="N51" s="2311" t="s">
        <v>1350</v>
      </c>
      <c r="O51" s="2311" t="s">
        <v>1351</v>
      </c>
    </row>
    <row r="52" spans="1:35" ht="24" customHeight="1">
      <c r="A52" s="2153" t="s">
        <v>1352</v>
      </c>
      <c r="B52" s="3305" t="s">
        <v>1353</v>
      </c>
      <c r="C52" s="3305"/>
      <c r="D52" s="1024">
        <f ca="1">ROUND(D45*'数据-取费表'!B41/(1+'数据-取费表'!C42),0)</f>
        <v>3468</v>
      </c>
      <c r="E52" s="1256" t="s">
        <v>1354</v>
      </c>
      <c r="F52" s="2340">
        <f>'数据-取费表'!B41</f>
        <v>5.6000000000000001E-2</v>
      </c>
      <c r="G52" s="2341"/>
      <c r="H52" s="2331"/>
      <c r="I52" s="1669"/>
      <c r="J52" s="2310">
        <v>1</v>
      </c>
      <c r="K52" s="3282" t="s">
        <v>1355</v>
      </c>
      <c r="L52" s="3282"/>
      <c r="M52" s="2312" t="b">
        <f>D48</f>
        <v>0</v>
      </c>
      <c r="N52" s="2310" t="str">
        <f>E48</f>
        <v>销售额×税（费）率</v>
      </c>
      <c r="O52" s="2313">
        <f>F48</f>
        <v>5.6000000000000001E-2</v>
      </c>
    </row>
    <row r="53" spans="1:35" ht="12" customHeight="1">
      <c r="A53" s="2153" t="s">
        <v>1356</v>
      </c>
      <c r="B53" s="3306" t="s">
        <v>2282</v>
      </c>
      <c r="C53" s="3307"/>
      <c r="D53" s="1024">
        <f ca="1">ROUND(D45*'数据-取费表'!B41/(1+'数据-取费表'!C42),0)</f>
        <v>3468</v>
      </c>
      <c r="E53" s="1256" t="s">
        <v>1354</v>
      </c>
      <c r="F53" s="2340">
        <f>'数据-取费表'!B41</f>
        <v>5.6000000000000001E-2</v>
      </c>
      <c r="G53" s="2341"/>
      <c r="H53" s="2331"/>
      <c r="I53" s="1669"/>
      <c r="J53" s="2310">
        <v>2</v>
      </c>
      <c r="K53" s="3282" t="s">
        <v>1357</v>
      </c>
      <c r="L53" s="3282"/>
      <c r="M53" s="2312">
        <f t="shared" ref="M53:O54" ca="1" si="0">D55</f>
        <v>33</v>
      </c>
      <c r="N53" s="2310" t="str">
        <f t="shared" si="0"/>
        <v>销售额×税（费）率</v>
      </c>
      <c r="O53" s="2313" t="str">
        <f t="shared" si="0"/>
        <v>免征</v>
      </c>
    </row>
    <row r="54" spans="1:35" ht="12" customHeight="1">
      <c r="A54" s="2153" t="s">
        <v>1358</v>
      </c>
      <c r="B54" s="3306" t="s">
        <v>2283</v>
      </c>
      <c r="C54" s="3307"/>
      <c r="D54" s="1024">
        <f ca="1">C68</f>
        <v>3468</v>
      </c>
      <c r="E54" s="319" t="s">
        <v>1359</v>
      </c>
      <c r="F54" s="2340">
        <f>'数据-取费表'!B41</f>
        <v>5.6000000000000001E-2</v>
      </c>
      <c r="G54" s="2341"/>
      <c r="H54" s="2342"/>
      <c r="I54" s="1669"/>
      <c r="J54" s="2310">
        <v>3</v>
      </c>
      <c r="K54" s="3282" t="s">
        <v>1360</v>
      </c>
      <c r="L54" s="3282"/>
      <c r="M54" s="2312">
        <f t="shared" ca="1" si="0"/>
        <v>36800</v>
      </c>
      <c r="N54" s="2310" t="str">
        <f t="shared" si="0"/>
        <v>增值额×税（费）率</v>
      </c>
      <c r="O54" s="2314" t="str">
        <f t="shared" si="0"/>
        <v>免征</v>
      </c>
    </row>
    <row r="55" spans="1:35" ht="24" customHeight="1">
      <c r="A55" s="3342" t="s">
        <v>1361</v>
      </c>
      <c r="B55" s="3320"/>
      <c r="C55" s="3320"/>
      <c r="D55" s="12">
        <f ca="1">IF(H55="个人住宅",0,ROUND(D45*I55,0))</f>
        <v>33</v>
      </c>
      <c r="E55" s="1256" t="s">
        <v>1362</v>
      </c>
      <c r="F55" s="2340" t="str">
        <f>IF(H55="正常",I55,"免征")</f>
        <v>免征</v>
      </c>
      <c r="G55" s="2341"/>
      <c r="H55" s="2337"/>
      <c r="I55" s="157">
        <f>'数据-取费表'!B49</f>
        <v>5.0000000000000001E-4</v>
      </c>
      <c r="J55" s="2310">
        <f>IF(H59="非个人房产","",4)</f>
        <v>4</v>
      </c>
      <c r="K55" s="3282" t="str">
        <f>IF(H59="非个人房产","——","个人所得税")</f>
        <v>个人所得税</v>
      </c>
      <c r="L55" s="3282"/>
      <c r="M55" s="2315">
        <f ca="1">D59</f>
        <v>619</v>
      </c>
      <c r="N55" s="1883" t="str">
        <f>E59</f>
        <v>差额计税</v>
      </c>
      <c r="O55" s="2316">
        <f>F59</f>
        <v>0.01</v>
      </c>
    </row>
    <row r="56" spans="1:35" ht="24.75">
      <c r="A56" s="3342" t="s">
        <v>1363</v>
      </c>
      <c r="B56" s="3320"/>
      <c r="C56" s="3320"/>
      <c r="D56" s="12">
        <f ca="1">IF(H56="个人住宅",D57,D58)</f>
        <v>36800</v>
      </c>
      <c r="E56" s="1256" t="s">
        <v>1364</v>
      </c>
      <c r="F56" s="2340" t="str">
        <f>IF(H56="正常",F58,"免征")</f>
        <v>免征</v>
      </c>
      <c r="G56" s="2343" t="s">
        <v>1365</v>
      </c>
      <c r="H56" s="2344"/>
      <c r="I56" s="1670"/>
      <c r="J56" s="2310" t="str">
        <f>IF(项目基本情况!K6="上海银行",IF(J55="",4,J55+1),"")</f>
        <v/>
      </c>
      <c r="K56" s="3263" t="str">
        <f>IF(项目基本情况!K6="上海银行","其他处置费用","")</f>
        <v/>
      </c>
      <c r="L56" s="3264"/>
      <c r="M56" s="2312" t="str">
        <f>IF(项目基本情况!K6="上海银行",M69,"")</f>
        <v/>
      </c>
      <c r="N56" s="3263" t="str">
        <f>IF(项目基本情况!K6="上海银行","包含处置中涉及的律师、诉讼、拍卖、评估等费用","")</f>
        <v/>
      </c>
      <c r="O56" s="3266"/>
    </row>
    <row r="57" spans="1:35" ht="12.75">
      <c r="A57" s="2153" t="s">
        <v>1341</v>
      </c>
      <c r="B57" s="3306" t="s">
        <v>1366</v>
      </c>
      <c r="C57" s="3307"/>
      <c r="D57" s="1478">
        <v>0</v>
      </c>
      <c r="E57" s="316" t="s">
        <v>1343</v>
      </c>
      <c r="F57" s="294"/>
      <c r="G57" s="2341"/>
      <c r="H57" s="2345"/>
      <c r="I57" s="1670"/>
      <c r="J57" s="3282">
        <f>IF(AND(J55="",J56=""),4,IF(项目基本情况!K6="上海银行",结果表!J56+1,结果表!J55+1))</f>
        <v>5</v>
      </c>
      <c r="K57" s="3282" t="s">
        <v>1367</v>
      </c>
      <c r="L57" s="2317" t="s">
        <v>1368</v>
      </c>
      <c r="M57" s="2318"/>
      <c r="N57" s="2319">
        <f ca="1">SUMIF(M52:M56,"&lt;9e307")</f>
        <v>37452</v>
      </c>
      <c r="O57" s="2320"/>
      <c r="P57" s="2465">
        <f ca="1">N57/M49</f>
        <v>0.5760162414063581</v>
      </c>
    </row>
    <row r="58" spans="1:35" ht="24.75">
      <c r="A58" s="2153" t="s">
        <v>1352</v>
      </c>
      <c r="B58" s="3306" t="s">
        <v>1369</v>
      </c>
      <c r="C58" s="3305"/>
      <c r="D58" s="12">
        <f ca="1">IF(H58="转让取得",C81,C97)</f>
        <v>36800</v>
      </c>
      <c r="E58" s="1256" t="s">
        <v>1364</v>
      </c>
      <c r="F58" s="294" t="s">
        <v>28</v>
      </c>
      <c r="G58" s="2341"/>
      <c r="H58" s="2344"/>
      <c r="I58" s="1670"/>
      <c r="J58" s="3282"/>
      <c r="K58" s="3282"/>
      <c r="L58" s="2317" t="s">
        <v>1370</v>
      </c>
      <c r="M58" s="2321"/>
      <c r="N58" s="2322" t="str">
        <f ca="1">NUMBERSTRING(INT(N57*10000),2)&amp;"元整"</f>
        <v>叁亿柒仟肆佰伍拾贰万元整</v>
      </c>
      <c r="O58" s="2323"/>
    </row>
    <row r="59" spans="1:35" ht="24.75" thickBot="1">
      <c r="A59" s="3286" t="s">
        <v>1371</v>
      </c>
      <c r="B59" s="3287"/>
      <c r="C59" s="3287"/>
      <c r="D59" s="2346">
        <f ca="1">IF(H59="非个人房产","——",IF(H59="个人住宅（满五唯一有凭证）",0,IF(H59="个人其他（无凭证）",ROUND(D45*F59,0),ROUND(C67*F59,0))))</f>
        <v>619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4">
        <f>J57+1</f>
        <v>6</v>
      </c>
      <c r="K59" s="3282" t="s">
        <v>1372</v>
      </c>
      <c r="L59" s="2310" t="s">
        <v>1368</v>
      </c>
      <c r="M59" s="2324"/>
      <c r="N59" s="2325">
        <f ca="1">M49-N57</f>
        <v>27567</v>
      </c>
      <c r="O59" s="2326"/>
    </row>
    <row r="60" spans="1:35" ht="12" customHeight="1">
      <c r="A60" s="1671"/>
      <c r="B60" s="646"/>
      <c r="C60" s="646"/>
      <c r="D60" s="646"/>
      <c r="E60" s="1466"/>
      <c r="F60" s="1670"/>
      <c r="G60" s="1670"/>
      <c r="H60" s="151"/>
      <c r="I60" s="121"/>
      <c r="J60" s="3285"/>
      <c r="K60" s="3282"/>
      <c r="L60" s="2317" t="s">
        <v>1370</v>
      </c>
      <c r="M60" s="2321"/>
      <c r="N60" s="2322" t="str">
        <f ca="1">NUMBERSTRING(INT(N59*10000),2)&amp;"元整"</f>
        <v>贰亿柒仟伍佰陆拾柒万元整</v>
      </c>
      <c r="O60" s="2323"/>
    </row>
    <row r="61" spans="1:35" ht="13.5" thickBot="1">
      <c r="A61" s="3341" t="s">
        <v>1373</v>
      </c>
      <c r="B61" s="3341"/>
      <c r="C61" s="3341"/>
      <c r="D61" s="3341"/>
      <c r="E61" s="3341"/>
      <c r="F61" s="1670"/>
      <c r="G61" s="1670"/>
      <c r="H61" s="151"/>
      <c r="I61" s="121"/>
      <c r="J61" s="2310">
        <f>J59+1</f>
        <v>7</v>
      </c>
      <c r="K61" s="3282" t="s">
        <v>1374</v>
      </c>
      <c r="L61" s="3282"/>
      <c r="M61" s="2327"/>
      <c r="N61" s="2328">
        <f ca="1">ROUND(N59*10000/'数据-汇总表'!E3,0)</f>
        <v>5391</v>
      </c>
      <c r="O61" s="2329"/>
    </row>
    <row r="62" spans="1:35" ht="12.75">
      <c r="A62" s="3301" t="s">
        <v>1375</v>
      </c>
      <c r="B62" s="3302"/>
      <c r="C62" s="1865"/>
      <c r="D62" s="1865" t="s">
        <v>1376</v>
      </c>
      <c r="E62" s="158" t="s">
        <v>1377</v>
      </c>
      <c r="F62" s="1670"/>
      <c r="G62" s="1670"/>
      <c r="H62" s="151"/>
      <c r="I62" s="121"/>
    </row>
    <row r="63" spans="1:35" ht="12.75">
      <c r="A63" s="165" t="s">
        <v>330</v>
      </c>
      <c r="B63" s="159" t="s">
        <v>1378</v>
      </c>
      <c r="C63" s="2350">
        <f ca="1">ROUND((C64+C65)/(1+'数据-取费表'!C42),0)</f>
        <v>61923</v>
      </c>
      <c r="D63" s="159"/>
      <c r="E63" s="160"/>
      <c r="F63" s="1670"/>
      <c r="G63" s="1670"/>
      <c r="H63" s="151"/>
      <c r="I63" s="121"/>
      <c r="J63" s="3265" t="s">
        <v>1379</v>
      </c>
      <c r="K63" s="1245" t="s">
        <v>1380</v>
      </c>
      <c r="L63" s="1245">
        <f ca="1">IF(M49&gt;10000,M49*0.5%,IF(AND(M49&gt;1000,M49&lt;=10000),M49*1%,IF(AND(M49&gt;100,M49&lt;=1000),M49*3%,IF(AND(M49&gt;10,M49&lt;=100),M49*5%,M49*8%))))</f>
        <v>325.09500000000003</v>
      </c>
      <c r="M63" s="294">
        <f ca="1">ROUND(L63,1)</f>
        <v>325.10000000000002</v>
      </c>
      <c r="N63" s="2330"/>
      <c r="Z63" s="1623"/>
      <c r="AI63" s="1561"/>
    </row>
    <row r="64" spans="1:35" ht="14.25" customHeight="1">
      <c r="A64" s="161" t="s">
        <v>325</v>
      </c>
      <c r="B64" s="162" t="s">
        <v>1381</v>
      </c>
      <c r="C64" s="2351">
        <f ca="1">D45</f>
        <v>65019</v>
      </c>
      <c r="D64" s="162" t="s">
        <v>26</v>
      </c>
      <c r="E64" s="164"/>
      <c r="F64" s="1670"/>
      <c r="G64" s="1670"/>
      <c r="H64" s="151"/>
      <c r="I64" s="121"/>
      <c r="J64" s="3265"/>
      <c r="K64" s="1245" t="s">
        <v>1382</v>
      </c>
      <c r="L64" s="1245">
        <f ca="1">IF(M49&gt;2000,M49*0.5%,IF(AND(M49&gt;1000,M49&lt;=2000),M49*0.6%,IF(AND(M49&gt;500,M49&lt;=1000),M49*0.7%,IF(AND(M49&gt;200,M49&lt;=500),M49*0.8%,IF(AND(M49&gt;100,M49&lt;=200),M49*0.9%,IF(AND(M49&gt;50,M49&lt;=100),M49*1%,IF(AND(M49&gt;20,M49&lt;=50),M49*1.5%,IF(AND(M49&gt;10,M49&lt;=20),M49*2%,IF(AND(M49&gt;1,M49&lt;=10),M49*2.5%)))))))))</f>
        <v>325.09500000000003</v>
      </c>
      <c r="M64" s="294">
        <f t="shared" ref="M64:M65" ca="1" si="1">ROUND(L64,1)</f>
        <v>325.10000000000002</v>
      </c>
      <c r="N64" s="2331" t="s">
        <v>1383</v>
      </c>
      <c r="Z64" s="1623"/>
      <c r="AI64" s="1561"/>
    </row>
    <row r="65" spans="1:35" ht="14.25" customHeight="1">
      <c r="A65" s="161" t="s">
        <v>326</v>
      </c>
      <c r="B65" s="162" t="s">
        <v>1384</v>
      </c>
      <c r="C65" s="2352"/>
      <c r="D65" s="162"/>
      <c r="E65" s="164"/>
      <c r="F65" s="1670"/>
      <c r="G65" s="1670"/>
      <c r="H65" s="151"/>
      <c r="I65" s="121"/>
      <c r="J65" s="3265"/>
      <c r="K65" s="1245" t="s">
        <v>1385</v>
      </c>
      <c r="L65" s="1245">
        <f ca="1">IF(M49&gt;1000,M49*0.1%,IF(AND(M49&gt;500,M49&lt;=1000),M49*0.5%,IF(AND(M49&gt;50,M49&lt;=500),M49*1%,IF(AND(M49&gt;1,M49&lt;=50),M49*1.5%))))</f>
        <v>65.019000000000005</v>
      </c>
      <c r="M65" s="294">
        <f t="shared" ca="1" si="1"/>
        <v>65</v>
      </c>
      <c r="N65" s="2331" t="s">
        <v>1383</v>
      </c>
      <c r="Z65" s="1623"/>
      <c r="AI65" s="1561"/>
    </row>
    <row r="66" spans="1:35" ht="14.25" customHeight="1">
      <c r="A66" s="165" t="s">
        <v>327</v>
      </c>
      <c r="B66" s="166" t="s">
        <v>1386</v>
      </c>
      <c r="C66" s="2353"/>
      <c r="D66" s="166" t="s">
        <v>26</v>
      </c>
      <c r="E66" s="1251" t="s">
        <v>671</v>
      </c>
      <c r="F66" s="1670"/>
      <c r="G66" s="1670"/>
      <c r="H66" s="151"/>
      <c r="I66" s="121"/>
      <c r="J66" s="3265"/>
      <c r="K66" s="1245" t="s">
        <v>1387</v>
      </c>
      <c r="L66" s="1245">
        <f ca="1">M49*0.5%</f>
        <v>325.09500000000003</v>
      </c>
      <c r="M66" s="294">
        <f ca="1">IF(L66&gt;0.5,0.5,ROUND(L66,0))</f>
        <v>0.5</v>
      </c>
      <c r="N66" s="2331" t="s">
        <v>1388</v>
      </c>
      <c r="Z66" s="1623"/>
      <c r="AI66" s="1561"/>
    </row>
    <row r="67" spans="1:35" ht="14.25" customHeight="1">
      <c r="A67" s="165" t="s">
        <v>328</v>
      </c>
      <c r="B67" s="166" t="s">
        <v>1389</v>
      </c>
      <c r="C67" s="2354">
        <f ca="1">C63-C66</f>
        <v>61923</v>
      </c>
      <c r="D67" s="162" t="s">
        <v>26</v>
      </c>
      <c r="E67" s="164"/>
      <c r="F67" s="1670"/>
      <c r="G67" s="1670"/>
      <c r="H67" s="151"/>
      <c r="I67" s="121"/>
      <c r="J67" s="3265"/>
      <c r="K67" s="1245" t="s">
        <v>1390</v>
      </c>
      <c r="L67" s="1245">
        <f ca="1">IF(M49&gt;=10000,(8.25+(M49-10000)*0.01%),IF(AND(M49&gt;=8000,M49&lt;10000),(7.85+(M49-8000)*0.02%),IF(AND(M49&gt;=5000,M49&lt;8000),(6.65+(M49-5000)*0.04%),IF(AND(M49&gt;=2000,M49&lt;5000),(4.25+(PM49-2000)*0.08%),IF(AND(M49&gt;=1000,M49&lt;2000),(2.75+(M49-1000)*0.15%),IF(AND(M49&gt;=100,M49&lt;1000),(0.5+(M49-100)*0.25%),IF(AND(M49&gt;0,M49&lt;100),M49*0.5%)))))))</f>
        <v>13.751899999999999</v>
      </c>
      <c r="M67" s="294">
        <f ca="1">ROUND(L67*0.9,1)</f>
        <v>12.4</v>
      </c>
      <c r="N67" s="2330"/>
      <c r="Z67" s="1623"/>
      <c r="AI67" s="1561"/>
    </row>
    <row r="68" spans="1:35" ht="14.25" customHeight="1" thickBot="1">
      <c r="A68" s="168" t="s">
        <v>329</v>
      </c>
      <c r="B68" s="169" t="s">
        <v>1391</v>
      </c>
      <c r="C68" s="2355">
        <f ca="1">IF(C67&lt;=0,0,ROUND(C67*D68,0))</f>
        <v>3468</v>
      </c>
      <c r="D68" s="2356">
        <f>'数据-取费表'!B41</f>
        <v>5.6000000000000001E-2</v>
      </c>
      <c r="E68" s="170"/>
      <c r="F68" s="1670"/>
      <c r="G68" s="1670"/>
      <c r="H68" s="151"/>
      <c r="I68" s="121"/>
      <c r="J68" s="3265"/>
      <c r="K68" s="1245" t="s">
        <v>1392</v>
      </c>
      <c r="L68" s="1245">
        <f ca="1">IF(M49&gt;10000,M49*0.5%,IF(AND(M49&gt;5000,M49&lt;=10000),M49*1%,IF(AND(M49&gt;1000,M49&lt;=5000),M49*2%,IF(AND(M49&gt;200,M49&lt;=1000),M49*3%,M49*5%))))</f>
        <v>325.09500000000003</v>
      </c>
      <c r="M68" s="294">
        <f ca="1">ROUND(L68,1)</f>
        <v>325.10000000000002</v>
      </c>
      <c r="N68" s="2330"/>
      <c r="Z68" s="1623"/>
      <c r="AI68" s="1561"/>
    </row>
    <row r="69" spans="1:35" ht="16.5" customHeight="1">
      <c r="A69" s="1672"/>
      <c r="B69" s="1673"/>
      <c r="C69" s="1674"/>
      <c r="D69" s="1675"/>
      <c r="E69" s="1676"/>
      <c r="F69" s="1466"/>
      <c r="G69" s="1466"/>
      <c r="H69" s="1467"/>
      <c r="I69" s="646"/>
      <c r="J69" s="3265"/>
      <c r="K69" s="1245" t="s">
        <v>1393</v>
      </c>
      <c r="L69" s="1245"/>
      <c r="M69" s="294">
        <f ca="1">ROUND(SUM(M63:M68),0)</f>
        <v>1053</v>
      </c>
      <c r="N69" s="2332">
        <f ca="1">M69/M49</f>
        <v>1.6195265999169473E-2</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61923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372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372</v>
      </c>
      <c r="D78" s="2363">
        <f>'数据-取费表'!B43</f>
        <v>6.000000000000001E-3</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61551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165.45967741935485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36800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61923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372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7" t="s">
        <v>2129</v>
      </c>
      <c r="H90" s="326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8" t="s">
        <v>1419</v>
      </c>
      <c r="F91" s="3299"/>
      <c r="G91" s="329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8" t="s">
        <v>1422</v>
      </c>
      <c r="F92" s="3299"/>
      <c r="G92" s="3299"/>
      <c r="H92" s="330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372</v>
      </c>
      <c r="D93" s="2363">
        <f>'数据-取费表'!B43</f>
        <v>6.000000000000001E-3</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61551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165.45967741935485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36800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71" t="str">
        <f>C4</f>
        <v>成本法</v>
      </c>
      <c r="D101" s="2372" t="str">
        <f>D4</f>
        <v>收益法</v>
      </c>
      <c r="E101" s="3261" t="s">
        <v>1431</v>
      </c>
      <c r="F101" s="3262"/>
      <c r="G101" s="1687" t="s">
        <v>1432</v>
      </c>
      <c r="H101" s="2381">
        <f ca="1">H118</f>
        <v>65019</v>
      </c>
      <c r="I101" s="121"/>
    </row>
    <row r="102" spans="1:35" ht="18.75" customHeight="1">
      <c r="A102" s="3293" t="s">
        <v>1433</v>
      </c>
      <c r="B102" s="2370" t="s">
        <v>1432</v>
      </c>
      <c r="C102" s="2371">
        <f ca="1">IF(D32="楼面单价",ROUND(C19,0),C19)</f>
        <v>81044</v>
      </c>
      <c r="D102" s="2372">
        <f ca="1">IF(D32="楼面单价",ROUND(D19,0),D19)</f>
        <v>51907</v>
      </c>
      <c r="E102" s="3261"/>
      <c r="F102" s="3262"/>
      <c r="G102" s="1687" t="s">
        <v>1434</v>
      </c>
      <c r="H102" s="2341">
        <f ca="1">I118</f>
        <v>12715</v>
      </c>
      <c r="I102" s="121"/>
    </row>
    <row r="103" spans="1:35" ht="42.75" customHeight="1">
      <c r="A103" s="3293"/>
      <c r="B103" s="2370" t="s">
        <v>1434</v>
      </c>
      <c r="C103" s="2373">
        <f ca="1">C20</f>
        <v>15849</v>
      </c>
      <c r="D103" s="2374">
        <f ca="1">D20</f>
        <v>10151</v>
      </c>
      <c r="E103" s="3254" t="s">
        <v>1435</v>
      </c>
      <c r="F103" s="3255"/>
      <c r="G103" s="1688" t="s">
        <v>1436</v>
      </c>
      <c r="H103" s="2381">
        <f>IF(D36="正常操作",H104+H105+H106,H105+H106)</f>
        <v>0</v>
      </c>
      <c r="I103" s="121"/>
    </row>
    <row r="104" spans="1:35" ht="18.75" customHeight="1">
      <c r="A104" s="3293" t="s">
        <v>1437</v>
      </c>
      <c r="B104" s="2375" t="s">
        <v>1432</v>
      </c>
      <c r="C104" s="2376">
        <f ca="1">H118</f>
        <v>65019</v>
      </c>
      <c r="D104" s="2377"/>
      <c r="E104" s="1555" t="s">
        <v>1438</v>
      </c>
      <c r="F104" s="1548"/>
      <c r="G104" s="1688" t="s">
        <v>1436</v>
      </c>
      <c r="H104" s="2382">
        <f>IF(D36="同一抵押权人同一抵押物续贷",C36&amp;"（续贷，未扣减，详见特别提示）",C36)</f>
        <v>0</v>
      </c>
      <c r="I104" s="121"/>
    </row>
    <row r="105" spans="1:35" ht="18.75" customHeight="1" thickBot="1">
      <c r="A105" s="3303"/>
      <c r="B105" s="2378" t="s">
        <v>1434</v>
      </c>
      <c r="C105" s="2379">
        <f ca="1">I118</f>
        <v>12715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62"/>
      <c r="G107" s="1687" t="s">
        <v>1432</v>
      </c>
      <c r="H107" s="2381">
        <f ca="1">IF(E107="——","——",H101-H103)</f>
        <v>65019</v>
      </c>
      <c r="I107" s="121"/>
    </row>
    <row r="108" spans="1:35" ht="18.75" customHeight="1">
      <c r="A108" s="121"/>
      <c r="B108" s="121"/>
      <c r="C108" s="121"/>
      <c r="D108" s="121"/>
      <c r="E108" s="3294"/>
      <c r="F108" s="3262"/>
      <c r="G108" s="1687" t="s">
        <v>1434</v>
      </c>
      <c r="H108" s="2341">
        <f ca="1">IF(H107=H101,H102,ROUND(H107*10000/'数据-汇总表'!E3,0))</f>
        <v>12715</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4" t="str">
        <f>IF(E109="——","——",H101-H105-H106)</f>
        <v>——</v>
      </c>
      <c r="I109" s="121"/>
    </row>
    <row r="110" spans="1:35" ht="18.75" customHeight="1">
      <c r="A110" s="121"/>
      <c r="B110" s="121"/>
      <c r="C110" s="121"/>
      <c r="D110" s="121"/>
      <c r="E110" s="3294"/>
      <c r="F110" s="3262"/>
      <c r="G110" s="1687" t="s">
        <v>1434</v>
      </c>
      <c r="H110" s="2341"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7" t="s">
        <v>1432</v>
      </c>
      <c r="H111" s="2381" t="str">
        <f>IF(E111="——","——",N59)</f>
        <v>——</v>
      </c>
      <c r="I111" s="121"/>
    </row>
    <row r="112" spans="1:35" ht="18.75" customHeight="1" thickBot="1">
      <c r="A112" s="121"/>
      <c r="B112" s="121"/>
      <c r="C112" s="121"/>
      <c r="D112" s="121"/>
      <c r="E112" s="3296"/>
      <c r="F112" s="3297"/>
      <c r="G112" s="1690" t="s">
        <v>1434</v>
      </c>
      <c r="H112" s="2385"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51136.03</v>
      </c>
      <c r="C118" s="2150">
        <f>M19</f>
        <v>21989.41</v>
      </c>
      <c r="D118" s="2150">
        <f ca="1">ROUND(IF(D32="总价",C34,E118*B118/10000),0)</f>
        <v>49154</v>
      </c>
      <c r="E118" s="2150">
        <f ca="1">ROUND(IF(C33="自定义",IF(D32="楼面单价",C34,D118*10000/B118),I118-G118),0)</f>
        <v>9612</v>
      </c>
      <c r="F118" s="2150">
        <f ca="1">ROUND(IF(D32="总价",C35,G118*B118/10000),0)</f>
        <v>15865</v>
      </c>
      <c r="G118" s="2150">
        <f ca="1">ROUND(IF(D32="楼面单价",C35,F118*10000/B118),0)</f>
        <v>3103</v>
      </c>
      <c r="H118" s="2150">
        <f ca="1">ROUND(IF(D32="总价",C32,I118*B118/10000),0)</f>
        <v>65019</v>
      </c>
      <c r="I118" s="2150">
        <f ca="1">ROUND(IF(D32="楼面单价",C32,H118*10000/B118),0)</f>
        <v>12715</v>
      </c>
    </row>
    <row r="119" spans="1:27" ht="18.75" customHeight="1">
      <c r="A119" s="3269" t="s">
        <v>1452</v>
      </c>
      <c r="B119" s="3269"/>
      <c r="C119" s="3269"/>
      <c r="D119" s="3275" t="str">
        <f ca="1">NUMBERSTRING(INT(D118*10000),2)&amp;"元整"</f>
        <v>肆亿玖仟壹佰伍拾肆万元整</v>
      </c>
      <c r="E119" s="3276"/>
      <c r="F119" s="3275" t="str">
        <f ca="1">NUMBERSTRING(INT(F118*10000),2)&amp;"元整"</f>
        <v>壹亿伍仟捌佰陆拾伍万元整</v>
      </c>
      <c r="G119" s="3276"/>
      <c r="H119" s="3275" t="str">
        <f ca="1">NUMBERSTRING(INT(H118*10000),2)&amp;"元整"</f>
        <v>陆亿伍仟零壹拾玖万元整</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f ca="1">H107</f>
        <v>65019</v>
      </c>
      <c r="E122" s="3271"/>
      <c r="F122" s="3271"/>
      <c r="G122" s="3271"/>
      <c r="H122" s="3271"/>
      <c r="I122" s="3272"/>
      <c r="AA122" s="684"/>
    </row>
    <row r="123" spans="1:27" ht="18.75" customHeight="1">
      <c r="A123" s="3269" t="s">
        <v>1452</v>
      </c>
      <c r="B123" s="3269"/>
      <c r="C123" s="3269"/>
      <c r="D123" s="3275" t="str">
        <f ca="1">NUMBERSTRING(INT(D122*10000),2)&amp;"元整"</f>
        <v>陆亿伍仟零壹拾玖万元整</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81044</v>
      </c>
      <c r="C2" s="191" t="s">
        <v>1463</v>
      </c>
      <c r="D2" s="3161" t="s">
        <v>3440</v>
      </c>
      <c r="E2" s="1089">
        <f ca="1">SUMIF(INDIRECT("'"&amp;G2&amp;"'"&amp;"!A:A"),"承租人权益价值",INDIRECT("'"&amp;G2&amp;"'"&amp;"!c:c"))</f>
        <v>17107</v>
      </c>
      <c r="F2" s="1712" t="s">
        <v>1463</v>
      </c>
      <c r="G2" s="1713" t="s">
        <v>3405</v>
      </c>
    </row>
    <row r="3" spans="1:9" s="192" customFormat="1" ht="18" customHeight="1" thickBot="1">
      <c r="A3" s="195" t="s">
        <v>1464</v>
      </c>
      <c r="B3" s="196">
        <f ca="1">ROUND(B2*10000/(IF(B1="",'数据-汇总表'!E3,INDIRECT("'数据-取费表'!k"&amp;$G$1))),0)</f>
        <v>15849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51951</v>
      </c>
      <c r="D5" s="203" t="s">
        <v>1469</v>
      </c>
      <c r="E5" s="204" t="s">
        <v>1470</v>
      </c>
      <c r="F5" s="204" t="s">
        <v>1471</v>
      </c>
      <c r="G5" s="205"/>
    </row>
    <row r="6" spans="1:9" s="206" customFormat="1" ht="13.5" customHeight="1">
      <c r="A6" s="732" t="s">
        <v>1472</v>
      </c>
      <c r="B6" s="207" t="s">
        <v>1473</v>
      </c>
      <c r="C6" s="3160">
        <f>基准地价修正!B2</f>
        <v>49421</v>
      </c>
      <c r="D6" s="209"/>
      <c r="E6" s="210"/>
      <c r="F6" s="210"/>
      <c r="G6" s="211"/>
    </row>
    <row r="7" spans="1:9" s="206" customFormat="1" ht="13.5" customHeight="1">
      <c r="A7" s="732" t="s">
        <v>1474</v>
      </c>
      <c r="B7" s="207" t="s">
        <v>1475</v>
      </c>
      <c r="C7" s="212">
        <f>ROUND(C6*F7,0)</f>
        <v>1507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1023</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3413</v>
      </c>
      <c r="H9" s="1070"/>
      <c r="I9" s="1716" t="s">
        <v>1479</v>
      </c>
    </row>
    <row r="10" spans="1:9" s="206" customFormat="1" ht="13.5" customHeight="1">
      <c r="A10" s="733" t="s">
        <v>356</v>
      </c>
      <c r="B10" s="216" t="s">
        <v>1480</v>
      </c>
      <c r="C10" s="217">
        <f ca="1">ROUND(D10*E10/10000,0)</f>
        <v>1023</v>
      </c>
      <c r="D10" s="795">
        <f ca="1">IF(B1="",'数据-汇总表'!E6,IF(INDIRECT("'数据-取费表'!c"&amp;$G$1)="住宅",INDIRECT("'数据-取费表'!s"&amp;$G$1),INDIRECT("'数据-取费表'!k"&amp;$G$1)+INDIRECT("'数据-取费表'!s"&amp;$G$1)))</f>
        <v>51136.03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51136.03</v>
      </c>
      <c r="E19" s="203">
        <f>'数据-取费表'!B31</f>
        <v>200</v>
      </c>
      <c r="F19" s="223"/>
      <c r="G19" s="1714" t="s">
        <v>3414</v>
      </c>
    </row>
    <row r="20" spans="1:7" s="206" customFormat="1" ht="13.5" customHeight="1">
      <c r="A20" s="247" t="s">
        <v>1493</v>
      </c>
      <c r="B20" s="202" t="s">
        <v>1494</v>
      </c>
      <c r="C20" s="224">
        <f ca="1">ROUND((C5+C19)*F20,0)</f>
        <v>1559</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3319</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3271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48</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10702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10702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74226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22010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19432</v>
      </c>
      <c r="D34" s="209"/>
      <c r="E34" s="212"/>
      <c r="F34" s="249">
        <f ca="1">IF('数据-取费表'!B24=0,1,IF(B1="",'数据-取费表'!N16,INDIRECT("'数据-取费表'!n"&amp;$G$1)))</f>
        <v>1</v>
      </c>
      <c r="G34" s="211" t="s">
        <v>1526</v>
      </c>
    </row>
    <row r="35" spans="1:7" ht="13.5" customHeight="1">
      <c r="A35" s="734" t="s">
        <v>351</v>
      </c>
      <c r="B35" s="207" t="s">
        <v>1527</v>
      </c>
      <c r="C35" s="212">
        <f ca="1">ROUND(C34*F35,0)</f>
        <v>972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1023</v>
      </c>
      <c r="D37" s="209">
        <f ca="1">D19</f>
        <v>51136.03</v>
      </c>
      <c r="E37" s="241">
        <f>'数据-取费表'!B35</f>
        <v>200</v>
      </c>
      <c r="F37" s="251"/>
      <c r="G37" s="253" t="s">
        <v>1532</v>
      </c>
    </row>
    <row r="38" spans="1:7" ht="13.5" customHeight="1">
      <c r="A38" s="734" t="s">
        <v>354</v>
      </c>
      <c r="B38" s="207" t="s">
        <v>1533</v>
      </c>
      <c r="C38" s="212">
        <f ca="1">ROUND(C34*F38,0)</f>
        <v>583</v>
      </c>
      <c r="D38" s="212"/>
      <c r="E38" s="212"/>
      <c r="F38" s="251">
        <f>'数据-取费表'!B36</f>
        <v>0.03</v>
      </c>
      <c r="G38" s="211" t="s">
        <v>1528</v>
      </c>
    </row>
    <row r="39" spans="1:7" s="206" customFormat="1" ht="13.5" customHeight="1">
      <c r="A39" s="247" t="s">
        <v>1534</v>
      </c>
      <c r="B39" s="202" t="s">
        <v>1535</v>
      </c>
      <c r="C39" s="224">
        <f ca="1">ROUND(C33*F20,0)</f>
        <v>660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702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682</v>
      </c>
      <c r="D42" s="230"/>
      <c r="E42" s="230"/>
      <c r="F42" s="231"/>
      <c r="G42" s="3348" t="s">
        <v>1544</v>
      </c>
    </row>
    <row r="43" spans="1:7" ht="13.5" customHeight="1">
      <c r="A43" s="734" t="s">
        <v>347</v>
      </c>
      <c r="B43" s="207" t="s">
        <v>1545</v>
      </c>
      <c r="C43" s="230">
        <f ca="1">ROUND(IF('数据-取费表'!B22&lt;=1,C39*F22*'数据-取费表'!B21/2,C39*(POWER((1+F22),'数据-取费表'!B21/2)-1)),0)</f>
        <v>20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4534</v>
      </c>
      <c r="D45" s="227">
        <f ca="1">C47</f>
        <v>6.0000000000000001E-3</v>
      </c>
      <c r="E45" s="228" t="s">
        <v>1539</v>
      </c>
      <c r="F45" s="238">
        <f ca="1">F27</f>
        <v>0.2</v>
      </c>
      <c r="G45" s="239" t="s">
        <v>1548</v>
      </c>
    </row>
    <row r="46" spans="1:7" s="206" customFormat="1" ht="13.5" customHeight="1">
      <c r="A46" s="734" t="s">
        <v>346</v>
      </c>
      <c r="B46" s="240" t="s">
        <v>1549</v>
      </c>
      <c r="C46" s="241">
        <f ca="1">ROUND((C33+C39)*F27,0)</f>
        <v>4534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30673</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23925</v>
      </c>
      <c r="D51" s="224"/>
      <c r="E51" s="224"/>
      <c r="F51" s="256"/>
      <c r="G51" s="226" t="s">
        <v>1560</v>
      </c>
    </row>
    <row r="52" spans="1:7" s="200" customFormat="1" ht="16.5" thickBot="1">
      <c r="A52" s="257" t="s">
        <v>1561</v>
      </c>
      <c r="B52" s="258"/>
      <c r="C52" s="259">
        <f ca="1">C31+C51</f>
        <v>98151</v>
      </c>
      <c r="D52" s="258"/>
      <c r="E52" s="258"/>
      <c r="F52" s="258"/>
      <c r="G52" s="260"/>
    </row>
    <row r="55" spans="1:7" ht="15">
      <c r="B55" s="262" t="s">
        <v>1562</v>
      </c>
      <c r="C55" s="263"/>
    </row>
    <row r="56" spans="1:7">
      <c r="B56" s="265" t="s">
        <v>802</v>
      </c>
      <c r="C56" s="267">
        <f ca="1">1-C57</f>
        <v>0.75600000000000001</v>
      </c>
    </row>
    <row r="57" spans="1:7">
      <c r="B57" s="265" t="s">
        <v>803</v>
      </c>
      <c r="C57" s="266">
        <f ca="1">ROUND(C51/C52,3)</f>
        <v>0.24399999999999999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26846.975200000001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5250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10227206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10227206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10227206</v>
      </c>
      <c r="D10" s="795">
        <f ca="1">IF(B1="",'数据-汇总表'!E6,IF(INDIRECT("'数据-取费表'!c"&amp;$G$1)="住宅",INDIRECT("'数据-取费表'!s"&amp;$G$1),INDIRECT("'数据-取费表'!k"&amp;$G$1)+INDIRECT("'数据-取费表'!s"&amp;$G$1)))</f>
        <v>51136.03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10227206</v>
      </c>
      <c r="D19" s="204">
        <f ca="1">D9+D10</f>
        <v>51136.03</v>
      </c>
      <c r="E19" s="203">
        <f>'数据-取费表'!B31</f>
        <v>200</v>
      </c>
      <c r="F19" s="223"/>
      <c r="G19" s="1714"/>
    </row>
    <row r="20" spans="1:7" s="206" customFormat="1" ht="13.5" customHeight="1">
      <c r="A20" s="247" t="s">
        <v>1574</v>
      </c>
      <c r="B20" s="202" t="s">
        <v>1575</v>
      </c>
      <c r="C20" s="224">
        <f ca="1">ROUND((C5+C19)*F20,0)</f>
        <v>613632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1306853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643915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643915</v>
      </c>
      <c r="D24" s="230"/>
      <c r="E24" s="230"/>
      <c r="F24" s="231"/>
      <c r="G24" s="232" t="s">
        <v>1586</v>
      </c>
    </row>
    <row r="25" spans="1:7" s="206" customFormat="1" ht="24">
      <c r="A25" s="734" t="s">
        <v>1476</v>
      </c>
      <c r="B25" s="207" t="s">
        <v>1587</v>
      </c>
      <c r="C25" s="230">
        <f ca="1">ROUND(IF('数据-取费表'!B22&lt;=1,C20*F22*'数据-取费表'!B22/2,C20*(POWER((1+F22),'数据-取费表'!B22/2)-1)),0)</f>
        <v>19023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4213609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4213609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29224561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220089473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194316914</v>
      </c>
      <c r="D34" s="209"/>
      <c r="E34" s="212"/>
      <c r="F34" s="249"/>
      <c r="G34" s="211"/>
    </row>
    <row r="35" spans="1:7" ht="13.5" customHeight="1">
      <c r="A35" s="734" t="s">
        <v>351</v>
      </c>
      <c r="B35" s="207" t="s">
        <v>1527</v>
      </c>
      <c r="C35" s="212">
        <f ca="1">ROUND(C34*F35,0)</f>
        <v>9715846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10227206</v>
      </c>
      <c r="D37" s="209">
        <f ca="1">D19</f>
        <v>51136.03</v>
      </c>
      <c r="E37" s="241">
        <f>'数据-取费表'!B35</f>
        <v>200</v>
      </c>
      <c r="F37" s="251"/>
      <c r="G37" s="253"/>
    </row>
    <row r="38" spans="1:7" ht="13.5" customHeight="1">
      <c r="A38" s="734" t="s">
        <v>354</v>
      </c>
      <c r="B38" s="207" t="s">
        <v>1533</v>
      </c>
      <c r="C38" s="212">
        <f ca="1">ROUND(C34*F38,0)</f>
        <v>5829507</v>
      </c>
      <c r="D38" s="212"/>
      <c r="E38" s="212"/>
      <c r="F38" s="251">
        <f>'数据-取费表'!B36</f>
        <v>0.03</v>
      </c>
      <c r="G38" s="211" t="s">
        <v>1528</v>
      </c>
    </row>
    <row r="39" spans="1:7" s="206" customFormat="1" ht="13.5" customHeight="1">
      <c r="A39" s="247" t="s">
        <v>1534</v>
      </c>
      <c r="B39" s="202" t="s">
        <v>1535</v>
      </c>
      <c r="C39" s="224">
        <f ca="1">ROUND(C33*F20,0)</f>
        <v>6602684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7027457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6822774</v>
      </c>
      <c r="D42" s="230"/>
      <c r="E42" s="230"/>
      <c r="F42" s="231"/>
      <c r="G42" s="3348" t="s">
        <v>1591</v>
      </c>
    </row>
    <row r="43" spans="1:7" ht="13.5" customHeight="1">
      <c r="A43" s="734" t="s">
        <v>347</v>
      </c>
      <c r="B43" s="207" t="s">
        <v>1545</v>
      </c>
      <c r="C43" s="230">
        <f ca="1">ROUND(IF('数据-取费表'!B22&lt;=1,C39*F22*'数据-取费表'!B20/2,C39*(POWER((1+F22),'数据-取费表'!B20/2)-1)),0)</f>
        <v>204683</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45338431</v>
      </c>
      <c r="D45" s="227">
        <f ca="1">C47</f>
        <v>6.0000000000000001E-3</v>
      </c>
      <c r="E45" s="228" t="s">
        <v>1539</v>
      </c>
      <c r="F45" s="238">
        <f ca="1">F27</f>
        <v>0.2</v>
      </c>
      <c r="G45" s="239" t="s">
        <v>1548</v>
      </c>
    </row>
    <row r="46" spans="1:7" s="206" customFormat="1" ht="13.5" customHeight="1">
      <c r="A46" s="734" t="s">
        <v>346</v>
      </c>
      <c r="B46" s="240" t="s">
        <v>1549</v>
      </c>
      <c r="C46" s="241">
        <f ca="1">ROUND((C33+C39)*F27,0)</f>
        <v>45338431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306724604</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239245191</v>
      </c>
      <c r="D51" s="224"/>
      <c r="E51" s="224"/>
      <c r="F51" s="256"/>
      <c r="G51" s="226" t="s">
        <v>1560</v>
      </c>
    </row>
    <row r="52" spans="1:7" s="200" customFormat="1" ht="16.5" thickBot="1">
      <c r="A52" s="257" t="s">
        <v>1561</v>
      </c>
      <c r="B52" s="258"/>
      <c r="C52" s="259">
        <f ca="1">C31+C51</f>
        <v>268469752</v>
      </c>
      <c r="D52" s="258"/>
      <c r="E52" s="258"/>
      <c r="F52" s="258"/>
      <c r="G52" s="260"/>
    </row>
    <row r="55" spans="1:7" ht="15">
      <c r="B55" s="262" t="s">
        <v>1562</v>
      </c>
      <c r="C55" s="263"/>
    </row>
    <row r="56" spans="1:7">
      <c r="B56" s="265" t="s">
        <v>802</v>
      </c>
      <c r="C56" s="267">
        <f ca="1">1-C57</f>
        <v>0.10899999999999999</v>
      </c>
    </row>
    <row r="57" spans="1:7">
      <c r="B57" s="265" t="s">
        <v>803</v>
      </c>
      <c r="C57" s="266">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51136.03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51136.03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1023</v>
      </c>
      <c r="D20" s="796">
        <f ca="1">IF(C1="",'数据-汇总表'!E6,IF(INDIRECT("'数据-取费表'!c"&amp;$K$1)="住宅",INDIRECT("'数据-取费表'!s"&amp;$K$1),INDIRECT("'数据-取费表'!k"&amp;$K$1)+INDIRECT("'数据-取费表'!s"&amp;$K$1)))</f>
        <v>51136.03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5875.41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49421</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14846</v>
      </c>
      <c r="U2" s="1130">
        <f>租金!Q6</f>
        <v>9052.1239999999998</v>
      </c>
      <c r="V2" s="3064">
        <f>ROUND(T2*U2/10000,0)</f>
        <v>13439</v>
      </c>
      <c r="W2" s="1133"/>
      <c r="X2" s="1133"/>
      <c r="Y2" s="1133"/>
      <c r="Z2" s="1133"/>
      <c r="AA2" s="1133"/>
      <c r="AB2" s="1133"/>
      <c r="AC2" s="1134"/>
      <c r="AD2" s="1135"/>
      <c r="AE2" s="1135"/>
      <c r="AF2" s="1135"/>
      <c r="AG2" s="1135"/>
      <c r="AH2" s="1135"/>
      <c r="AI2" s="1135"/>
      <c r="AJ2" s="1136"/>
    </row>
    <row r="3" spans="1:36" ht="15.75">
      <c r="A3" s="195" t="s">
        <v>1940</v>
      </c>
      <c r="B3" s="196">
        <f>ROUND(B2*10000/D1,0)</f>
        <v>84115</v>
      </c>
      <c r="C3" s="1846" t="s">
        <v>1941</v>
      </c>
      <c r="D3" s="162" t="s">
        <v>1942</v>
      </c>
      <c r="E3" s="3119" t="s">
        <v>3451</v>
      </c>
      <c r="F3" s="1848" t="s">
        <v>3406</v>
      </c>
      <c r="G3" s="708">
        <f>IF(F3="宗地容积率",'数据-汇总表'!I4,IF(F3="估价对象容积率",'数据-汇总表'!I6,'数据-汇总表'!I7))</f>
        <v>2.06</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11701</v>
      </c>
      <c r="U3" s="1130">
        <f>租金!Q7</f>
        <v>9052.1239999999998</v>
      </c>
      <c r="V3" s="3064">
        <f t="shared" ref="V3:V16" si="1">ROUND(T3*U3/10000,0)</f>
        <v>10592</v>
      </c>
      <c r="W3" s="1133"/>
      <c r="X3" s="1133"/>
      <c r="Y3" s="1133"/>
      <c r="Z3" s="1133"/>
      <c r="AA3" s="1133"/>
      <c r="AB3" s="1133"/>
      <c r="AC3" s="1134"/>
      <c r="AD3" s="1135"/>
      <c r="AE3" s="1135"/>
      <c r="AF3" s="1135"/>
      <c r="AG3" s="1135"/>
      <c r="AH3" s="1135"/>
      <c r="AI3" s="1135"/>
      <c r="AJ3" s="1136"/>
    </row>
    <row r="4" spans="1:36" ht="15.75">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9890</v>
      </c>
      <c r="U4" s="1130">
        <f>租金!Q8</f>
        <v>9052.1239999999998</v>
      </c>
      <c r="V4" s="3064">
        <f t="shared" si="1"/>
        <v>8953</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10950</v>
      </c>
      <c r="D5" s="1252">
        <f>ROUND(C6*C17+C20,0)</f>
        <v>10950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8722</v>
      </c>
      <c r="U5" s="1130">
        <f>租金!Q9</f>
        <v>9052.1239999999998</v>
      </c>
      <c r="V5" s="3064">
        <f t="shared" si="1"/>
        <v>7895</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8382</v>
      </c>
      <c r="U6" s="1130">
        <f>租金!Q10</f>
        <v>9052.1239999999998</v>
      </c>
      <c r="V6" s="3064">
        <f t="shared" si="1"/>
        <v>7587</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2.06</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7"/>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2" t="s">
        <v>3245</v>
      </c>
      <c r="B20" s="159" t="s">
        <v>1994</v>
      </c>
      <c r="C20" s="3032">
        <f>ROUND(IF(F21="与级别开发程度一致",0,(G21-E21)/C21),0)</f>
        <v>-20</v>
      </c>
      <c r="D20" s="3047" t="s">
        <v>1998</v>
      </c>
      <c r="E20" s="3048"/>
      <c r="F20" s="3368" t="s">
        <v>1995</v>
      </c>
      <c r="G20" s="3369"/>
      <c r="H20" s="3033" t="s">
        <v>3444</v>
      </c>
      <c r="I20" s="3033" t="s">
        <v>3445</v>
      </c>
      <c r="J20" s="3034" t="s">
        <v>3447</v>
      </c>
      <c r="K20" s="1889" t="s">
        <v>3446</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45712</v>
      </c>
      <c r="H23" s="3049" t="s">
        <v>3246</v>
      </c>
      <c r="I23" s="3050" t="str">
        <f>IF(H23="季度增幅（自定义）",SUMIF(N25:N28,E2,O25:O28),"")</f>
        <v/>
      </c>
      <c r="J23" s="3158" t="s">
        <v>3438</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0.82299999999999995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24.2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3408</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1.0367999999999999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49421</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239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14846</v>
      </c>
      <c r="D33" s="1940"/>
      <c r="E33" s="727">
        <f>ROUND(C33*D33/10000,0)</f>
        <v>0</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6"/>
      <c r="B37" s="1955" t="s">
        <v>2036</v>
      </c>
      <c r="C37" s="167">
        <f>ROUND(D5*C22*C23*C24*C28*F37,0)</f>
        <v>5931</v>
      </c>
      <c r="D37" s="3159">
        <f>'数据-基础表'!M13</f>
        <v>0</v>
      </c>
      <c r="E37" s="163">
        <f>ROUND(C37*D37/10000,0)</f>
        <v>0</v>
      </c>
      <c r="F37" s="163">
        <f>SUMIF(修正!A57:A68,G2,修正!B57:B68)</f>
        <v>0.6</v>
      </c>
      <c r="G37" s="163">
        <f>ROUND(IF(E2="工业",C37*$M$42,C37*$M$41),0)</f>
        <v>1483</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2965</v>
      </c>
      <c r="D38" s="1940"/>
      <c r="E38" s="163">
        <f t="shared" ref="E38:E42" si="4">ROUND(C38*D38/10000,0)</f>
        <v>0</v>
      </c>
      <c r="F38" s="163">
        <f>SUMIF(修正!A57:A68,G2,修正!C57:C68)</f>
        <v>0.3</v>
      </c>
      <c r="G38" s="163">
        <f>ROUND(IF(E2="工业",C38*$M$42,C38*$M$41),0)</f>
        <v>741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7"/>
      <c r="B39" s="1884" t="s">
        <v>3249</v>
      </c>
      <c r="C39" s="167">
        <f>ROUND(D5*C22*C23*C24*C28*F39,0)</f>
        <v>2471</v>
      </c>
      <c r="D39" s="1940"/>
      <c r="E39" s="163">
        <f t="shared" si="4"/>
        <v>0</v>
      </c>
      <c r="F39" s="163">
        <f>SUMIF(修正!A57:A68,G2,修正!D57:D68)</f>
        <v>0.25</v>
      </c>
      <c r="G39" s="163">
        <f>ROUND(IF(E2="工业",C39*$M$42,C39*$M$41),0)</f>
        <v>618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2471</v>
      </c>
      <c r="D40" s="1940"/>
      <c r="E40" s="163">
        <f t="shared" si="4"/>
        <v>0</v>
      </c>
      <c r="F40" s="167">
        <f>SUMIF(修正!A57:A68,G2,修正!E57:E68)</f>
        <v>0.25</v>
      </c>
      <c r="G40" s="163">
        <f>ROUND(IF(E2="工业",C40*$M$42,C40*$M$41),0)</f>
        <v>618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2708</v>
      </c>
      <c r="D41" s="1940"/>
      <c r="E41" s="163">
        <f t="shared" si="4"/>
        <v>0</v>
      </c>
      <c r="F41" s="167">
        <f>SUMIF(修正!A57:A68,G2,修正!F57:F68)</f>
        <v>0.25</v>
      </c>
      <c r="G41" s="163">
        <f>ROUND(IF(E2="工业",C41*$M$42,C41*$M$41),0)</f>
        <v>677</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1625</v>
      </c>
      <c r="D42" s="1945">
        <f>'数据-基础表'!K13</f>
        <v>5875.41</v>
      </c>
      <c r="E42" s="179">
        <f t="shared" si="4"/>
        <v>955</v>
      </c>
      <c r="F42" s="723">
        <f>SUMIF(修正!A57:A68,G2,修正!G57:G68)</f>
        <v>0.15</v>
      </c>
      <c r="G42" s="179">
        <f>ROUND(IF(E2="工业",C42*$M$42,C42*$M$41),0)</f>
        <v>406</v>
      </c>
      <c r="H42" s="179">
        <f t="shared" si="5"/>
        <v>5875.41</v>
      </c>
      <c r="I42" s="179">
        <f t="shared" si="6"/>
        <v>239</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0.90180000000000005</v>
      </c>
      <c r="D44" s="163" t="s">
        <v>1999</v>
      </c>
      <c r="E44" s="1991">
        <f>G24</f>
        <v>5.5E-2</v>
      </c>
      <c r="F44" s="163" t="s">
        <v>2008</v>
      </c>
      <c r="G44" s="175">
        <f>项目基本情况!F15</f>
        <v>34.200000000000003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3409</v>
      </c>
      <c r="D50" s="1002">
        <f t="shared" ref="D50:D58" si="7">SUMIF($J$49:$N$49,C50,J50:N50)</f>
        <v>1.95E-2</v>
      </c>
      <c r="E50" s="702">
        <f>ROUND(SUM(D50:D58),4)</f>
        <v>6.4799999999999996E-2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3409</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3409</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3409</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3410</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3409</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3409</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3411</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3409</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4" t="s">
        <v>3284</v>
      </c>
      <c r="B103" s="3364"/>
      <c r="C103" s="3364"/>
      <c r="D103" s="3364"/>
      <c r="E103" s="3364"/>
      <c r="F103" s="3364"/>
      <c r="G103" s="3364"/>
      <c r="H103" s="3364"/>
      <c r="I103" s="3364"/>
      <c r="J103" s="3364"/>
      <c r="K103" s="1667"/>
      <c r="L103" s="1667"/>
      <c r="M103" s="1667"/>
      <c r="N103" s="1667"/>
    </row>
    <row r="104" spans="1:14">
      <c r="A104" s="3365" t="s">
        <v>3285</v>
      </c>
      <c r="B104" s="3365" t="s">
        <v>3286</v>
      </c>
      <c r="C104" s="3091" t="s">
        <v>3287</v>
      </c>
      <c r="D104" s="3092"/>
      <c r="E104" s="3092"/>
      <c r="F104" s="3092"/>
      <c r="G104" s="3092"/>
      <c r="H104" s="3092"/>
      <c r="I104" s="3092"/>
      <c r="J104" s="3093"/>
      <c r="K104" s="3094"/>
      <c r="L104" s="3094"/>
      <c r="M104" s="3094"/>
      <c r="N104" s="3094"/>
    </row>
    <row r="105" spans="1:14">
      <c r="A105" s="3365"/>
      <c r="B105" s="3365"/>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51"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2"/>
      <c r="B111" s="3095" t="s">
        <v>3258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53"/>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4" t="s">
        <v>3301</v>
      </c>
      <c r="B113" s="3354"/>
      <c r="C113" s="3354"/>
      <c r="D113" s="3354"/>
      <c r="E113" s="3354"/>
      <c r="F113" s="3354"/>
      <c r="G113" s="3354"/>
      <c r="H113" s="3354"/>
      <c r="I113" s="3354"/>
      <c r="J113" s="335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2.06</v>
      </c>
      <c r="C116" s="3100" t="s">
        <v>3303</v>
      </c>
      <c r="D116" s="3101">
        <f>SUMPRODUCT((A118:A122=F116)*(B117:M117=H116)*B118:M122)</f>
        <v>0.92020000000000002</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0.97409999999999997</v>
      </c>
      <c r="C118" s="3090">
        <f>B118</f>
        <v>0.97409999999999997</v>
      </c>
      <c r="D118" s="3090">
        <f>ROUND(0.949-0.014*B116,4)</f>
        <v>0.92020000000000002</v>
      </c>
      <c r="E118" s="3090">
        <f>D118</f>
        <v>0.92020000000000002</v>
      </c>
      <c r="F118" s="3090">
        <f>E118</f>
        <v>0.92020000000000002</v>
      </c>
      <c r="G118" s="3090">
        <f>F118</f>
        <v>0.92020000000000002</v>
      </c>
      <c r="H118" s="3090">
        <f>G118</f>
        <v>0.92020000000000002</v>
      </c>
      <c r="I118" s="3090">
        <f>ROUND(0.8486-0.018*B116,4)</f>
        <v>0.8115</v>
      </c>
      <c r="J118" s="3090">
        <f t="shared" ref="J118:M122" si="36">I118</f>
        <v>0.8115</v>
      </c>
      <c r="K118" s="3090">
        <f t="shared" si="36"/>
        <v>0.8115</v>
      </c>
      <c r="L118" s="3090">
        <f t="shared" si="36"/>
        <v>0.8115</v>
      </c>
      <c r="M118" s="3110">
        <f t="shared" si="36"/>
        <v>0.8115</v>
      </c>
      <c r="N118" s="3098"/>
    </row>
    <row r="119" spans="1:14">
      <c r="A119" s="3058" t="s">
        <v>3319</v>
      </c>
      <c r="B119" s="3090">
        <f>ROUND(0.993-0.0112*B116,4)</f>
        <v>0.96989999999999998</v>
      </c>
      <c r="C119" s="3090">
        <f>B119</f>
        <v>0.96989999999999998</v>
      </c>
      <c r="D119" s="3090">
        <f>ROUND(0.9415-0.0142*B116,4)</f>
        <v>0.91220000000000001</v>
      </c>
      <c r="E119" s="3090">
        <f t="shared" ref="E119:H120" si="37">D119</f>
        <v>0.91220000000000001</v>
      </c>
      <c r="F119" s="3090">
        <f t="shared" si="37"/>
        <v>0.91220000000000001</v>
      </c>
      <c r="G119" s="3090">
        <f t="shared" si="37"/>
        <v>0.91220000000000001</v>
      </c>
      <c r="H119" s="3090">
        <f t="shared" si="37"/>
        <v>0.91220000000000001</v>
      </c>
      <c r="I119" s="3090">
        <f>ROUND(0.838-0.0182*B116,4)</f>
        <v>0.80049999999999999</v>
      </c>
      <c r="J119" s="3090">
        <f t="shared" si="36"/>
        <v>0.80049999999999999</v>
      </c>
      <c r="K119" s="3090">
        <f t="shared" si="36"/>
        <v>0.80049999999999999</v>
      </c>
      <c r="L119" s="3090">
        <f t="shared" si="36"/>
        <v>0.80049999999999999</v>
      </c>
      <c r="M119" s="3110">
        <f t="shared" si="36"/>
        <v>0.80049999999999999</v>
      </c>
      <c r="N119" s="3098"/>
    </row>
    <row r="120" spans="1:14">
      <c r="A120" s="3058" t="s">
        <v>3320</v>
      </c>
      <c r="B120" s="3090">
        <f>ROUND(0.9448-0.0115*B116,4)</f>
        <v>0.92110000000000003</v>
      </c>
      <c r="C120" s="3090">
        <f>B120</f>
        <v>0.92110000000000003</v>
      </c>
      <c r="D120" s="3090">
        <f>ROUND(0.937-0.0145*B116,4)</f>
        <v>0.90710000000000002</v>
      </c>
      <c r="E120" s="3090">
        <f t="shared" si="37"/>
        <v>0.90710000000000002</v>
      </c>
      <c r="F120" s="3090">
        <f t="shared" si="37"/>
        <v>0.90710000000000002</v>
      </c>
      <c r="G120" s="3090">
        <f t="shared" si="37"/>
        <v>0.90710000000000002</v>
      </c>
      <c r="H120" s="3090">
        <f t="shared" si="37"/>
        <v>0.90710000000000002</v>
      </c>
      <c r="I120" s="3090">
        <f>ROUND(0.7965-0.0185*B116,4)</f>
        <v>0.75839999999999996</v>
      </c>
      <c r="J120" s="3090">
        <f t="shared" si="36"/>
        <v>0.75839999999999996</v>
      </c>
      <c r="K120" s="3090">
        <f t="shared" si="36"/>
        <v>0.75839999999999996</v>
      </c>
      <c r="L120" s="3090">
        <f t="shared" si="36"/>
        <v>0.75839999999999996</v>
      </c>
      <c r="M120" s="3110">
        <f t="shared" si="36"/>
        <v>0.75839999999999996</v>
      </c>
      <c r="N120" s="3098"/>
    </row>
    <row r="121" spans="1:14" ht="13.5" thickBot="1">
      <c r="A121" s="3111" t="s">
        <v>3321</v>
      </c>
      <c r="B121" s="3112">
        <f>ROUND(0.7836-0.012*B116,4)</f>
        <v>0.75890000000000002</v>
      </c>
      <c r="C121" s="3112">
        <f>B121</f>
        <v>0.75890000000000002</v>
      </c>
      <c r="D121" s="3112">
        <f>ROUND(0.753-0.015*B116,4)</f>
        <v>0.72209999999999996</v>
      </c>
      <c r="E121" s="3112">
        <f>D121</f>
        <v>0.72209999999999996</v>
      </c>
      <c r="F121" s="3112">
        <f>E121</f>
        <v>0.72209999999999996</v>
      </c>
      <c r="G121" s="3112">
        <f>ROUND(0.6612-0.018*B116,4)</f>
        <v>0.62409999999999999</v>
      </c>
      <c r="H121" s="3112">
        <f>G121</f>
        <v>0.62409999999999999</v>
      </c>
      <c r="I121" s="3112">
        <f>ROUND(0.5905-0.019*B116,4)</f>
        <v>0.5514</v>
      </c>
      <c r="J121" s="3112">
        <f t="shared" si="36"/>
        <v>0.5514</v>
      </c>
      <c r="K121" s="3112">
        <f t="shared" si="36"/>
        <v>0.5514</v>
      </c>
      <c r="L121" s="3112">
        <f t="shared" si="36"/>
        <v>0.5514</v>
      </c>
      <c r="M121" s="3113">
        <f t="shared" si="36"/>
        <v>0.5514</v>
      </c>
      <c r="N121" s="3098"/>
    </row>
    <row r="122" spans="1:14">
      <c r="A122" s="3114" t="s">
        <v>2603</v>
      </c>
      <c r="B122" s="3090">
        <f>ROUND(0.9404-0.0106*B116,4)</f>
        <v>0.91859999999999997</v>
      </c>
      <c r="C122" s="3090">
        <f>B122</f>
        <v>0.91859999999999997</v>
      </c>
      <c r="D122" s="3090">
        <f>ROUND(0.8955-0.0135*B116,4)</f>
        <v>0.86770000000000003</v>
      </c>
      <c r="E122" s="3090">
        <f t="shared" ref="E122:H122" si="38">D122</f>
        <v>0.86770000000000003</v>
      </c>
      <c r="F122" s="3090">
        <f t="shared" si="38"/>
        <v>0.86770000000000003</v>
      </c>
      <c r="G122" s="3090">
        <f t="shared" si="38"/>
        <v>0.86770000000000003</v>
      </c>
      <c r="H122" s="3090">
        <f t="shared" si="38"/>
        <v>0.86770000000000003</v>
      </c>
      <c r="I122" s="3090">
        <f>ROUND(0.7632-0.0166*B116,4)</f>
        <v>0.72899999999999998</v>
      </c>
      <c r="J122" s="3090">
        <f t="shared" si="36"/>
        <v>0.72899999999999998</v>
      </c>
      <c r="K122" s="3090">
        <f t="shared" si="36"/>
        <v>0.72899999999999998</v>
      </c>
      <c r="L122" s="3090">
        <f t="shared" si="36"/>
        <v>0.72899999999999998</v>
      </c>
      <c r="M122" s="3110">
        <f t="shared" si="36"/>
        <v>0.72899999999999998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51907</v>
      </c>
      <c r="C2" s="1289" t="s">
        <v>805</v>
      </c>
      <c r="D2" s="1289"/>
      <c r="E2" s="1295"/>
      <c r="F2" s="1296"/>
      <c r="G2" s="2479"/>
      <c r="H2" s="2469"/>
      <c r="I2" s="2469"/>
      <c r="J2" s="2469"/>
      <c r="K2" s="2470"/>
      <c r="L2" s="2469"/>
      <c r="M2" s="2469"/>
    </row>
    <row r="3" spans="1:37" ht="18" customHeight="1" thickBot="1">
      <c r="A3" s="1297" t="s">
        <v>806</v>
      </c>
      <c r="B3" s="1298">
        <f ca="1">IF(ISERROR(B2*10000/F43),0,ROUND(B2*10000/F43,0))</f>
        <v>10151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3229</v>
      </c>
      <c r="D5" s="1273" t="s">
        <v>693</v>
      </c>
      <c r="E5" s="1008"/>
      <c r="F5" s="1009"/>
      <c r="G5" s="1292"/>
      <c r="H5" s="291">
        <v>1</v>
      </c>
      <c r="I5" s="292" t="s">
        <v>692</v>
      </c>
      <c r="J5" s="1007">
        <f ca="1">J6+J10+J12</f>
        <v>6509</v>
      </c>
      <c r="K5" s="1273" t="s">
        <v>693</v>
      </c>
      <c r="L5" s="1008"/>
      <c r="M5" s="1009"/>
    </row>
    <row r="6" spans="1:37" ht="18" customHeight="1">
      <c r="A6" s="1006" t="s">
        <v>398</v>
      </c>
      <c r="B6" s="3372" t="s">
        <v>694</v>
      </c>
      <c r="C6" s="1011">
        <f ca="1">ROUND(F6*F8*F7*(1-F9)/10000,0)</f>
        <v>3229</v>
      </c>
      <c r="D6" s="147" t="s">
        <v>2109</v>
      </c>
      <c r="E6" s="294" t="s">
        <v>696</v>
      </c>
      <c r="F6" s="295">
        <f ca="1">INDIRECT("'数据-取费表'!u"&amp;$G$1)</f>
        <v>1.73</v>
      </c>
      <c r="G6" s="1292"/>
      <c r="H6" s="1006" t="s">
        <v>398</v>
      </c>
      <c r="I6" s="3372" t="s">
        <v>694</v>
      </c>
      <c r="J6" s="293">
        <f ca="1">ROUND(M6*M8*M7*(1-M9)/10000,0)</f>
        <v>6501</v>
      </c>
      <c r="K6" s="147" t="s">
        <v>2108</v>
      </c>
      <c r="L6" s="294" t="s">
        <v>696</v>
      </c>
      <c r="M6" s="295">
        <f ca="1">INDIRECT("'数据-取费表'!z"&amp;$G$1)</f>
        <v>3.87</v>
      </c>
    </row>
    <row r="7" spans="1:37" ht="18" customHeight="1">
      <c r="A7" s="1010"/>
      <c r="B7" s="3373"/>
      <c r="C7" s="1012"/>
      <c r="D7" s="299"/>
      <c r="E7" s="1013" t="s">
        <v>697</v>
      </c>
      <c r="F7" s="295">
        <f ca="1">IF(INDIRECT("'数据-取费表'!ah"&amp;$G$1)="",INDIRECT("'数据-取费表'!k"&amp;$G$1),INDIRECT("'数据-取费表'!ah"&amp;$G$1))</f>
        <v>51136.03</v>
      </c>
      <c r="G7" s="1292"/>
      <c r="H7" s="296"/>
      <c r="I7" s="3373"/>
      <c r="J7" s="298"/>
      <c r="K7" s="299"/>
      <c r="L7" s="294" t="s">
        <v>697</v>
      </c>
      <c r="M7" s="295">
        <f ca="1">F7</f>
        <v>51136.03</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3425</v>
      </c>
      <c r="G10" s="1292"/>
      <c r="H10" s="1006" t="s">
        <v>402</v>
      </c>
      <c r="I10" s="1274" t="s">
        <v>700</v>
      </c>
      <c r="J10" s="293">
        <f ca="1">ROUND(IF(M10="押一",J6/12*M11,IF(M10="押二",J6/12*2*M11,IF(M10="押三",J6/12*3*M11,J11*M11))),0)</f>
        <v>8</v>
      </c>
      <c r="K10" s="150" t="s">
        <v>2116</v>
      </c>
      <c r="L10" s="305" t="s">
        <v>701</v>
      </c>
      <c r="M10" s="1053" t="s">
        <v>3439</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23925</v>
      </c>
      <c r="D13" s="1018" t="s">
        <v>705</v>
      </c>
      <c r="E13" s="1018" t="s">
        <v>706</v>
      </c>
      <c r="F13" s="1019">
        <f ca="1">INDIRECT("'数据-取费表'!y"&amp;$G$1)</f>
        <v>0.78</v>
      </c>
      <c r="G13" s="1292"/>
      <c r="H13" s="1016">
        <v>2</v>
      </c>
      <c r="I13" s="1017" t="s">
        <v>704</v>
      </c>
      <c r="J13" s="1005">
        <f ca="1">ROUND(J14*J15,0)</f>
        <v>18404</v>
      </c>
      <c r="K13" s="1024" t="s">
        <v>705</v>
      </c>
      <c r="L13" s="1299"/>
      <c r="M13" s="1300"/>
    </row>
    <row r="14" spans="1:37" ht="18" customHeight="1">
      <c r="A14" s="928" t="s">
        <v>397</v>
      </c>
      <c r="B14" s="294" t="s">
        <v>707</v>
      </c>
      <c r="C14" s="310">
        <f ca="1">INDIRECT("'数据-取费表'!m"&amp;$G$1)+INDIRECT("'数据-取费表'!t"&amp;$G$1)</f>
        <v>19432</v>
      </c>
      <c r="D14" s="1257" t="s">
        <v>708</v>
      </c>
      <c r="E14" s="1255"/>
      <c r="F14" s="311"/>
      <c r="G14" s="1292"/>
      <c r="H14" s="928" t="s">
        <v>398</v>
      </c>
      <c r="I14" s="294" t="s">
        <v>709</v>
      </c>
      <c r="J14" s="21">
        <f ca="1">C29</f>
        <v>30673</v>
      </c>
      <c r="K14" s="12"/>
      <c r="L14" s="759"/>
      <c r="M14" s="760"/>
    </row>
    <row r="15" spans="1:37" s="1304" customFormat="1" ht="18" customHeight="1" thickBot="1">
      <c r="A15" s="928" t="s">
        <v>399</v>
      </c>
      <c r="B15" s="294" t="s">
        <v>710</v>
      </c>
      <c r="C15" s="21">
        <f ca="1">ROUND(C14*F15,0)</f>
        <v>972</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1238</v>
      </c>
      <c r="K16" s="1024" t="s">
        <v>715</v>
      </c>
      <c r="L16" s="1025"/>
      <c r="M16" s="1009"/>
    </row>
    <row r="17" spans="1:37" s="1304" customFormat="1" ht="18" customHeight="1">
      <c r="A17" s="928" t="s">
        <v>681</v>
      </c>
      <c r="B17" s="294" t="s">
        <v>716</v>
      </c>
      <c r="C17" s="21">
        <f ca="1">ROUND(F17*(F43+INDIRECT("'数据-取费表'!S"&amp;$G$1))/10000,0)</f>
        <v>1023</v>
      </c>
      <c r="D17" s="294" t="s">
        <v>717</v>
      </c>
      <c r="E17" s="294" t="s">
        <v>718</v>
      </c>
      <c r="F17" s="23">
        <f>'数据-取费表'!B35</f>
        <v>200</v>
      </c>
      <c r="G17" s="1303"/>
      <c r="H17" s="928" t="s">
        <v>398</v>
      </c>
      <c r="I17" s="294" t="s">
        <v>719</v>
      </c>
      <c r="J17" s="2140">
        <f ca="1">ROUND(IF(AND(项目基本情况!B11="自然人",项目基本情况!B10="北京市"),J6*M17/(1+'数据-取费表'!C42),J18+J19+J20),2)</f>
        <v>1092.99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583</v>
      </c>
      <c r="D18" s="294" t="s">
        <v>711</v>
      </c>
      <c r="E18" s="294" t="s">
        <v>712</v>
      </c>
      <c r="F18" s="314">
        <f>'数据-取费表'!B36</f>
        <v>0.03</v>
      </c>
      <c r="G18" s="1303"/>
      <c r="H18" s="928" t="s">
        <v>397</v>
      </c>
      <c r="I18" s="294" t="s">
        <v>723</v>
      </c>
      <c r="J18" s="21">
        <f ca="1">ROUND(J6*M18/(1+'数据-取费表'!C42),2)</f>
        <v>346.72</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22010</v>
      </c>
      <c r="D19" s="123" t="s">
        <v>726</v>
      </c>
      <c r="E19" s="1269"/>
      <c r="F19" s="23"/>
      <c r="G19" s="1292"/>
      <c r="H19" s="928" t="s">
        <v>399</v>
      </c>
      <c r="I19" s="294" t="s">
        <v>727</v>
      </c>
      <c r="J19" s="21">
        <f ca="1">IF(K19="按租金收入计税",ROUND(J6*M19/(1+'数据-取费表'!C42),2),ROUND(C29*M19*0.7,2))</f>
        <v>742.97</v>
      </c>
      <c r="K19" s="1278" t="s">
        <v>3325</v>
      </c>
      <c r="L19" s="294" t="s">
        <v>712</v>
      </c>
      <c r="M19" s="314">
        <f>IF(K19="按租金收入计税",'数据-取费表'!B51,'数据-取费表'!B50)</f>
        <v>0.12</v>
      </c>
    </row>
    <row r="20" spans="1:37" s="1304" customFormat="1" ht="18" customHeight="1">
      <c r="A20" s="928" t="s">
        <v>402</v>
      </c>
      <c r="B20" s="294" t="s">
        <v>728</v>
      </c>
      <c r="C20" s="21">
        <f ca="1">ROUND(C19*F20,0)</f>
        <v>660</v>
      </c>
      <c r="D20" s="315" t="s">
        <v>729</v>
      </c>
      <c r="E20" s="294" t="s">
        <v>712</v>
      </c>
      <c r="F20" s="314">
        <f>'数据-取费表'!B37</f>
        <v>0.03</v>
      </c>
      <c r="G20" s="1303"/>
      <c r="H20" s="928" t="s">
        <v>680</v>
      </c>
      <c r="I20" s="147" t="s">
        <v>730</v>
      </c>
      <c r="J20" s="22">
        <f ca="1">ROUND(M20*M21/10000,2)</f>
        <v>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21989.41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61.35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18.399999999999999</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65.09</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5271</v>
      </c>
      <c r="K25" s="1032" t="s">
        <v>753</v>
      </c>
      <c r="L25" s="1033"/>
      <c r="M25" s="1034"/>
      <c r="N25" s="1292">
        <f ca="1">J25/J6</f>
        <v>0.81079833871712048</v>
      </c>
    </row>
    <row r="26" spans="1:37">
      <c r="A26" s="928" t="s">
        <v>397</v>
      </c>
      <c r="B26" s="294" t="s">
        <v>754</v>
      </c>
      <c r="C26" s="21">
        <f ca="1">ROUND((C19+C20)*F26,0)</f>
        <v>4534</v>
      </c>
      <c r="D26" s="315" t="s">
        <v>755</v>
      </c>
      <c r="E26" s="305" t="s">
        <v>756</v>
      </c>
      <c r="F26" s="304">
        <f ca="1">INDIRECT("'数据-取费表'!q"&amp;$G$1)</f>
        <v>0.2</v>
      </c>
      <c r="G26" s="1292"/>
      <c r="H26" s="291" t="s">
        <v>395</v>
      </c>
      <c r="I26" s="292" t="s">
        <v>757</v>
      </c>
      <c r="J26" s="293">
        <f ca="1">IF(J5&lt;&gt;0,ROUND(J25*(1-((1+M28)/(1+M26))^M27)/(M26-M28),0),0)</f>
        <v>51285</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12.34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30673</v>
      </c>
      <c r="D29" s="1029"/>
      <c r="E29" s="1027"/>
      <c r="F29" s="1030"/>
      <c r="G29" s="1303"/>
      <c r="H29" s="325" t="s">
        <v>396</v>
      </c>
      <c r="I29" s="326" t="s">
        <v>768</v>
      </c>
      <c r="J29" s="327">
        <f ca="1">ROUND(J26/(1+F40)^F41,0)</f>
        <v>27178</v>
      </c>
      <c r="K29" s="328" t="s">
        <v>769</v>
      </c>
      <c r="L29" s="329"/>
      <c r="M29" s="330">
        <f ca="1">INDIRECT("'数据-取费表'!k"&amp;$G$1)</f>
        <v>51136.03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544.54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172.21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369.03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21989.41</v>
      </c>
      <c r="G35" s="1292"/>
      <c r="H35" s="2471"/>
      <c r="I35" s="1305"/>
      <c r="J35" s="1306"/>
      <c r="K35" s="2475"/>
      <c r="L35" s="2474"/>
      <c r="M35" s="2474"/>
    </row>
    <row r="36" spans="1:18" ht="18" customHeight="1">
      <c r="A36" s="1039" t="s">
        <v>402</v>
      </c>
      <c r="B36" s="294" t="s">
        <v>738</v>
      </c>
      <c r="C36" s="21">
        <f ca="1">ROUND(C29*F36,2)</f>
        <v>0</v>
      </c>
      <c r="D36" s="1256" t="s">
        <v>771</v>
      </c>
      <c r="E36" s="294" t="s">
        <v>712</v>
      </c>
      <c r="F36" s="3162">
        <v>0</v>
      </c>
      <c r="G36" s="3164" t="s">
        <v>3442</v>
      </c>
      <c r="H36" s="2474"/>
      <c r="I36" s="1305"/>
      <c r="J36" s="1306"/>
      <c r="K36" s="2331"/>
      <c r="L36" s="2474"/>
      <c r="M36" s="2474"/>
    </row>
    <row r="37" spans="1:18" ht="18" customHeight="1">
      <c r="A37" s="928" t="s">
        <v>437</v>
      </c>
      <c r="B37" s="294" t="s">
        <v>742</v>
      </c>
      <c r="C37" s="21">
        <f ca="1">ROUND(C13*F37,2)</f>
        <v>23.93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16.149999999999999</v>
      </c>
      <c r="D38" s="1029" t="s">
        <v>748</v>
      </c>
      <c r="E38" s="1027" t="s">
        <v>744</v>
      </c>
      <c r="F38" s="3163">
        <v>5.0000000000000001E-3</v>
      </c>
      <c r="G38" s="3164" t="s">
        <v>3441</v>
      </c>
      <c r="H38" s="2474"/>
      <c r="I38" s="1305"/>
      <c r="J38" s="1306"/>
      <c r="K38" s="2472"/>
      <c r="L38" s="2474"/>
      <c r="M38" s="2474"/>
    </row>
    <row r="39" spans="1:18" ht="24.6" customHeight="1" thickTop="1">
      <c r="A39" s="1016" t="s">
        <v>394</v>
      </c>
      <c r="B39" s="1031" t="s">
        <v>772</v>
      </c>
      <c r="C39" s="302">
        <f ca="1">C5-C30</f>
        <v>2644</v>
      </c>
      <c r="D39" s="1032" t="s">
        <v>773</v>
      </c>
      <c r="E39" s="1033"/>
      <c r="F39" s="1034"/>
      <c r="G39" s="1292"/>
      <c r="H39" s="2474">
        <f ca="1">C39/C6</f>
        <v>0.81882935893465469</v>
      </c>
      <c r="I39" s="1305"/>
      <c r="J39" s="1306"/>
      <c r="K39" s="2472"/>
      <c r="L39" s="2474"/>
      <c r="M39" s="2474"/>
    </row>
    <row r="40" spans="1:18" ht="18" customHeight="1">
      <c r="A40" s="291" t="s">
        <v>395</v>
      </c>
      <c r="B40" s="292" t="s">
        <v>774</v>
      </c>
      <c r="C40" s="293">
        <f ca="1">ROUND(C39*(1-((1+F42)/(1+F40))^F41)/(F40-F42),0)</f>
        <v>22597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11.86</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4419</v>
      </c>
      <c r="D43" s="328" t="s">
        <v>777</v>
      </c>
      <c r="E43" s="329" t="s">
        <v>778</v>
      </c>
      <c r="F43" s="330">
        <f ca="1">INDIRECT("'数据-取费表'!k"&amp;$G$1)</f>
        <v>51136.03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17107</v>
      </c>
      <c r="D46" s="1313" t="str">
        <f>C2</f>
        <v>万元</v>
      </c>
      <c r="E46" s="1307"/>
      <c r="F46" s="1307"/>
      <c r="I46" s="1314" t="s">
        <v>810</v>
      </c>
      <c r="J46" s="1315"/>
      <c r="K46" s="1316"/>
      <c r="L46" s="1317">
        <f ca="1">IF(M47="住宅",0,IF(L48&gt;J51,L60,J60))</f>
        <v>2132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3426</v>
      </c>
      <c r="K47" s="1323" t="s">
        <v>816</v>
      </c>
      <c r="L47" s="1324">
        <f ca="1">INDIRECT("'数据-取费表'!d"&amp;$G$1)</f>
        <v>40</v>
      </c>
      <c r="M47" s="1288" t="str">
        <f>IF(ISNUMBER(FIND("住宅",C1)),"住宅","非住宅")</f>
        <v>非住宅</v>
      </c>
      <c r="O47" s="1325" t="s">
        <v>403</v>
      </c>
      <c r="P47" s="1326" t="s">
        <v>817</v>
      </c>
      <c r="Q47" s="1327">
        <f ca="1">C40+J29</f>
        <v>49775</v>
      </c>
      <c r="R47" s="1327" t="s">
        <v>818</v>
      </c>
    </row>
    <row r="48" spans="1:18" s="1292" customFormat="1" ht="28.5" thickBot="1">
      <c r="A48" s="1047" t="s">
        <v>438</v>
      </c>
      <c r="B48" s="292" t="s">
        <v>692</v>
      </c>
      <c r="C48" s="1268">
        <f ca="1">C49+C53+C55</f>
        <v>5231</v>
      </c>
      <c r="D48" s="1049"/>
      <c r="E48" s="1050"/>
      <c r="F48" s="908"/>
      <c r="G48" s="681"/>
      <c r="H48" s="682"/>
      <c r="I48" s="1328" t="s">
        <v>819</v>
      </c>
      <c r="J48" s="1329" t="s">
        <v>3427</v>
      </c>
      <c r="K48" s="1330" t="s">
        <v>820</v>
      </c>
      <c r="L48" s="1331">
        <f ca="1">INDIRECT("'数据-取费表'!f"&amp;$G$1)</f>
        <v>24.2</v>
      </c>
      <c r="O48" s="1325" t="s">
        <v>404</v>
      </c>
      <c r="P48" s="1326" t="s">
        <v>821</v>
      </c>
      <c r="Q48" s="1327">
        <f ca="1">J60</f>
        <v>2132</v>
      </c>
      <c r="R48" s="1327" t="s">
        <v>822</v>
      </c>
    </row>
    <row r="49" spans="1:18" s="1292" customFormat="1" ht="13.5" thickBot="1">
      <c r="A49" s="921" t="s">
        <v>439</v>
      </c>
      <c r="B49" s="1279" t="s">
        <v>779</v>
      </c>
      <c r="C49" s="1051">
        <f ca="1">ROUND(F49*F51*F50*(1-F52)/10000,0)</f>
        <v>5224</v>
      </c>
      <c r="D49" s="992" t="s">
        <v>2110</v>
      </c>
      <c r="E49" s="1280" t="s">
        <v>780</v>
      </c>
      <c r="F49" s="997">
        <f>租金!P12</f>
        <v>3.11</v>
      </c>
      <c r="H49" s="682"/>
      <c r="I49" s="1328" t="s">
        <v>823</v>
      </c>
      <c r="J49" s="1332">
        <v>2012</v>
      </c>
      <c r="K49" s="1330" t="s">
        <v>824</v>
      </c>
      <c r="L49" s="1333"/>
      <c r="O49" s="1334" t="s">
        <v>405</v>
      </c>
      <c r="P49" s="1326" t="s">
        <v>825</v>
      </c>
      <c r="Q49" s="1327">
        <f ca="1">C29</f>
        <v>30673</v>
      </c>
      <c r="R49" s="1327" t="s">
        <v>818</v>
      </c>
    </row>
    <row r="50" spans="1:18" s="1292" customFormat="1" ht="13.5" thickBot="1">
      <c r="A50" s="922"/>
      <c r="B50" s="925"/>
      <c r="C50" s="1055"/>
      <c r="D50" s="899"/>
      <c r="E50" s="993" t="s">
        <v>697</v>
      </c>
      <c r="F50" s="994">
        <f ca="1">F7</f>
        <v>51136.03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17428</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24.2</v>
      </c>
      <c r="R52" s="1327" t="s">
        <v>835</v>
      </c>
    </row>
    <row r="53" spans="1:18" s="1292" customFormat="1" ht="24.75" thickBot="1">
      <c r="A53" s="1079" t="s">
        <v>440</v>
      </c>
      <c r="B53" s="1281" t="s">
        <v>700</v>
      </c>
      <c r="C53" s="308">
        <f ca="1">ROUND(IF(F53="押一",C49/12*F11,IF(F53="押二",C49/12*2*F11,IF(F53="押三",C49/12*3*F11,C54*F11))),0)</f>
        <v>7</v>
      </c>
      <c r="D53" s="150" t="s">
        <v>2116</v>
      </c>
      <c r="E53" s="305" t="s">
        <v>701</v>
      </c>
      <c r="F53" s="1053" t="s">
        <v>3439</v>
      </c>
      <c r="I53" s="1344" t="s">
        <v>836</v>
      </c>
      <c r="J53" s="2006">
        <f ca="1">IF(M47="住宅",IF(D1="——",MAX(J51,L48),MAX(J51,L48-'数据-取费表'!B24)),IF(D1="——",MIN(J51,L48),MIN(J51,L48-'数据-取费表'!B24)))</f>
        <v>24.2</v>
      </c>
      <c r="K53" s="3370" t="s">
        <v>837</v>
      </c>
      <c r="L53" s="3371"/>
      <c r="O53" s="1325" t="s">
        <v>409</v>
      </c>
      <c r="P53" s="1326" t="s">
        <v>838</v>
      </c>
      <c r="Q53" s="1327">
        <f ca="1">Q47+Q48</f>
        <v>51907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v>
      </c>
      <c r="K55" s="1350" t="s">
        <v>841</v>
      </c>
      <c r="L55" s="1351"/>
      <c r="O55" s="1318" t="s">
        <v>811</v>
      </c>
      <c r="P55" s="1319" t="s">
        <v>812</v>
      </c>
      <c r="Q55" s="1320" t="s">
        <v>813</v>
      </c>
      <c r="R55" s="1320" t="s">
        <v>814</v>
      </c>
    </row>
    <row r="56" spans="1:18" s="1292" customFormat="1" ht="25.5" thickTop="1" thickBot="1">
      <c r="A56" s="903">
        <v>2</v>
      </c>
      <c r="B56" s="904" t="s">
        <v>704</v>
      </c>
      <c r="C56" s="224">
        <f ca="1">C13</f>
        <v>23925</v>
      </c>
      <c r="D56" s="1352"/>
      <c r="E56" s="1353"/>
      <c r="F56" s="1345"/>
      <c r="I56" s="1354" t="s">
        <v>842</v>
      </c>
      <c r="J56" s="1355" t="s">
        <v>3428</v>
      </c>
      <c r="K56" s="1328" t="s">
        <v>843</v>
      </c>
      <c r="L56" s="1331" t="str">
        <f ca="1">IF(L48&lt;J51,"——",L48-J53)</f>
        <v>——</v>
      </c>
      <c r="O56" s="1325" t="s">
        <v>403</v>
      </c>
      <c r="P56" s="1326" t="s">
        <v>817</v>
      </c>
      <c r="Q56" s="1327">
        <f ca="1">C40+J29</f>
        <v>49775</v>
      </c>
      <c r="R56" s="1327" t="s">
        <v>818</v>
      </c>
    </row>
    <row r="57" spans="1:18" s="1292" customFormat="1" ht="24.75" thickBot="1">
      <c r="A57" s="1356"/>
      <c r="B57" s="896" t="s">
        <v>767</v>
      </c>
      <c r="C57" s="230">
        <f ca="1">C29</f>
        <v>30673</v>
      </c>
      <c r="D57" s="1357"/>
      <c r="E57" s="1358"/>
      <c r="F57" s="1359"/>
      <c r="I57" s="1360" t="s">
        <v>844</v>
      </c>
      <c r="J57" s="1361">
        <f ca="1">IF(OR(M47="住宅",J51&lt;L48,J56="是"),"——",J51-L48)</f>
        <v>22.8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1017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879</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12269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278.99</v>
      </c>
      <c r="D60" s="910" t="s">
        <v>724</v>
      </c>
      <c r="E60" s="896" t="s">
        <v>712</v>
      </c>
      <c r="F60" s="322">
        <f t="shared" ref="F60:F66" si="0">F32</f>
        <v>5.6000000000000001E-2</v>
      </c>
      <c r="I60" s="1363" t="s">
        <v>853</v>
      </c>
      <c r="J60" s="1364">
        <f ca="1">IF(OR(M47="住宅",J51&lt;L48,J56="是"),"0",ROUND(J59/(1+J52)^J53,0))</f>
        <v>2132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597.03</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3.3</v>
      </c>
      <c r="D62" s="911" t="s">
        <v>786</v>
      </c>
      <c r="E62" s="896" t="s">
        <v>787</v>
      </c>
      <c r="F62" s="317">
        <f t="shared" si="0"/>
        <v>1.5</v>
      </c>
      <c r="I62" s="1367" t="s">
        <v>858</v>
      </c>
      <c r="J62" s="610" t="s">
        <v>859</v>
      </c>
      <c r="K62" s="610" t="s">
        <v>860</v>
      </c>
      <c r="L62" s="610" t="s">
        <v>861</v>
      </c>
      <c r="M62" s="1368" t="s">
        <v>862</v>
      </c>
      <c r="O62" s="1325" t="s">
        <v>409</v>
      </c>
      <c r="P62" s="1326" t="s">
        <v>863</v>
      </c>
      <c r="Q62" s="1327">
        <f ca="1">Q56+Q57</f>
        <v>49775</v>
      </c>
      <c r="R62" s="1327" t="s">
        <v>410</v>
      </c>
    </row>
    <row r="63" spans="1:18" s="1292" customFormat="1" ht="13.5" thickBot="1">
      <c r="A63" s="318"/>
      <c r="B63" s="902"/>
      <c r="C63" s="26"/>
      <c r="D63" s="912"/>
      <c r="E63" s="896" t="s">
        <v>788</v>
      </c>
      <c r="F63" s="295">
        <f t="shared" ca="1" si="0"/>
        <v>21989.41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61.35</v>
      </c>
      <c r="D64" s="910" t="s">
        <v>791</v>
      </c>
      <c r="E64" s="896" t="s">
        <v>783</v>
      </c>
      <c r="F64" s="320">
        <f ca="1">M22</f>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23.93</v>
      </c>
      <c r="D65" s="910" t="s">
        <v>743</v>
      </c>
      <c r="E65" s="896" t="s">
        <v>744</v>
      </c>
      <c r="F65" s="321">
        <f t="shared" ca="1" si="0"/>
        <v>1E-3</v>
      </c>
      <c r="I65" s="1367" t="s">
        <v>867</v>
      </c>
      <c r="J65" s="610">
        <v>40</v>
      </c>
      <c r="K65" s="610">
        <v>30</v>
      </c>
      <c r="L65" s="610">
        <v>50</v>
      </c>
      <c r="M65" s="1369">
        <v>0.02</v>
      </c>
      <c r="O65" s="1325" t="s">
        <v>403</v>
      </c>
      <c r="P65" s="1326" t="s">
        <v>868</v>
      </c>
      <c r="Q65" s="1327">
        <f ca="1">C40+J29</f>
        <v>49775</v>
      </c>
      <c r="R65" s="1327" t="s">
        <v>818</v>
      </c>
    </row>
    <row r="66" spans="1:18" s="1292" customFormat="1" ht="16.5" thickBot="1">
      <c r="A66" s="928" t="s">
        <v>793</v>
      </c>
      <c r="B66" s="896" t="s">
        <v>728</v>
      </c>
      <c r="C66" s="21">
        <f ca="1">ROUND(C48*F66,2)</f>
        <v>52.31</v>
      </c>
      <c r="D66" s="910" t="s">
        <v>794</v>
      </c>
      <c r="E66" s="896" t="s">
        <v>712</v>
      </c>
      <c r="F66" s="304">
        <f ca="1">M24</f>
        <v>0.01</v>
      </c>
      <c r="O66" s="1325" t="s">
        <v>404</v>
      </c>
      <c r="P66" s="1326" t="s">
        <v>846</v>
      </c>
      <c r="Q66" s="1327">
        <f ca="1">L60</f>
        <v>0</v>
      </c>
      <c r="R66" s="1327" t="s">
        <v>869</v>
      </c>
    </row>
    <row r="67" spans="1:18" s="1292" customFormat="1" ht="16.5" thickBot="1">
      <c r="A67" s="903" t="s">
        <v>394</v>
      </c>
      <c r="B67" s="913" t="s">
        <v>752</v>
      </c>
      <c r="C67" s="308">
        <f ca="1">C48-C58</f>
        <v>4214</v>
      </c>
      <c r="D67" s="909" t="s">
        <v>753</v>
      </c>
      <c r="E67" s="914"/>
      <c r="F67" s="915"/>
      <c r="O67" s="1334" t="s">
        <v>405</v>
      </c>
      <c r="P67" s="1326" t="s">
        <v>850</v>
      </c>
      <c r="Q67" s="1370">
        <f ca="1">L51</f>
        <v>17428</v>
      </c>
      <c r="R67" s="1327" t="s">
        <v>870</v>
      </c>
    </row>
    <row r="68" spans="1:18" s="1292" customFormat="1" ht="16.5" thickBot="1">
      <c r="A68" s="893" t="s">
        <v>395</v>
      </c>
      <c r="B68" s="894" t="s">
        <v>774</v>
      </c>
      <c r="C68" s="293">
        <f ca="1">ROUND(C67*(1-((1+F70)/(1+F68))^F69)/(F68-F70),0)</f>
        <v>39704</v>
      </c>
      <c r="D68" s="911" t="s">
        <v>758</v>
      </c>
      <c r="E68" s="896" t="s">
        <v>759</v>
      </c>
      <c r="F68" s="304">
        <f ca="1">F40</f>
        <v>5.5E-2</v>
      </c>
      <c r="O68" s="1334" t="s">
        <v>406</v>
      </c>
      <c r="P68" s="1371" t="s">
        <v>871</v>
      </c>
      <c r="Q68" s="1327">
        <f ca="1">ROUND(Q69-Q70*Q71,0)</f>
        <v>969</v>
      </c>
      <c r="R68" s="1327" t="s">
        <v>414</v>
      </c>
    </row>
    <row r="69" spans="1:18" s="1292" customFormat="1" ht="13.5" thickBot="1">
      <c r="A69" s="897"/>
      <c r="B69" s="898"/>
      <c r="C69" s="298"/>
      <c r="D69" s="916" t="s">
        <v>762</v>
      </c>
      <c r="E69" s="896" t="s">
        <v>763</v>
      </c>
      <c r="F69" s="324">
        <f ca="1">F41</f>
        <v>11.86</v>
      </c>
      <c r="O69" s="1334" t="s">
        <v>411</v>
      </c>
      <c r="P69" s="1371" t="s">
        <v>872</v>
      </c>
      <c r="Q69" s="1327">
        <f ca="1">C39</f>
        <v>2644</v>
      </c>
      <c r="R69" s="1327" t="s">
        <v>818</v>
      </c>
    </row>
    <row r="70" spans="1:18" s="1292" customFormat="1" ht="13.5" thickBot="1">
      <c r="A70" s="900"/>
      <c r="B70" s="901"/>
      <c r="C70" s="302"/>
      <c r="D70" s="912"/>
      <c r="E70" s="896" t="s">
        <v>766</v>
      </c>
      <c r="F70" s="991">
        <v>0.02</v>
      </c>
      <c r="O70" s="1334" t="s">
        <v>412</v>
      </c>
      <c r="P70" s="1371" t="s">
        <v>873</v>
      </c>
      <c r="Q70" s="1327">
        <f ca="1">C13</f>
        <v>23925</v>
      </c>
      <c r="R70" s="1327" t="s">
        <v>818</v>
      </c>
    </row>
    <row r="71" spans="1:18" s="1292" customFormat="1" ht="13.5" thickBot="1">
      <c r="A71" s="917" t="s">
        <v>396</v>
      </c>
      <c r="B71" s="918" t="s">
        <v>776</v>
      </c>
      <c r="C71" s="327">
        <f ca="1">ROUND(C68*10000/F71,0)</f>
        <v>7764</v>
      </c>
      <c r="D71" s="919" t="s">
        <v>777</v>
      </c>
      <c r="E71" s="920" t="s">
        <v>778</v>
      </c>
      <c r="F71" s="330">
        <f ca="1">F43</f>
        <v>51136.03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1675</v>
      </c>
      <c r="D75" s="1292"/>
      <c r="E75" s="1292"/>
      <c r="F75" s="1292"/>
      <c r="K75" s="1309"/>
      <c r="L75" s="1292"/>
      <c r="O75" s="1325" t="s">
        <v>409</v>
      </c>
      <c r="P75" s="1326" t="s">
        <v>838</v>
      </c>
      <c r="Q75" s="1327">
        <f ca="1">Q65+Q66</f>
        <v>49775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0.36599999999999999</v>
      </c>
    </row>
    <row r="80" spans="1:18">
      <c r="B80" s="331" t="s">
        <v>800</v>
      </c>
      <c r="C80" s="266">
        <f ca="1">ROUND(C75/C39,3)</f>
        <v>0.63400000000000001</v>
      </c>
    </row>
    <row r="81" spans="2:3">
      <c r="B81" s="262" t="s">
        <v>801</v>
      </c>
      <c r="C81" s="230"/>
    </row>
    <row r="82" spans="2:3">
      <c r="B82" s="265" t="s">
        <v>802</v>
      </c>
      <c r="C82" s="267">
        <f ca="1">1-C83</f>
        <v>-5.8999999999999941E-2</v>
      </c>
    </row>
    <row r="83" spans="2:3">
      <c r="B83" s="265" t="s">
        <v>803</v>
      </c>
      <c r="C83" s="266">
        <f ca="1">ROUND(C13/C40,3)</f>
        <v>1.0589999999999999</v>
      </c>
    </row>
  </sheetData>
  <sheetProtection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I1:T16"/>
  <sheetViews>
    <sheetView zoomScaleNormal="100" workbookViewId="0">
      <selection activeCell="J33" sqref="J33"/>
    </sheetView>
  </sheetViews>
  <sheetFormatPr defaultRowHeight="13.5"/>
  <cols>
    <col min="10" max="10" width="10.5" bestFit="1" customWidth="1"/>
    <col min="12" max="12" width="10.5" bestFit="1" customWidth="1"/>
    <col min="16" max="16" width="11.625" bestFit="1" customWidth="1"/>
    <col min="17" max="17" width="9.5" bestFit="1" customWidth="1"/>
  </cols>
  <sheetData>
    <row r="1" spans="9:20">
      <c r="J1" s="1405" t="s">
        <v>3418</v>
      </c>
      <c r="K1" s="1405" t="s">
        <v>3419</v>
      </c>
      <c r="L1" s="1405" t="s">
        <v>3435</v>
      </c>
      <c r="M1" s="1405" t="s">
        <v>3434</v>
      </c>
    </row>
    <row r="2" spans="9:20">
      <c r="J2">
        <v>43123.92</v>
      </c>
      <c r="K2">
        <v>8400.16</v>
      </c>
      <c r="L2">
        <v>51524.08</v>
      </c>
      <c r="M2">
        <f>Q12</f>
        <v>51136.03</v>
      </c>
    </row>
    <row r="3" spans="9:20">
      <c r="J3" s="1405" t="s">
        <v>3416</v>
      </c>
      <c r="K3" s="1405" t="s">
        <v>3417</v>
      </c>
    </row>
    <row r="4" spans="9:20">
      <c r="I4">
        <v>2025</v>
      </c>
      <c r="J4">
        <v>28631480</v>
      </c>
      <c r="K4">
        <v>1000000</v>
      </c>
    </row>
    <row r="5" spans="9:20">
      <c r="I5">
        <v>2026</v>
      </c>
      <c r="J5">
        <v>28631480</v>
      </c>
      <c r="K5">
        <v>1000000</v>
      </c>
      <c r="N5" t="s">
        <v>3420</v>
      </c>
      <c r="O5" t="s">
        <v>3421</v>
      </c>
      <c r="P5" t="s">
        <v>3422</v>
      </c>
      <c r="Q5" t="s">
        <v>3423</v>
      </c>
      <c r="R5" t="s">
        <v>3424</v>
      </c>
    </row>
    <row r="6" spans="9:20">
      <c r="I6">
        <v>2027</v>
      </c>
      <c r="J6">
        <v>30635683</v>
      </c>
      <c r="K6">
        <v>1000000</v>
      </c>
      <c r="N6">
        <v>1</v>
      </c>
      <c r="O6">
        <v>1</v>
      </c>
      <c r="P6">
        <v>4.5</v>
      </c>
      <c r="Q6" s="3154">
        <f>位置面积!G55/5</f>
        <v>9052.1239999999998</v>
      </c>
    </row>
    <row r="7" spans="9:20">
      <c r="I7">
        <v>2028</v>
      </c>
      <c r="J7">
        <v>30635683</v>
      </c>
      <c r="K7">
        <v>1000000</v>
      </c>
      <c r="N7">
        <v>2</v>
      </c>
      <c r="O7">
        <v>0.75</v>
      </c>
      <c r="P7">
        <f>ROUND(P6*O7,2)</f>
        <v>3.38</v>
      </c>
      <c r="Q7" s="3154">
        <f>Q6</f>
        <v>9052.1239999999998</v>
      </c>
    </row>
    <row r="8" spans="9:20">
      <c r="I8">
        <v>2029</v>
      </c>
      <c r="J8">
        <v>30635683</v>
      </c>
      <c r="K8">
        <v>1000000</v>
      </c>
      <c r="N8">
        <v>3</v>
      </c>
      <c r="O8">
        <v>0.7</v>
      </c>
      <c r="P8">
        <f>P6*O8</f>
        <v>3.15</v>
      </c>
      <c r="Q8" s="3154">
        <f>Q7</f>
        <v>9052.1239999999998</v>
      </c>
    </row>
    <row r="9" spans="9:20">
      <c r="I9">
        <v>2030</v>
      </c>
      <c r="J9">
        <v>30635683</v>
      </c>
      <c r="K9">
        <v>1000000</v>
      </c>
      <c r="N9">
        <v>4</v>
      </c>
      <c r="O9">
        <v>0.7</v>
      </c>
      <c r="P9">
        <f>P6*O9</f>
        <v>3.15</v>
      </c>
      <c r="Q9" s="3154">
        <f>Q8</f>
        <v>9052.1239999999998</v>
      </c>
    </row>
    <row r="10" spans="9:20">
      <c r="I10">
        <v>2031</v>
      </c>
      <c r="J10">
        <v>30635683</v>
      </c>
      <c r="K10">
        <v>1000000</v>
      </c>
      <c r="N10">
        <v>5</v>
      </c>
      <c r="O10">
        <v>0.7</v>
      </c>
      <c r="P10">
        <f>P6*O10</f>
        <v>3.15</v>
      </c>
      <c r="Q10" s="3154">
        <f>Q9</f>
        <v>9052.1239999999998</v>
      </c>
      <c r="S10">
        <v>500</v>
      </c>
    </row>
    <row r="11" spans="9:20">
      <c r="I11">
        <v>2032</v>
      </c>
      <c r="J11">
        <v>32780181</v>
      </c>
      <c r="K11">
        <v>1000000</v>
      </c>
      <c r="N11" s="1405" t="s">
        <v>3432</v>
      </c>
      <c r="P11">
        <v>0.4</v>
      </c>
      <c r="Q11">
        <f>'数据-汇总表'!G19</f>
        <v>5875.41</v>
      </c>
      <c r="R11">
        <v>160</v>
      </c>
      <c r="S11">
        <f>Q11/R11</f>
        <v>36.721312499999996</v>
      </c>
      <c r="T11">
        <f>S10/30/S11</f>
        <v>0.45386903495529113</v>
      </c>
    </row>
    <row r="12" spans="9:20">
      <c r="I12">
        <v>2033</v>
      </c>
      <c r="J12">
        <v>32780181</v>
      </c>
      <c r="K12">
        <v>1000000</v>
      </c>
      <c r="P12">
        <f>ROUND((P6*Q6+P7*Q7+P8*Q8+P9*Q9+P10*Q10+P11*Q11)/Q12,2)</f>
        <v>3.11</v>
      </c>
      <c r="Q12">
        <f>SUM(Q6:Q11)</f>
        <v>51136.03</v>
      </c>
    </row>
    <row r="13" spans="9:20">
      <c r="I13">
        <v>2034</v>
      </c>
      <c r="J13">
        <v>32780181</v>
      </c>
      <c r="K13">
        <v>1000000</v>
      </c>
      <c r="P13">
        <f>ROUND(P12*(1+2%)^11,2)</f>
        <v>3.87</v>
      </c>
    </row>
    <row r="14" spans="9:20">
      <c r="I14">
        <v>2035</v>
      </c>
      <c r="J14">
        <v>32780181</v>
      </c>
      <c r="K14">
        <v>1000000</v>
      </c>
      <c r="P14" s="3165">
        <f>项目基本情况!D3</f>
        <v>45712</v>
      </c>
    </row>
    <row r="15" spans="9:20">
      <c r="I15">
        <v>2036</v>
      </c>
      <c r="J15">
        <v>32780181</v>
      </c>
      <c r="K15">
        <v>1134257</v>
      </c>
      <c r="M15" s="1405" t="s">
        <v>3435</v>
      </c>
      <c r="N15" s="1405" t="s">
        <v>3434</v>
      </c>
      <c r="P15" s="3165">
        <v>50040</v>
      </c>
    </row>
    <row r="16" spans="9:20">
      <c r="J16">
        <f>SUM(J4:J15)</f>
        <v>374342280</v>
      </c>
      <c r="K16">
        <f>SUM(K4:K15)</f>
        <v>12134257</v>
      </c>
      <c r="L16">
        <f>J16+K16</f>
        <v>386476537</v>
      </c>
      <c r="M16">
        <f>ROUND(L16/L2/12/365,2)</f>
        <v>1.71</v>
      </c>
      <c r="N16">
        <f>ROUND(L16/M2/12/365,2)</f>
        <v>1.73</v>
      </c>
      <c r="P16">
        <f>ROUND((P15-P14)/365,2)</f>
        <v>11.86</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0</v>
      </c>
      <c r="D6" s="147" t="s">
        <v>2106</v>
      </c>
      <c r="E6" s="294" t="s">
        <v>696</v>
      </c>
      <c r="F6" s="295">
        <f ca="1">INDIRECT("'数据-取费表'!u"&amp;$G$1)</f>
        <v>0</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Q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75" t="s">
        <v>2308</v>
      </c>
      <c r="K2" s="3376"/>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7" t="s">
        <v>2318</v>
      </c>
      <c r="K3" s="3378"/>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7" t="s">
        <v>2320</v>
      </c>
      <c r="K4" s="3378"/>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9" t="s">
        <v>2324</v>
      </c>
      <c r="B6" s="3380"/>
      <c r="C6" s="3381"/>
      <c r="D6" s="2622"/>
      <c r="E6" s="2623"/>
      <c r="F6" s="2624"/>
      <c r="G6" s="2625"/>
      <c r="H6" s="2600"/>
      <c r="I6" s="2601"/>
      <c r="J6" s="3382">
        <v>1</v>
      </c>
      <c r="K6" s="338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82"/>
      <c r="K7" s="338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6" t="s">
        <v>2338</v>
      </c>
      <c r="C8" s="3387"/>
      <c r="D8" s="2641" t="s">
        <v>2339</v>
      </c>
      <c r="E8" s="2642" t="s">
        <v>2340</v>
      </c>
      <c r="F8" s="2643" t="s">
        <v>2341</v>
      </c>
      <c r="G8" s="2644"/>
      <c r="H8" s="2600"/>
      <c r="I8" s="2601"/>
      <c r="J8" s="3382"/>
      <c r="K8" s="338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6" t="s">
        <v>2344</v>
      </c>
      <c r="C9" s="3387"/>
      <c r="D9" s="2641">
        <f>ROUND(D6*E9,0)</f>
        <v>0</v>
      </c>
      <c r="E9" s="2645"/>
      <c r="F9" s="2646" t="s">
        <v>2345</v>
      </c>
      <c r="G9" s="2625"/>
      <c r="H9" s="2600"/>
      <c r="I9" s="2601"/>
      <c r="J9" s="3382"/>
      <c r="K9" s="3384"/>
      <c r="L9" s="2635" t="s">
        <v>2346</v>
      </c>
      <c r="M9" s="2636"/>
      <c r="N9" s="2612"/>
      <c r="O9" s="2637"/>
      <c r="P9" s="2637"/>
      <c r="Q9" s="2638">
        <v>365</v>
      </c>
      <c r="R9" s="2639">
        <f t="shared" si="0"/>
        <v>0</v>
      </c>
      <c r="S9" s="2593"/>
      <c r="T9" s="2593"/>
      <c r="U9" s="2593"/>
      <c r="V9" s="2601"/>
    </row>
    <row r="10" spans="1:22" s="2605" customFormat="1" ht="13.15" customHeight="1">
      <c r="A10" s="2640">
        <v>2</v>
      </c>
      <c r="B10" s="3386" t="s">
        <v>2347</v>
      </c>
      <c r="C10" s="3387"/>
      <c r="D10" s="2641">
        <f>ROUND(D6*E10,0)</f>
        <v>0</v>
      </c>
      <c r="E10" s="2645"/>
      <c r="F10" s="2646" t="s">
        <v>2348</v>
      </c>
      <c r="G10" s="2625"/>
      <c r="H10" s="2600"/>
      <c r="I10" s="2601"/>
      <c r="J10" s="3382"/>
      <c r="K10" s="3384"/>
      <c r="L10" s="2635" t="s">
        <v>2349</v>
      </c>
      <c r="M10" s="2636"/>
      <c r="N10" s="2612"/>
      <c r="O10" s="2637"/>
      <c r="P10" s="2637"/>
      <c r="Q10" s="2638">
        <v>365</v>
      </c>
      <c r="R10" s="2639">
        <f t="shared" si="0"/>
        <v>0</v>
      </c>
      <c r="S10" s="2593"/>
      <c r="T10" s="2593"/>
      <c r="U10" s="2593"/>
      <c r="V10" s="2601"/>
    </row>
    <row r="11" spans="1:22" s="2605" customFormat="1" ht="13.15" customHeight="1">
      <c r="A11" s="2640">
        <v>3</v>
      </c>
      <c r="B11" s="3386" t="s">
        <v>2350</v>
      </c>
      <c r="C11" s="3387"/>
      <c r="D11" s="2641">
        <f>D12+D14+D15+D16</f>
        <v>0</v>
      </c>
      <c r="E11" s="2647" t="e">
        <f>D11/D6</f>
        <v>#DIV/0!</v>
      </c>
      <c r="F11" s="2643"/>
      <c r="G11" s="2644"/>
      <c r="H11" s="2600"/>
      <c r="I11" s="2601"/>
      <c r="J11" s="3382"/>
      <c r="K11" s="338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8" t="s">
        <v>2353</v>
      </c>
      <c r="C12" s="3389"/>
      <c r="D12" s="2649">
        <f>ROUND(D13*1.2%*(1-30%),0)</f>
        <v>0</v>
      </c>
      <c r="E12" s="2650">
        <v>1.2E-2</v>
      </c>
      <c r="F12" s="2643" t="s">
        <v>2354</v>
      </c>
      <c r="G12" s="2644"/>
      <c r="H12" s="2600"/>
      <c r="I12" s="2601"/>
      <c r="J12" s="3382"/>
      <c r="K12" s="338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82"/>
      <c r="K13" s="338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8" t="s">
        <v>2359</v>
      </c>
      <c r="C14" s="3389"/>
      <c r="D14" s="2649">
        <f>ROUND(E14*B5/10000,0)</f>
        <v>0</v>
      </c>
      <c r="E14" s="2638"/>
      <c r="F14" s="2643" t="s">
        <v>2360</v>
      </c>
      <c r="G14" s="2644"/>
      <c r="H14" s="2600"/>
      <c r="I14" s="2601"/>
      <c r="J14" s="3382"/>
      <c r="K14" s="338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8" t="s">
        <v>2363</v>
      </c>
      <c r="C15" s="3389"/>
      <c r="D15" s="2649">
        <f>ROUND(D6*E15,0)</f>
        <v>0</v>
      </c>
      <c r="E15" s="2650">
        <v>5.5E-2</v>
      </c>
      <c r="F15" s="2643" t="s">
        <v>2364</v>
      </c>
      <c r="G15" s="2625"/>
      <c r="H15" s="2600"/>
      <c r="I15" s="2601"/>
      <c r="J15" s="3382">
        <v>2</v>
      </c>
      <c r="K15" s="338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8" t="s">
        <v>2372</v>
      </c>
      <c r="C16" s="3389"/>
      <c r="D16" s="2660">
        <f>D6*E16</f>
        <v>0</v>
      </c>
      <c r="E16" s="2661"/>
      <c r="F16" s="2646" t="s">
        <v>2373</v>
      </c>
      <c r="G16" s="2625"/>
      <c r="H16" s="2600"/>
      <c r="I16" s="2601"/>
      <c r="J16" s="3382"/>
      <c r="K16" s="338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0" t="s">
        <v>2375</v>
      </c>
      <c r="C17" s="3391"/>
      <c r="D17" s="2663">
        <f>ROUND(D6*E17,0)</f>
        <v>0</v>
      </c>
      <c r="E17" s="2664"/>
      <c r="F17" s="2665" t="s">
        <v>2376</v>
      </c>
      <c r="G17" s="2625"/>
      <c r="H17" s="2600"/>
      <c r="I17" s="2601"/>
      <c r="J17" s="3382"/>
      <c r="K17" s="338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82"/>
      <c r="K18" s="338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2"/>
      <c r="K19" s="338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2">
        <v>3</v>
      </c>
      <c r="K20" s="338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2"/>
      <c r="K21" s="338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2"/>
      <c r="K22" s="338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82"/>
      <c r="K23" s="338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2"/>
      <c r="K24" s="338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92">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5" t="s">
        <v>2308</v>
      </c>
      <c r="K32" s="3376"/>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7" t="s">
        <v>2318</v>
      </c>
      <c r="K33" s="3378"/>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7" t="s">
        <v>2320</v>
      </c>
      <c r="K34" s="33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82">
        <v>1</v>
      </c>
      <c r="K36" s="338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2"/>
      <c r="K37" s="338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2"/>
      <c r="K38" s="338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82"/>
      <c r="K39" s="338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82"/>
      <c r="K40" s="338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2">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51907</v>
      </c>
      <c r="C2" s="1729" t="s">
        <v>1651</v>
      </c>
      <c r="D2" s="1730" t="s">
        <v>1652</v>
      </c>
      <c r="E2" s="2393">
        <f>SUM(E6:E13)</f>
        <v>51136.03</v>
      </c>
      <c r="F2" s="2480"/>
      <c r="G2" s="459"/>
      <c r="H2" s="459"/>
      <c r="I2" s="459"/>
      <c r="J2" s="459"/>
      <c r="K2" s="459"/>
      <c r="L2" s="459"/>
      <c r="M2" s="459"/>
      <c r="N2" s="459"/>
      <c r="O2" s="459"/>
      <c r="P2" s="459"/>
      <c r="Q2" s="459"/>
      <c r="R2" s="459"/>
      <c r="S2" s="459"/>
    </row>
    <row r="3" spans="1:22" ht="15.75">
      <c r="A3" s="1728" t="s">
        <v>686</v>
      </c>
      <c r="B3" s="2387">
        <f ca="1">ROUND(B2*10000/E2,0)</f>
        <v>10151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4" t="s">
        <v>1654</v>
      </c>
      <c r="C5" s="339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51907</v>
      </c>
      <c r="C6" s="1729" t="s">
        <v>1651</v>
      </c>
      <c r="D6" s="2480"/>
      <c r="E6" s="2392">
        <f>IF(OR(A6=0,F6="否"),0,'数据-取费表'!K6+'数据-取费表'!S6)</f>
        <v>51136.03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51136.03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4" t="s">
        <v>1667</v>
      </c>
      <c r="D4" s="3415"/>
      <c r="E4" s="3416" t="s">
        <v>1668</v>
      </c>
      <c r="F4" s="3417"/>
      <c r="G4" s="3414" t="s">
        <v>1669</v>
      </c>
      <c r="H4" s="3415"/>
      <c r="I4" s="3414" t="s">
        <v>1670</v>
      </c>
      <c r="J4" s="3415"/>
      <c r="K4" s="1744" t="s">
        <v>1671</v>
      </c>
      <c r="L4" s="2487"/>
      <c r="M4" s="2488"/>
      <c r="N4" s="2488"/>
      <c r="O4" s="2488"/>
      <c r="P4" s="3418" t="s">
        <v>1672</v>
      </c>
      <c r="Q4" s="3419"/>
      <c r="R4" s="3401" t="s">
        <v>1668</v>
      </c>
      <c r="S4" s="3402"/>
      <c r="T4" s="3401" t="s">
        <v>1669</v>
      </c>
      <c r="U4" s="3402"/>
      <c r="V4" s="3426" t="s">
        <v>1670</v>
      </c>
      <c r="W4" s="3426"/>
      <c r="X4" s="1265"/>
      <c r="Y4" s="3401" t="s">
        <v>1672</v>
      </c>
      <c r="Z4" s="3402"/>
      <c r="AA4" s="3396" t="s">
        <v>1668</v>
      </c>
      <c r="AB4" s="3396" t="s">
        <v>1669</v>
      </c>
      <c r="AC4" s="3396" t="s">
        <v>1670</v>
      </c>
    </row>
    <row r="5" spans="1:29" ht="15">
      <c r="A5" s="348"/>
      <c r="B5" s="349"/>
      <c r="C5" s="3407" t="s">
        <v>1673</v>
      </c>
      <c r="D5" s="3408"/>
      <c r="E5" s="3405" t="s">
        <v>1674</v>
      </c>
      <c r="F5" s="3406"/>
      <c r="G5" s="3407" t="s">
        <v>1675</v>
      </c>
      <c r="H5" s="3408"/>
      <c r="I5" s="3407" t="s">
        <v>1676</v>
      </c>
      <c r="J5" s="3408"/>
      <c r="K5" s="1745"/>
      <c r="L5" s="2487"/>
      <c r="M5" s="2488"/>
      <c r="N5" s="2488"/>
      <c r="O5" s="2488"/>
      <c r="P5" s="3420"/>
      <c r="Q5" s="3421"/>
      <c r="R5" s="3403"/>
      <c r="S5" s="3404"/>
      <c r="T5" s="3403"/>
      <c r="U5" s="3404"/>
      <c r="V5" s="3426"/>
      <c r="W5" s="3426"/>
      <c r="X5" s="1265"/>
      <c r="Y5" s="3403"/>
      <c r="Z5" s="3404"/>
      <c r="AA5" s="3397"/>
      <c r="AB5" s="3397"/>
      <c r="AC5" s="3397"/>
    </row>
    <row r="6" spans="1:29" ht="15.75" thickBot="1">
      <c r="A6" s="350"/>
      <c r="B6" s="351"/>
      <c r="C6" s="3409" t="s">
        <v>1677</v>
      </c>
      <c r="D6" s="3410"/>
      <c r="E6" s="3411" t="s">
        <v>1677</v>
      </c>
      <c r="F6" s="3412"/>
      <c r="G6" s="3409" t="s">
        <v>1677</v>
      </c>
      <c r="H6" s="3410"/>
      <c r="I6" s="3409" t="s">
        <v>1677</v>
      </c>
      <c r="J6" s="3410"/>
      <c r="K6" s="1745" t="s">
        <v>1678</v>
      </c>
      <c r="L6" s="2487"/>
      <c r="M6" s="2488"/>
      <c r="N6" s="2488"/>
      <c r="O6" s="2488"/>
      <c r="P6" s="3422"/>
      <c r="Q6" s="3423"/>
      <c r="R6" s="3403"/>
      <c r="S6" s="3404"/>
      <c r="T6" s="3424"/>
      <c r="U6" s="3425"/>
      <c r="V6" s="3426"/>
      <c r="W6" s="3426"/>
      <c r="X6" s="1265"/>
      <c r="Y6" s="3424"/>
      <c r="Z6" s="3425"/>
      <c r="AA6" s="3398"/>
      <c r="AB6" s="3398"/>
      <c r="AC6" s="3398"/>
    </row>
    <row r="7" spans="1:29" s="102" customFormat="1" ht="15.7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9" t="s">
        <v>1680</v>
      </c>
      <c r="Q7" s="3427"/>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3"/>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3"/>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3"/>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3"/>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9" t="s">
        <v>1691</v>
      </c>
      <c r="Q15" s="1263" t="str">
        <f t="shared" si="6"/>
        <v>居住社区成熟度</v>
      </c>
      <c r="R15" s="667" t="s">
        <v>18</v>
      </c>
      <c r="S15" s="668">
        <f t="shared" si="0"/>
        <v>100</v>
      </c>
      <c r="T15" s="667" t="s">
        <v>18</v>
      </c>
      <c r="U15" s="668">
        <f t="shared" si="1"/>
        <v>100</v>
      </c>
      <c r="V15" s="667" t="s">
        <v>18</v>
      </c>
      <c r="W15" s="668">
        <f t="shared" si="2"/>
        <v>100</v>
      </c>
      <c r="X15" s="1265"/>
      <c r="Y15" s="343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0"/>
      <c r="Q16" s="1263"/>
      <c r="R16" s="667"/>
      <c r="S16" s="668"/>
      <c r="T16" s="667"/>
      <c r="U16" s="668"/>
      <c r="V16" s="667"/>
      <c r="W16" s="668"/>
      <c r="X16" s="1265"/>
      <c r="Y16" s="343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0"/>
      <c r="Q17" s="1263" t="str">
        <f>B17</f>
        <v>交通便捷度</v>
      </c>
      <c r="R17" s="667" t="s">
        <v>18</v>
      </c>
      <c r="S17" s="668">
        <f>F17</f>
        <v>100</v>
      </c>
      <c r="T17" s="667" t="s">
        <v>18</v>
      </c>
      <c r="U17" s="668">
        <f>H17</f>
        <v>100</v>
      </c>
      <c r="V17" s="667" t="s">
        <v>18</v>
      </c>
      <c r="W17" s="668">
        <f>J17</f>
        <v>100</v>
      </c>
      <c r="X17" s="1265"/>
      <c r="Y17" s="34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0"/>
      <c r="Q18" s="1263"/>
      <c r="R18" s="667"/>
      <c r="S18" s="668"/>
      <c r="T18" s="667"/>
      <c r="U18" s="668"/>
      <c r="V18" s="667"/>
      <c r="W18" s="668"/>
      <c r="X18" s="1265"/>
      <c r="Y18" s="343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0"/>
      <c r="Q19" s="1263" t="str">
        <f>B19</f>
        <v>公共配套设施</v>
      </c>
      <c r="R19" s="667" t="s">
        <v>18</v>
      </c>
      <c r="S19" s="668">
        <f>F19</f>
        <v>100</v>
      </c>
      <c r="T19" s="667" t="s">
        <v>18</v>
      </c>
      <c r="U19" s="668">
        <f>H19</f>
        <v>100</v>
      </c>
      <c r="V19" s="667" t="s">
        <v>18</v>
      </c>
      <c r="W19" s="668">
        <f>J19</f>
        <v>100</v>
      </c>
      <c r="X19" s="1265"/>
      <c r="Y19" s="34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0"/>
      <c r="Q20" s="1263"/>
      <c r="R20" s="667"/>
      <c r="S20" s="668"/>
      <c r="T20" s="667"/>
      <c r="U20" s="668"/>
      <c r="V20" s="667"/>
      <c r="W20" s="668"/>
      <c r="X20" s="1265"/>
      <c r="Y20" s="343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0"/>
      <c r="Q22" s="1263"/>
      <c r="R22" s="667"/>
      <c r="S22" s="668"/>
      <c r="T22" s="667"/>
      <c r="U22" s="668"/>
      <c r="V22" s="667"/>
      <c r="W22" s="668"/>
      <c r="X22" s="1265"/>
      <c r="Y22" s="343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0"/>
      <c r="Q23" s="1263" t="str">
        <f>B23</f>
        <v>自然及人文环境</v>
      </c>
      <c r="R23" s="667" t="s">
        <v>18</v>
      </c>
      <c r="S23" s="668">
        <f>F23</f>
        <v>100</v>
      </c>
      <c r="T23" s="667" t="s">
        <v>18</v>
      </c>
      <c r="U23" s="668">
        <f>H23</f>
        <v>100</v>
      </c>
      <c r="V23" s="667" t="s">
        <v>18</v>
      </c>
      <c r="W23" s="668">
        <f>J23</f>
        <v>100</v>
      </c>
      <c r="X23" s="1265"/>
      <c r="Y23" s="34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0"/>
      <c r="Q24" s="1263"/>
      <c r="R24" s="667"/>
      <c r="S24" s="668"/>
      <c r="T24" s="667"/>
      <c r="U24" s="668"/>
      <c r="V24" s="667"/>
      <c r="W24" s="668"/>
      <c r="X24" s="1265"/>
      <c r="Y24" s="343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0"/>
      <c r="Q26" s="1263" t="str">
        <f t="shared" si="11"/>
        <v>朝向</v>
      </c>
      <c r="R26" s="667" t="s">
        <v>18</v>
      </c>
      <c r="S26" s="668">
        <f t="shared" si="12"/>
        <v>100</v>
      </c>
      <c r="T26" s="667" t="s">
        <v>18</v>
      </c>
      <c r="U26" s="668">
        <f t="shared" si="13"/>
        <v>100</v>
      </c>
      <c r="V26" s="667" t="s">
        <v>18</v>
      </c>
      <c r="W26" s="668">
        <f t="shared" si="14"/>
        <v>100</v>
      </c>
      <c r="X26" s="1265"/>
      <c r="Y26" s="34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0"/>
      <c r="Q27" s="530">
        <f t="shared" si="11"/>
        <v>111</v>
      </c>
      <c r="R27" s="664" t="s">
        <v>18</v>
      </c>
      <c r="S27" s="665">
        <f t="shared" si="12"/>
        <v>100</v>
      </c>
      <c r="T27" s="664" t="s">
        <v>18</v>
      </c>
      <c r="U27" s="665">
        <f t="shared" si="13"/>
        <v>100</v>
      </c>
      <c r="V27" s="664" t="s">
        <v>18</v>
      </c>
      <c r="W27" s="665">
        <f t="shared" si="14"/>
        <v>100</v>
      </c>
      <c r="X27" s="666"/>
      <c r="Y27" s="34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0"/>
      <c r="Q28" s="1263">
        <f t="shared" si="11"/>
        <v>111</v>
      </c>
      <c r="R28" s="667" t="s">
        <v>18</v>
      </c>
      <c r="S28" s="668">
        <f t="shared" si="12"/>
        <v>100</v>
      </c>
      <c r="T28" s="667" t="s">
        <v>18</v>
      </c>
      <c r="U28" s="668">
        <f t="shared" si="13"/>
        <v>100</v>
      </c>
      <c r="V28" s="667" t="s">
        <v>18</v>
      </c>
      <c r="W28" s="668">
        <f t="shared" si="14"/>
        <v>100</v>
      </c>
      <c r="X28" s="1265"/>
      <c r="Y28" s="34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0"/>
      <c r="Q29" s="1263">
        <f t="shared" si="11"/>
        <v>111</v>
      </c>
      <c r="R29" s="667" t="s">
        <v>18</v>
      </c>
      <c r="S29" s="668">
        <f t="shared" si="12"/>
        <v>100</v>
      </c>
      <c r="T29" s="667" t="s">
        <v>18</v>
      </c>
      <c r="U29" s="668">
        <f t="shared" si="13"/>
        <v>100</v>
      </c>
      <c r="V29" s="667" t="s">
        <v>18</v>
      </c>
      <c r="W29" s="668">
        <f t="shared" si="14"/>
        <v>100</v>
      </c>
      <c r="X29" s="1265"/>
      <c r="Y29" s="34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0"/>
      <c r="Q30" s="1263">
        <f t="shared" si="11"/>
        <v>111</v>
      </c>
      <c r="R30" s="667" t="s">
        <v>18</v>
      </c>
      <c r="S30" s="668">
        <f t="shared" si="12"/>
        <v>100</v>
      </c>
      <c r="T30" s="667" t="s">
        <v>18</v>
      </c>
      <c r="U30" s="668">
        <f t="shared" si="13"/>
        <v>100</v>
      </c>
      <c r="V30" s="667" t="s">
        <v>18</v>
      </c>
      <c r="W30" s="668">
        <f t="shared" si="14"/>
        <v>100</v>
      </c>
      <c r="X30" s="1265"/>
      <c r="Y30" s="34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0"/>
      <c r="Q31" s="1263">
        <f t="shared" si="11"/>
        <v>111</v>
      </c>
      <c r="R31" s="667" t="s">
        <v>18</v>
      </c>
      <c r="S31" s="668">
        <f t="shared" si="12"/>
        <v>100</v>
      </c>
      <c r="T31" s="667" t="s">
        <v>18</v>
      </c>
      <c r="U31" s="668">
        <f t="shared" si="13"/>
        <v>100</v>
      </c>
      <c r="V31" s="667" t="s">
        <v>18</v>
      </c>
      <c r="W31" s="668">
        <f t="shared" si="14"/>
        <v>100</v>
      </c>
      <c r="X31" s="1265"/>
      <c r="Y31" s="343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4" t="s">
        <v>1696</v>
      </c>
      <c r="Q32" s="1263" t="str">
        <f t="shared" si="11"/>
        <v>建筑类型</v>
      </c>
      <c r="R32" s="667" t="s">
        <v>18</v>
      </c>
      <c r="S32" s="668">
        <f t="shared" si="12"/>
        <v>100</v>
      </c>
      <c r="T32" s="667" t="s">
        <v>18</v>
      </c>
      <c r="U32" s="668">
        <f t="shared" si="13"/>
        <v>100</v>
      </c>
      <c r="V32" s="667" t="s">
        <v>18</v>
      </c>
      <c r="W32" s="668">
        <f t="shared" si="14"/>
        <v>100</v>
      </c>
      <c r="X32" s="1265"/>
      <c r="Y32" s="343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5"/>
      <c r="Q33" s="531" t="str">
        <f t="shared" si="11"/>
        <v>项目建筑规模</v>
      </c>
      <c r="R33" s="669" t="s">
        <v>18</v>
      </c>
      <c r="S33" s="670" t="e">
        <f t="shared" si="12"/>
        <v>#N/A</v>
      </c>
      <c r="T33" s="669" t="s">
        <v>18</v>
      </c>
      <c r="U33" s="670" t="e">
        <f t="shared" si="13"/>
        <v>#N/A</v>
      </c>
      <c r="V33" s="669" t="s">
        <v>18</v>
      </c>
      <c r="W33" s="670" t="e">
        <f t="shared" si="14"/>
        <v>#N/A</v>
      </c>
      <c r="X33" s="671"/>
      <c r="Y33" s="343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5"/>
      <c r="Q34" s="1263" t="str">
        <f t="shared" si="11"/>
        <v>建筑结构</v>
      </c>
      <c r="R34" s="667" t="s">
        <v>18</v>
      </c>
      <c r="S34" s="668">
        <f t="shared" si="12"/>
        <v>100</v>
      </c>
      <c r="T34" s="667" t="s">
        <v>18</v>
      </c>
      <c r="U34" s="668">
        <f t="shared" si="13"/>
        <v>100</v>
      </c>
      <c r="V34" s="667" t="s">
        <v>18</v>
      </c>
      <c r="W34" s="668">
        <f t="shared" si="14"/>
        <v>100</v>
      </c>
      <c r="X34" s="1265"/>
      <c r="Y34" s="343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5"/>
      <c r="Q35" s="1263" t="str">
        <f t="shared" si="11"/>
        <v>建筑品质</v>
      </c>
      <c r="R35" s="667" t="s">
        <v>18</v>
      </c>
      <c r="S35" s="668">
        <f t="shared" si="12"/>
        <v>100</v>
      </c>
      <c r="T35" s="667" t="s">
        <v>18</v>
      </c>
      <c r="U35" s="668">
        <f t="shared" si="13"/>
        <v>100</v>
      </c>
      <c r="V35" s="667" t="s">
        <v>18</v>
      </c>
      <c r="W35" s="668">
        <f t="shared" si="14"/>
        <v>100</v>
      </c>
      <c r="X35" s="1265"/>
      <c r="Y35" s="343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5"/>
      <c r="Q36" s="1263" t="str">
        <f t="shared" si="11"/>
        <v>公共部分装修</v>
      </c>
      <c r="R36" s="667" t="s">
        <v>18</v>
      </c>
      <c r="S36" s="668">
        <f t="shared" si="12"/>
        <v>100</v>
      </c>
      <c r="T36" s="667" t="s">
        <v>18</v>
      </c>
      <c r="U36" s="668">
        <f t="shared" si="13"/>
        <v>100</v>
      </c>
      <c r="V36" s="667" t="s">
        <v>18</v>
      </c>
      <c r="W36" s="668">
        <f t="shared" si="14"/>
        <v>100</v>
      </c>
      <c r="X36" s="1265"/>
      <c r="Y36" s="343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5"/>
      <c r="Q37" s="530" t="str">
        <f t="shared" si="11"/>
        <v>成新度</v>
      </c>
      <c r="R37" s="664" t="s">
        <v>18</v>
      </c>
      <c r="S37" s="665" t="e">
        <f t="shared" si="12"/>
        <v>#N/A</v>
      </c>
      <c r="T37" s="664" t="s">
        <v>18</v>
      </c>
      <c r="U37" s="665" t="e">
        <f t="shared" si="13"/>
        <v>#N/A</v>
      </c>
      <c r="V37" s="664" t="s">
        <v>18</v>
      </c>
      <c r="W37" s="665" t="e">
        <f t="shared" si="14"/>
        <v>#N/A</v>
      </c>
      <c r="X37" s="666"/>
      <c r="Y37" s="343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5" t="s">
        <v>1696</v>
      </c>
      <c r="Q38" s="1263" t="str">
        <f t="shared" si="11"/>
        <v>物业管理</v>
      </c>
      <c r="R38" s="667" t="s">
        <v>18</v>
      </c>
      <c r="S38" s="668">
        <f t="shared" si="12"/>
        <v>100</v>
      </c>
      <c r="T38" s="667" t="s">
        <v>18</v>
      </c>
      <c r="U38" s="668">
        <f t="shared" si="13"/>
        <v>100</v>
      </c>
      <c r="V38" s="667" t="s">
        <v>18</v>
      </c>
      <c r="W38" s="668">
        <f t="shared" si="14"/>
        <v>100</v>
      </c>
      <c r="X38" s="1265"/>
      <c r="Y38" s="343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5"/>
      <c r="Q39" s="1263" t="str">
        <f t="shared" si="11"/>
        <v>市政基础设施</v>
      </c>
      <c r="R39" s="667" t="s">
        <v>18</v>
      </c>
      <c r="S39" s="668">
        <f t="shared" si="12"/>
        <v>100</v>
      </c>
      <c r="T39" s="667" t="s">
        <v>18</v>
      </c>
      <c r="U39" s="668">
        <f t="shared" si="13"/>
        <v>100</v>
      </c>
      <c r="V39" s="667" t="s">
        <v>18</v>
      </c>
      <c r="W39" s="668">
        <f t="shared" si="14"/>
        <v>100</v>
      </c>
      <c r="X39" s="1265"/>
      <c r="Y39" s="343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5"/>
      <c r="Q40" s="1263" t="str">
        <f t="shared" si="11"/>
        <v>房型</v>
      </c>
      <c r="R40" s="667" t="s">
        <v>18</v>
      </c>
      <c r="S40" s="668">
        <f t="shared" si="12"/>
        <v>100</v>
      </c>
      <c r="T40" s="667" t="s">
        <v>18</v>
      </c>
      <c r="U40" s="668">
        <f t="shared" si="13"/>
        <v>100</v>
      </c>
      <c r="V40" s="667" t="s">
        <v>18</v>
      </c>
      <c r="W40" s="668">
        <f t="shared" si="14"/>
        <v>100</v>
      </c>
      <c r="X40" s="1265"/>
      <c r="Y40" s="343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5"/>
      <c r="Q41" s="531" t="str">
        <f t="shared" si="11"/>
        <v>单套/主力户型建筑面积</v>
      </c>
      <c r="R41" s="669" t="s">
        <v>18</v>
      </c>
      <c r="S41" s="670">
        <f t="shared" si="12"/>
        <v>100</v>
      </c>
      <c r="T41" s="669" t="s">
        <v>18</v>
      </c>
      <c r="U41" s="670">
        <f t="shared" si="13"/>
        <v>100</v>
      </c>
      <c r="V41" s="669" t="s">
        <v>18</v>
      </c>
      <c r="W41" s="670">
        <f t="shared" si="14"/>
        <v>100</v>
      </c>
      <c r="X41" s="671"/>
      <c r="Y41" s="343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5"/>
      <c r="Q42" s="1263" t="str">
        <f t="shared" si="11"/>
        <v>内部装修</v>
      </c>
      <c r="R42" s="667" t="s">
        <v>18</v>
      </c>
      <c r="S42" s="668">
        <f t="shared" si="12"/>
        <v>100</v>
      </c>
      <c r="T42" s="667" t="s">
        <v>18</v>
      </c>
      <c r="U42" s="668">
        <f t="shared" si="13"/>
        <v>100</v>
      </c>
      <c r="V42" s="667" t="s">
        <v>18</v>
      </c>
      <c r="W42" s="668">
        <f t="shared" si="14"/>
        <v>100</v>
      </c>
      <c r="X42" s="1265"/>
      <c r="Y42" s="343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5"/>
      <c r="Q43" s="1263" t="str">
        <f t="shared" si="11"/>
        <v>内部装修维护情况</v>
      </c>
      <c r="R43" s="667" t="s">
        <v>18</v>
      </c>
      <c r="S43" s="668">
        <f t="shared" si="12"/>
        <v>100</v>
      </c>
      <c r="T43" s="667" t="s">
        <v>18</v>
      </c>
      <c r="U43" s="668">
        <f t="shared" si="13"/>
        <v>100</v>
      </c>
      <c r="V43" s="667" t="s">
        <v>18</v>
      </c>
      <c r="W43" s="668">
        <f t="shared" si="14"/>
        <v>100</v>
      </c>
      <c r="X43" s="1265"/>
      <c r="Y43" s="34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5"/>
      <c r="Q44" s="530">
        <f t="shared" si="11"/>
        <v>111</v>
      </c>
      <c r="R44" s="664" t="s">
        <v>18</v>
      </c>
      <c r="S44" s="665">
        <f t="shared" si="12"/>
        <v>100</v>
      </c>
      <c r="T44" s="664" t="s">
        <v>18</v>
      </c>
      <c r="U44" s="665">
        <f t="shared" si="13"/>
        <v>100</v>
      </c>
      <c r="V44" s="664" t="s">
        <v>18</v>
      </c>
      <c r="W44" s="665">
        <f t="shared" si="14"/>
        <v>100</v>
      </c>
      <c r="X44" s="666"/>
      <c r="Y44" s="34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5"/>
      <c r="Q45" s="1263">
        <f t="shared" si="11"/>
        <v>111</v>
      </c>
      <c r="R45" s="667" t="s">
        <v>18</v>
      </c>
      <c r="S45" s="668">
        <f t="shared" si="12"/>
        <v>100</v>
      </c>
      <c r="T45" s="667" t="s">
        <v>18</v>
      </c>
      <c r="U45" s="668">
        <f t="shared" si="13"/>
        <v>100</v>
      </c>
      <c r="V45" s="667" t="s">
        <v>18</v>
      </c>
      <c r="W45" s="668">
        <f t="shared" si="14"/>
        <v>100</v>
      </c>
      <c r="X45" s="1265"/>
      <c r="Y45" s="34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6"/>
      <c r="Q46" s="1263">
        <f t="shared" si="11"/>
        <v>111</v>
      </c>
      <c r="R46" s="667" t="s">
        <v>17</v>
      </c>
      <c r="S46" s="668">
        <f t="shared" si="12"/>
        <v>100</v>
      </c>
      <c r="T46" s="667" t="s">
        <v>17</v>
      </c>
      <c r="U46" s="668">
        <f t="shared" si="13"/>
        <v>100</v>
      </c>
      <c r="V46" s="667" t="s">
        <v>17</v>
      </c>
      <c r="W46" s="668">
        <f t="shared" si="14"/>
        <v>100</v>
      </c>
      <c r="X46" s="1265"/>
      <c r="Y46" s="343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估价对象为北京市房地产,为开发建设的，该项目尚在开发建设中。根据《国有土地使用证》[]，估价对象（分摊）出让国有建设用地使用权面积为21989.41平方米，规划建筑面积为51136.03平方米。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51136.03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01" t="s">
        <v>1771</v>
      </c>
      <c r="S4" s="3402"/>
      <c r="T4" s="3401" t="s">
        <v>1772</v>
      </c>
      <c r="U4" s="3402"/>
      <c r="V4" s="3426" t="s">
        <v>1773</v>
      </c>
      <c r="W4" s="3426"/>
      <c r="X4" s="1265"/>
      <c r="Y4" s="3401" t="s">
        <v>1775</v>
      </c>
      <c r="Z4" s="3402"/>
      <c r="AA4" s="3396" t="s">
        <v>1771</v>
      </c>
      <c r="AB4" s="3426" t="s">
        <v>1772</v>
      </c>
      <c r="AC4" s="3396" t="s">
        <v>1773</v>
      </c>
    </row>
    <row r="5" spans="1:29" ht="15">
      <c r="A5" s="348"/>
      <c r="B5" s="349"/>
      <c r="C5" s="3407" t="s">
        <v>1673</v>
      </c>
      <c r="D5" s="3408"/>
      <c r="E5" s="3405" t="s">
        <v>1674</v>
      </c>
      <c r="F5" s="3406"/>
      <c r="G5" s="3407" t="s">
        <v>1675</v>
      </c>
      <c r="H5" s="3408"/>
      <c r="I5" s="3407" t="s">
        <v>1676</v>
      </c>
      <c r="J5" s="3408"/>
      <c r="K5" s="537"/>
      <c r="L5" s="2487"/>
      <c r="M5" s="2488"/>
      <c r="N5" s="2488"/>
      <c r="O5" s="2488"/>
      <c r="P5" s="3420"/>
      <c r="Q5" s="3421"/>
      <c r="R5" s="3403"/>
      <c r="S5" s="3404"/>
      <c r="T5" s="3403"/>
      <c r="U5" s="3404"/>
      <c r="V5" s="3426"/>
      <c r="W5" s="3426"/>
      <c r="X5" s="1265"/>
      <c r="Y5" s="3403"/>
      <c r="Z5" s="3404"/>
      <c r="AA5" s="3397"/>
      <c r="AB5" s="3426"/>
      <c r="AC5" s="3397"/>
    </row>
    <row r="6" spans="1:29" ht="15.75" thickBot="1">
      <c r="A6" s="350"/>
      <c r="B6" s="351"/>
      <c r="C6" s="3409" t="s">
        <v>1677</v>
      </c>
      <c r="D6" s="3410"/>
      <c r="E6" s="3411" t="s">
        <v>1677</v>
      </c>
      <c r="F6" s="3412"/>
      <c r="G6" s="3409" t="s">
        <v>1677</v>
      </c>
      <c r="H6" s="3410"/>
      <c r="I6" s="3409" t="s">
        <v>1677</v>
      </c>
      <c r="J6" s="3410"/>
      <c r="K6" s="537" t="s">
        <v>1678</v>
      </c>
      <c r="L6" s="2487"/>
      <c r="M6" s="2488"/>
      <c r="N6" s="2488"/>
      <c r="O6" s="2488"/>
      <c r="P6" s="3422"/>
      <c r="Q6" s="3423"/>
      <c r="R6" s="3403"/>
      <c r="S6" s="3404"/>
      <c r="T6" s="3424"/>
      <c r="U6" s="3425"/>
      <c r="V6" s="3426"/>
      <c r="W6" s="3426"/>
      <c r="X6" s="1265"/>
      <c r="Y6" s="3424"/>
      <c r="Z6" s="3425"/>
      <c r="AA6" s="3398"/>
      <c r="AB6" s="3426"/>
      <c r="AC6" s="3398"/>
    </row>
    <row r="7" spans="1:29" s="102" customFormat="1" ht="15.7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3"/>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9" t="s">
        <v>1691</v>
      </c>
      <c r="Q15" s="1263" t="str">
        <f t="shared" si="6"/>
        <v>商业繁华度</v>
      </c>
      <c r="R15" s="667" t="s">
        <v>14</v>
      </c>
      <c r="S15" s="668">
        <f t="shared" si="0"/>
        <v>100</v>
      </c>
      <c r="T15" s="667" t="s">
        <v>14</v>
      </c>
      <c r="U15" s="668">
        <f t="shared" si="1"/>
        <v>100</v>
      </c>
      <c r="V15" s="667" t="s">
        <v>14</v>
      </c>
      <c r="W15" s="668">
        <f t="shared" si="2"/>
        <v>100</v>
      </c>
      <c r="X15" s="1265"/>
      <c r="Y15" s="343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0"/>
      <c r="Q16" s="1263"/>
      <c r="R16" s="667"/>
      <c r="S16" s="668"/>
      <c r="T16" s="667"/>
      <c r="U16" s="668"/>
      <c r="V16" s="667"/>
      <c r="W16" s="668"/>
      <c r="X16" s="1265"/>
      <c r="Y16" s="343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0"/>
      <c r="Q18" s="1263"/>
      <c r="R18" s="667"/>
      <c r="S18" s="668"/>
      <c r="T18" s="667"/>
      <c r="U18" s="668"/>
      <c r="V18" s="667"/>
      <c r="W18" s="668"/>
      <c r="X18" s="1265"/>
      <c r="Y18" s="3433"/>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0"/>
      <c r="Q20" s="1263"/>
      <c r="R20" s="667"/>
      <c r="S20" s="668"/>
      <c r="T20" s="667"/>
      <c r="U20" s="668"/>
      <c r="V20" s="667"/>
      <c r="W20" s="668"/>
      <c r="X20" s="1265"/>
      <c r="Y20" s="3433"/>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0"/>
      <c r="Q22" s="1263"/>
      <c r="R22" s="667"/>
      <c r="S22" s="668"/>
      <c r="T22" s="667"/>
      <c r="U22" s="668"/>
      <c r="V22" s="667"/>
      <c r="W22" s="668"/>
      <c r="X22" s="1265"/>
      <c r="Y22" s="343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0"/>
      <c r="Q23" s="1263" t="str">
        <f>B23</f>
        <v>自然及人文环境</v>
      </c>
      <c r="R23" s="667" t="s">
        <v>14</v>
      </c>
      <c r="S23" s="668">
        <f>F23</f>
        <v>100</v>
      </c>
      <c r="T23" s="667" t="s">
        <v>14</v>
      </c>
      <c r="U23" s="668">
        <f>H23</f>
        <v>100</v>
      </c>
      <c r="V23" s="667" t="s">
        <v>14</v>
      </c>
      <c r="W23" s="668">
        <f>J23</f>
        <v>100</v>
      </c>
      <c r="X23" s="1265"/>
      <c r="Y23" s="34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0"/>
      <c r="Q24" s="1263"/>
      <c r="R24" s="667"/>
      <c r="S24" s="668"/>
      <c r="T24" s="667"/>
      <c r="U24" s="668"/>
      <c r="V24" s="667"/>
      <c r="W24" s="668"/>
      <c r="X24" s="1265"/>
      <c r="Y24" s="343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0"/>
      <c r="Q25" s="1263" t="str">
        <f t="shared" ref="Q25:Q46" si="11">B25</f>
        <v>临街状况</v>
      </c>
      <c r="R25" s="667" t="s">
        <v>14</v>
      </c>
      <c r="S25" s="668">
        <f>F25</f>
        <v>100</v>
      </c>
      <c r="T25" s="667" t="s">
        <v>14</v>
      </c>
      <c r="U25" s="668">
        <f>H25</f>
        <v>100</v>
      </c>
      <c r="V25" s="667" t="s">
        <v>14</v>
      </c>
      <c r="W25" s="668">
        <f>J25</f>
        <v>100</v>
      </c>
      <c r="X25" s="1265"/>
      <c r="Y25" s="343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0"/>
      <c r="Q26" s="1263" t="str">
        <f t="shared" si="11"/>
        <v>平面位置/可视性</v>
      </c>
      <c r="R26" s="667" t="s">
        <v>14</v>
      </c>
      <c r="S26" s="668">
        <f>F26</f>
        <v>100</v>
      </c>
      <c r="T26" s="667" t="s">
        <v>14</v>
      </c>
      <c r="U26" s="668">
        <f>H26</f>
        <v>100</v>
      </c>
      <c r="V26" s="667" t="s">
        <v>14</v>
      </c>
      <c r="W26" s="668">
        <f>J26</f>
        <v>100</v>
      </c>
      <c r="X26" s="1265"/>
      <c r="Y26" s="343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0"/>
      <c r="Q27" s="530" t="str">
        <f t="shared" si="11"/>
        <v>人流量</v>
      </c>
      <c r="R27" s="664" t="s">
        <v>14</v>
      </c>
      <c r="S27" s="665">
        <f>F27</f>
        <v>100</v>
      </c>
      <c r="T27" s="664" t="s">
        <v>14</v>
      </c>
      <c r="U27" s="665">
        <f>H27</f>
        <v>100</v>
      </c>
      <c r="V27" s="664" t="s">
        <v>14</v>
      </c>
      <c r="W27" s="665">
        <f>J27</f>
        <v>100</v>
      </c>
      <c r="X27" s="666"/>
      <c r="Y27" s="343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0"/>
      <c r="Q29" s="1263">
        <f t="shared" si="11"/>
        <v>111</v>
      </c>
      <c r="R29" s="667" t="s">
        <v>14</v>
      </c>
      <c r="S29" s="668">
        <f t="shared" si="12"/>
        <v>100</v>
      </c>
      <c r="T29" s="667" t="s">
        <v>14</v>
      </c>
      <c r="U29" s="668">
        <f t="shared" si="13"/>
        <v>100</v>
      </c>
      <c r="V29" s="667" t="s">
        <v>14</v>
      </c>
      <c r="W29" s="668">
        <f t="shared" si="14"/>
        <v>100</v>
      </c>
      <c r="X29" s="1265"/>
      <c r="Y29" s="34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4" t="s">
        <v>1696</v>
      </c>
      <c r="Q32" s="1263" t="str">
        <f t="shared" si="11"/>
        <v>商业类型</v>
      </c>
      <c r="R32" s="667" t="s">
        <v>14</v>
      </c>
      <c r="S32" s="668">
        <f t="shared" si="12"/>
        <v>100</v>
      </c>
      <c r="T32" s="667" t="s">
        <v>14</v>
      </c>
      <c r="U32" s="668">
        <f t="shared" si="13"/>
        <v>100</v>
      </c>
      <c r="V32" s="667" t="s">
        <v>14</v>
      </c>
      <c r="W32" s="668">
        <f t="shared" si="14"/>
        <v>100</v>
      </c>
      <c r="X32" s="1265"/>
      <c r="Y32" s="343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5"/>
      <c r="Q33" s="531" t="str">
        <f t="shared" si="11"/>
        <v>项目建筑规模</v>
      </c>
      <c r="R33" s="669" t="s">
        <v>14</v>
      </c>
      <c r="S33" s="670" t="e">
        <f t="shared" si="12"/>
        <v>#N/A</v>
      </c>
      <c r="T33" s="669" t="s">
        <v>14</v>
      </c>
      <c r="U33" s="670" t="e">
        <f t="shared" si="13"/>
        <v>#N/A</v>
      </c>
      <c r="V33" s="669" t="s">
        <v>14</v>
      </c>
      <c r="W33" s="670" t="e">
        <f t="shared" si="14"/>
        <v>#N/A</v>
      </c>
      <c r="X33" s="671"/>
      <c r="Y33" s="343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5"/>
      <c r="Q34" s="1263" t="str">
        <f t="shared" si="11"/>
        <v>建筑结构</v>
      </c>
      <c r="R34" s="667" t="s">
        <v>14</v>
      </c>
      <c r="S34" s="668">
        <f t="shared" si="12"/>
        <v>100</v>
      </c>
      <c r="T34" s="667" t="s">
        <v>14</v>
      </c>
      <c r="U34" s="668">
        <f t="shared" si="13"/>
        <v>100</v>
      </c>
      <c r="V34" s="667" t="s">
        <v>14</v>
      </c>
      <c r="W34" s="668">
        <f t="shared" si="14"/>
        <v>100</v>
      </c>
      <c r="X34" s="1265"/>
      <c r="Y34" s="343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5"/>
      <c r="Q35" s="1263" t="str">
        <f t="shared" si="11"/>
        <v>公共部分装修</v>
      </c>
      <c r="R35" s="667" t="s">
        <v>14</v>
      </c>
      <c r="S35" s="668">
        <f t="shared" si="12"/>
        <v>100</v>
      </c>
      <c r="T35" s="667" t="s">
        <v>14</v>
      </c>
      <c r="U35" s="668">
        <f t="shared" si="13"/>
        <v>100</v>
      </c>
      <c r="V35" s="667" t="s">
        <v>14</v>
      </c>
      <c r="W35" s="668">
        <f t="shared" si="14"/>
        <v>100</v>
      </c>
      <c r="X35" s="1265"/>
      <c r="Y35" s="343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5"/>
      <c r="Q36" s="1263" t="str">
        <f t="shared" si="11"/>
        <v>成新度</v>
      </c>
      <c r="R36" s="667" t="s">
        <v>14</v>
      </c>
      <c r="S36" s="668" t="e">
        <f t="shared" si="12"/>
        <v>#N/A</v>
      </c>
      <c r="T36" s="667" t="s">
        <v>14</v>
      </c>
      <c r="U36" s="668" t="e">
        <f t="shared" si="13"/>
        <v>#N/A</v>
      </c>
      <c r="V36" s="667" t="s">
        <v>14</v>
      </c>
      <c r="W36" s="668" t="e">
        <f t="shared" si="14"/>
        <v>#N/A</v>
      </c>
      <c r="X36" s="1265"/>
      <c r="Y36" s="343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5"/>
      <c r="Q37" s="530" t="str">
        <f t="shared" si="11"/>
        <v>市政基础设施</v>
      </c>
      <c r="R37" s="664" t="s">
        <v>14</v>
      </c>
      <c r="S37" s="665">
        <f t="shared" si="12"/>
        <v>100</v>
      </c>
      <c r="T37" s="664" t="s">
        <v>14</v>
      </c>
      <c r="U37" s="665">
        <f t="shared" si="13"/>
        <v>100</v>
      </c>
      <c r="V37" s="664" t="s">
        <v>14</v>
      </c>
      <c r="W37" s="665">
        <f t="shared" si="14"/>
        <v>100</v>
      </c>
      <c r="X37" s="666"/>
      <c r="Y37" s="343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5" t="s">
        <v>1696</v>
      </c>
      <c r="Q38" s="1263" t="str">
        <f t="shared" si="11"/>
        <v>业态</v>
      </c>
      <c r="R38" s="667" t="s">
        <v>14</v>
      </c>
      <c r="S38" s="668">
        <f t="shared" si="12"/>
        <v>100</v>
      </c>
      <c r="T38" s="667" t="s">
        <v>14</v>
      </c>
      <c r="U38" s="668">
        <f t="shared" si="13"/>
        <v>100</v>
      </c>
      <c r="V38" s="667" t="s">
        <v>14</v>
      </c>
      <c r="W38" s="668">
        <f t="shared" si="14"/>
        <v>100</v>
      </c>
      <c r="X38" s="1265"/>
      <c r="Y38" s="343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5"/>
      <c r="Q39" s="1263" t="str">
        <f t="shared" si="11"/>
        <v>层高</v>
      </c>
      <c r="R39" s="667" t="s">
        <v>14</v>
      </c>
      <c r="S39" s="668">
        <f t="shared" si="12"/>
        <v>100</v>
      </c>
      <c r="T39" s="667" t="s">
        <v>14</v>
      </c>
      <c r="U39" s="668">
        <f t="shared" si="13"/>
        <v>100</v>
      </c>
      <c r="V39" s="667" t="s">
        <v>14</v>
      </c>
      <c r="W39" s="668">
        <f t="shared" si="14"/>
        <v>100</v>
      </c>
      <c r="X39" s="1265"/>
      <c r="Y39" s="343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5"/>
      <c r="Q40" s="1263" t="str">
        <f t="shared" si="11"/>
        <v>单套建筑面积</v>
      </c>
      <c r="R40" s="667" t="s">
        <v>14</v>
      </c>
      <c r="S40" s="668">
        <f t="shared" si="12"/>
        <v>100</v>
      </c>
      <c r="T40" s="667" t="s">
        <v>14</v>
      </c>
      <c r="U40" s="668">
        <f t="shared" si="13"/>
        <v>100</v>
      </c>
      <c r="V40" s="667" t="s">
        <v>14</v>
      </c>
      <c r="W40" s="668">
        <f t="shared" si="14"/>
        <v>100</v>
      </c>
      <c r="X40" s="1265"/>
      <c r="Y40" s="343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5"/>
      <c r="Q41" s="531" t="str">
        <f t="shared" si="11"/>
        <v>进深比</v>
      </c>
      <c r="R41" s="669" t="s">
        <v>14</v>
      </c>
      <c r="S41" s="670">
        <f t="shared" si="12"/>
        <v>100</v>
      </c>
      <c r="T41" s="669" t="s">
        <v>14</v>
      </c>
      <c r="U41" s="670">
        <f t="shared" si="13"/>
        <v>100</v>
      </c>
      <c r="V41" s="669" t="s">
        <v>14</v>
      </c>
      <c r="W41" s="670">
        <f t="shared" si="14"/>
        <v>100</v>
      </c>
      <c r="X41" s="671"/>
      <c r="Y41" s="343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5"/>
      <c r="Q42" s="1263" t="str">
        <f t="shared" si="11"/>
        <v>内部装修</v>
      </c>
      <c r="R42" s="667" t="s">
        <v>14</v>
      </c>
      <c r="S42" s="668">
        <f t="shared" si="12"/>
        <v>100</v>
      </c>
      <c r="T42" s="667" t="s">
        <v>14</v>
      </c>
      <c r="U42" s="668">
        <f t="shared" si="13"/>
        <v>100</v>
      </c>
      <c r="V42" s="667" t="s">
        <v>14</v>
      </c>
      <c r="W42" s="668">
        <f t="shared" si="14"/>
        <v>100</v>
      </c>
      <c r="X42" s="1265"/>
      <c r="Y42" s="343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5"/>
      <c r="Q43" s="1263" t="str">
        <f t="shared" si="11"/>
        <v>内部装修维护情况</v>
      </c>
      <c r="R43" s="667" t="s">
        <v>14</v>
      </c>
      <c r="S43" s="668">
        <f t="shared" si="12"/>
        <v>100</v>
      </c>
      <c r="T43" s="667" t="s">
        <v>14</v>
      </c>
      <c r="U43" s="668">
        <f t="shared" si="13"/>
        <v>100</v>
      </c>
      <c r="V43" s="667" t="s">
        <v>14</v>
      </c>
      <c r="W43" s="668">
        <f t="shared" si="14"/>
        <v>100</v>
      </c>
      <c r="X43" s="1265"/>
      <c r="Y43" s="34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5"/>
      <c r="Q44" s="530">
        <f t="shared" si="11"/>
        <v>111</v>
      </c>
      <c r="R44" s="664" t="s">
        <v>14</v>
      </c>
      <c r="S44" s="665">
        <f t="shared" si="12"/>
        <v>100</v>
      </c>
      <c r="T44" s="664" t="s">
        <v>14</v>
      </c>
      <c r="U44" s="665">
        <f t="shared" si="13"/>
        <v>100</v>
      </c>
      <c r="V44" s="664" t="s">
        <v>14</v>
      </c>
      <c r="W44" s="665">
        <f t="shared" si="14"/>
        <v>100</v>
      </c>
      <c r="X44" s="666"/>
      <c r="Y44" s="34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5"/>
      <c r="Q45" s="1263">
        <f t="shared" si="11"/>
        <v>111</v>
      </c>
      <c r="R45" s="667" t="s">
        <v>14</v>
      </c>
      <c r="S45" s="668">
        <f t="shared" si="12"/>
        <v>100</v>
      </c>
      <c r="T45" s="667" t="s">
        <v>14</v>
      </c>
      <c r="U45" s="668">
        <f t="shared" si="13"/>
        <v>100</v>
      </c>
      <c r="V45" s="667" t="s">
        <v>14</v>
      </c>
      <c r="W45" s="668">
        <f t="shared" si="14"/>
        <v>100</v>
      </c>
      <c r="X45" s="1265"/>
      <c r="Y45" s="34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51136.03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47" t="s">
        <v>1775</v>
      </c>
      <c r="Q4" s="3448"/>
      <c r="R4" s="3442" t="s">
        <v>1771</v>
      </c>
      <c r="S4" s="3443"/>
      <c r="T4" s="3442" t="s">
        <v>1772</v>
      </c>
      <c r="U4" s="3443"/>
      <c r="V4" s="3451" t="s">
        <v>1773</v>
      </c>
      <c r="W4" s="3451"/>
      <c r="X4" s="1809"/>
      <c r="Y4" s="3442" t="s">
        <v>1775</v>
      </c>
      <c r="Z4" s="3443"/>
      <c r="AA4" s="3441" t="s">
        <v>1771</v>
      </c>
      <c r="AB4" s="3441" t="s">
        <v>1772</v>
      </c>
      <c r="AC4" s="3444" t="s">
        <v>1773</v>
      </c>
    </row>
    <row r="5" spans="1:29" ht="15">
      <c r="A5" s="348"/>
      <c r="B5" s="349"/>
      <c r="C5" s="3407" t="s">
        <v>1673</v>
      </c>
      <c r="D5" s="3408"/>
      <c r="E5" s="3405" t="s">
        <v>1674</v>
      </c>
      <c r="F5" s="3406"/>
      <c r="G5" s="3407" t="s">
        <v>1675</v>
      </c>
      <c r="H5" s="3408"/>
      <c r="I5" s="3407" t="s">
        <v>1676</v>
      </c>
      <c r="J5" s="3408"/>
      <c r="K5" s="537"/>
      <c r="L5" s="2487"/>
      <c r="M5" s="2488"/>
      <c r="N5" s="2488"/>
      <c r="O5" s="2488"/>
      <c r="P5" s="3449"/>
      <c r="Q5" s="3421"/>
      <c r="R5" s="3403"/>
      <c r="S5" s="3404"/>
      <c r="T5" s="3403"/>
      <c r="U5" s="3404"/>
      <c r="V5" s="3426"/>
      <c r="W5" s="3426"/>
      <c r="X5" s="1265"/>
      <c r="Y5" s="3403"/>
      <c r="Z5" s="3404"/>
      <c r="AA5" s="3397"/>
      <c r="AB5" s="3397"/>
      <c r="AC5" s="3445"/>
    </row>
    <row r="6" spans="1:29" ht="15.75" thickBot="1">
      <c r="A6" s="350"/>
      <c r="B6" s="351"/>
      <c r="C6" s="3409" t="s">
        <v>1677</v>
      </c>
      <c r="D6" s="3410"/>
      <c r="E6" s="3411" t="s">
        <v>1677</v>
      </c>
      <c r="F6" s="3412"/>
      <c r="G6" s="3409" t="s">
        <v>1677</v>
      </c>
      <c r="H6" s="3410"/>
      <c r="I6" s="3409" t="s">
        <v>1677</v>
      </c>
      <c r="J6" s="3410"/>
      <c r="K6" s="537" t="s">
        <v>1678</v>
      </c>
      <c r="L6" s="2487"/>
      <c r="M6" s="2488"/>
      <c r="N6" s="2488"/>
      <c r="O6" s="2488"/>
      <c r="P6" s="3450"/>
      <c r="Q6" s="3423"/>
      <c r="R6" s="3403"/>
      <c r="S6" s="3404"/>
      <c r="T6" s="3424"/>
      <c r="U6" s="3425"/>
      <c r="V6" s="3426"/>
      <c r="W6" s="3426"/>
      <c r="X6" s="1265"/>
      <c r="Y6" s="3424"/>
      <c r="Z6" s="3425"/>
      <c r="AA6" s="3398"/>
      <c r="AB6" s="3398"/>
      <c r="AC6" s="3446"/>
    </row>
    <row r="7" spans="1:29" s="102" customFormat="1" ht="15.75" thickBot="1">
      <c r="A7" s="352" t="s">
        <v>1679</v>
      </c>
      <c r="B7" s="353"/>
      <c r="C7" s="354">
        <f>'数据-取费表'!B2</f>
        <v>45712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2"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2" t="s">
        <v>1683</v>
      </c>
      <c r="Q8" s="3400"/>
      <c r="R8" s="664" t="s">
        <v>14</v>
      </c>
      <c r="S8" s="665">
        <f t="shared" si="0"/>
        <v>100</v>
      </c>
      <c r="T8" s="664" t="s">
        <v>14</v>
      </c>
      <c r="U8" s="665">
        <f t="shared" si="1"/>
        <v>100</v>
      </c>
      <c r="V8" s="664" t="s">
        <v>14</v>
      </c>
      <c r="W8" s="665">
        <f t="shared" si="2"/>
        <v>100</v>
      </c>
      <c r="X8" s="666"/>
      <c r="Y8" s="3399" t="s">
        <v>1683</v>
      </c>
      <c r="Z8" s="340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3"/>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9" t="s">
        <v>1691</v>
      </c>
      <c r="Q15" s="1263" t="str">
        <f t="shared" si="6"/>
        <v>办公集聚程度</v>
      </c>
      <c r="R15" s="667" t="s">
        <v>14</v>
      </c>
      <c r="S15" s="668">
        <f t="shared" si="0"/>
        <v>100</v>
      </c>
      <c r="T15" s="667" t="s">
        <v>14</v>
      </c>
      <c r="U15" s="668">
        <f t="shared" si="1"/>
        <v>100</v>
      </c>
      <c r="V15" s="667" t="s">
        <v>14</v>
      </c>
      <c r="W15" s="668">
        <f t="shared" si="2"/>
        <v>100</v>
      </c>
      <c r="X15" s="1265"/>
      <c r="Y15" s="343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0"/>
      <c r="Q16" s="1263"/>
      <c r="R16" s="667"/>
      <c r="S16" s="668"/>
      <c r="T16" s="667"/>
      <c r="U16" s="668"/>
      <c r="V16" s="667"/>
      <c r="W16" s="668"/>
      <c r="X16" s="1265"/>
      <c r="Y16" s="343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0"/>
      <c r="Q18" s="1263"/>
      <c r="R18" s="667"/>
      <c r="S18" s="668"/>
      <c r="T18" s="667"/>
      <c r="U18" s="668"/>
      <c r="V18" s="667"/>
      <c r="W18" s="668"/>
      <c r="X18" s="1265"/>
      <c r="Y18" s="3433"/>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0"/>
      <c r="Q20" s="1263"/>
      <c r="R20" s="667"/>
      <c r="S20" s="668"/>
      <c r="T20" s="667"/>
      <c r="U20" s="668"/>
      <c r="V20" s="667"/>
      <c r="W20" s="668"/>
      <c r="X20" s="1265"/>
      <c r="Y20" s="3433"/>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0"/>
      <c r="Q22" s="1263"/>
      <c r="R22" s="667"/>
      <c r="S22" s="668"/>
      <c r="T22" s="667"/>
      <c r="U22" s="668"/>
      <c r="V22" s="667"/>
      <c r="W22" s="668"/>
      <c r="X22" s="1265"/>
      <c r="Y22" s="3433"/>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0"/>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0"/>
      <c r="Q24" s="1263"/>
      <c r="R24" s="667"/>
      <c r="S24" s="668"/>
      <c r="T24" s="667"/>
      <c r="U24" s="668"/>
      <c r="V24" s="667"/>
      <c r="W24" s="668"/>
      <c r="X24" s="1265"/>
      <c r="Y24" s="343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0"/>
      <c r="Q25" s="1263" t="str">
        <f>B25</f>
        <v>毗邻道路的类型与等级</v>
      </c>
      <c r="R25" s="667" t="s">
        <v>14</v>
      </c>
      <c r="S25" s="668">
        <f>F25</f>
        <v>100</v>
      </c>
      <c r="T25" s="667" t="s">
        <v>14</v>
      </c>
      <c r="U25" s="668">
        <f>H25</f>
        <v>100</v>
      </c>
      <c r="V25" s="667" t="s">
        <v>14</v>
      </c>
      <c r="W25" s="668">
        <f>J25</f>
        <v>100</v>
      </c>
      <c r="X25" s="1265"/>
      <c r="Y25" s="34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0"/>
      <c r="Q26" s="1263"/>
      <c r="R26" s="667"/>
      <c r="S26" s="668"/>
      <c r="T26" s="667"/>
      <c r="U26" s="668"/>
      <c r="V26" s="667"/>
      <c r="W26" s="668"/>
      <c r="X26" s="1265"/>
      <c r="Y26" s="343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0"/>
      <c r="Q27" s="1263" t="str">
        <f t="shared" ref="Q27:Q47" si="11">B27</f>
        <v>楼层</v>
      </c>
      <c r="R27" s="667" t="s">
        <v>14</v>
      </c>
      <c r="S27" s="668">
        <f>F27</f>
        <v>100</v>
      </c>
      <c r="T27" s="667" t="s">
        <v>14</v>
      </c>
      <c r="U27" s="668">
        <f>H27</f>
        <v>100</v>
      </c>
      <c r="V27" s="667" t="s">
        <v>14</v>
      </c>
      <c r="W27" s="668">
        <f>J27</f>
        <v>100</v>
      </c>
      <c r="X27" s="1265"/>
      <c r="Y27" s="343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0"/>
      <c r="Q28" s="530" t="str">
        <f t="shared" si="11"/>
        <v>朝向</v>
      </c>
      <c r="R28" s="664" t="s">
        <v>14</v>
      </c>
      <c r="S28" s="665">
        <f>F28</f>
        <v>100</v>
      </c>
      <c r="T28" s="664" t="s">
        <v>14</v>
      </c>
      <c r="U28" s="665">
        <f>H28</f>
        <v>100</v>
      </c>
      <c r="V28" s="664" t="s">
        <v>14</v>
      </c>
      <c r="W28" s="665">
        <f>J28</f>
        <v>100</v>
      </c>
      <c r="X28" s="666"/>
      <c r="Y28" s="34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0"/>
      <c r="Q29" s="1263">
        <f t="shared" si="11"/>
        <v>111</v>
      </c>
      <c r="R29" s="667" t="s">
        <v>14</v>
      </c>
      <c r="S29" s="668">
        <f t="shared" ref="S29:S47" si="12">F29</f>
        <v>100</v>
      </c>
      <c r="T29" s="667" t="s">
        <v>14</v>
      </c>
      <c r="U29" s="668">
        <f t="shared" ref="U29:U47" si="13">H29</f>
        <v>100</v>
      </c>
      <c r="V29" s="667" t="s">
        <v>14</v>
      </c>
      <c r="W29" s="668">
        <f t="shared" ref="W29:W47" si="14">J29</f>
        <v>100</v>
      </c>
      <c r="X29" s="1265"/>
      <c r="Y29" s="34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0"/>
      <c r="Q32" s="1263">
        <f t="shared" si="11"/>
        <v>111</v>
      </c>
      <c r="R32" s="667" t="s">
        <v>14</v>
      </c>
      <c r="S32" s="668">
        <f t="shared" si="12"/>
        <v>100</v>
      </c>
      <c r="T32" s="667" t="s">
        <v>14</v>
      </c>
      <c r="U32" s="668">
        <f t="shared" si="13"/>
        <v>100</v>
      </c>
      <c r="V32" s="667" t="s">
        <v>14</v>
      </c>
      <c r="W32" s="668">
        <f t="shared" si="14"/>
        <v>100</v>
      </c>
      <c r="X32" s="1265"/>
      <c r="Y32" s="343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4" t="s">
        <v>1696</v>
      </c>
      <c r="Q33" s="1263" t="str">
        <f t="shared" si="11"/>
        <v>建筑类型</v>
      </c>
      <c r="R33" s="667" t="s">
        <v>14</v>
      </c>
      <c r="S33" s="668">
        <f t="shared" si="12"/>
        <v>100</v>
      </c>
      <c r="T33" s="667" t="s">
        <v>14</v>
      </c>
      <c r="U33" s="668">
        <f t="shared" si="13"/>
        <v>100</v>
      </c>
      <c r="V33" s="667" t="s">
        <v>14</v>
      </c>
      <c r="W33" s="668">
        <f t="shared" si="14"/>
        <v>100</v>
      </c>
      <c r="X33" s="1265"/>
      <c r="Y33" s="343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5"/>
      <c r="Q34" s="531" t="str">
        <f t="shared" si="11"/>
        <v>项目建筑规模</v>
      </c>
      <c r="R34" s="669" t="s">
        <v>14</v>
      </c>
      <c r="S34" s="670" t="e">
        <f t="shared" si="12"/>
        <v>#N/A</v>
      </c>
      <c r="T34" s="669" t="s">
        <v>14</v>
      </c>
      <c r="U34" s="670" t="e">
        <f t="shared" si="13"/>
        <v>#N/A</v>
      </c>
      <c r="V34" s="669" t="s">
        <v>14</v>
      </c>
      <c r="W34" s="670" t="e">
        <f t="shared" si="14"/>
        <v>#N/A</v>
      </c>
      <c r="X34" s="671"/>
      <c r="Y34" s="343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5"/>
      <c r="Q35" s="1263" t="str">
        <f t="shared" si="11"/>
        <v>建筑结构</v>
      </c>
      <c r="R35" s="667" t="s">
        <v>14</v>
      </c>
      <c r="S35" s="668">
        <f t="shared" si="12"/>
        <v>100</v>
      </c>
      <c r="T35" s="667" t="s">
        <v>14</v>
      </c>
      <c r="U35" s="668">
        <f t="shared" si="13"/>
        <v>100</v>
      </c>
      <c r="V35" s="667" t="s">
        <v>14</v>
      </c>
      <c r="W35" s="668">
        <f t="shared" si="14"/>
        <v>100</v>
      </c>
      <c r="X35" s="1265"/>
      <c r="Y35" s="343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5"/>
      <c r="Q36" s="1263" t="str">
        <f t="shared" si="11"/>
        <v>公共部分装修</v>
      </c>
      <c r="R36" s="667" t="s">
        <v>14</v>
      </c>
      <c r="S36" s="668">
        <f t="shared" si="12"/>
        <v>100</v>
      </c>
      <c r="T36" s="667" t="s">
        <v>14</v>
      </c>
      <c r="U36" s="668">
        <f t="shared" si="13"/>
        <v>100</v>
      </c>
      <c r="V36" s="667" t="s">
        <v>14</v>
      </c>
      <c r="W36" s="668">
        <f t="shared" si="14"/>
        <v>100</v>
      </c>
      <c r="X36" s="1265"/>
      <c r="Y36" s="343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5"/>
      <c r="Q37" s="1263" t="str">
        <f t="shared" si="11"/>
        <v>成新度</v>
      </c>
      <c r="R37" s="667" t="s">
        <v>14</v>
      </c>
      <c r="S37" s="668" t="e">
        <f t="shared" si="12"/>
        <v>#N/A</v>
      </c>
      <c r="T37" s="667" t="s">
        <v>14</v>
      </c>
      <c r="U37" s="668" t="e">
        <f t="shared" si="13"/>
        <v>#N/A</v>
      </c>
      <c r="V37" s="667" t="s">
        <v>14</v>
      </c>
      <c r="W37" s="668" t="e">
        <f t="shared" si="14"/>
        <v>#N/A</v>
      </c>
      <c r="X37" s="1265"/>
      <c r="Y37" s="343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5"/>
      <c r="Q38" s="530" t="str">
        <f t="shared" si="11"/>
        <v>写字楼等级</v>
      </c>
      <c r="R38" s="664" t="s">
        <v>14</v>
      </c>
      <c r="S38" s="665">
        <f t="shared" si="12"/>
        <v>100</v>
      </c>
      <c r="T38" s="664" t="s">
        <v>14</v>
      </c>
      <c r="U38" s="665">
        <f t="shared" si="13"/>
        <v>100</v>
      </c>
      <c r="V38" s="664" t="s">
        <v>14</v>
      </c>
      <c r="W38" s="665">
        <f t="shared" si="14"/>
        <v>100</v>
      </c>
      <c r="X38" s="666"/>
      <c r="Y38" s="343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5" t="s">
        <v>1696</v>
      </c>
      <c r="Q39" s="1263" t="str">
        <f t="shared" si="11"/>
        <v>物业管理</v>
      </c>
      <c r="R39" s="667" t="s">
        <v>14</v>
      </c>
      <c r="S39" s="668">
        <f t="shared" si="12"/>
        <v>100</v>
      </c>
      <c r="T39" s="667" t="s">
        <v>14</v>
      </c>
      <c r="U39" s="668">
        <f t="shared" si="13"/>
        <v>100</v>
      </c>
      <c r="V39" s="667" t="s">
        <v>14</v>
      </c>
      <c r="W39" s="668">
        <f t="shared" si="14"/>
        <v>100</v>
      </c>
      <c r="X39" s="1265"/>
      <c r="Y39" s="343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5"/>
      <c r="Q40" s="1263" t="str">
        <f t="shared" si="11"/>
        <v>市政基础设施</v>
      </c>
      <c r="R40" s="667" t="s">
        <v>14</v>
      </c>
      <c r="S40" s="668">
        <f t="shared" si="12"/>
        <v>100</v>
      </c>
      <c r="T40" s="667" t="s">
        <v>14</v>
      </c>
      <c r="U40" s="668">
        <f t="shared" si="13"/>
        <v>100</v>
      </c>
      <c r="V40" s="667" t="s">
        <v>14</v>
      </c>
      <c r="W40" s="668">
        <f t="shared" si="14"/>
        <v>100</v>
      </c>
      <c r="X40" s="1265"/>
      <c r="Y40" s="343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5"/>
      <c r="Q41" s="1263" t="str">
        <f t="shared" si="11"/>
        <v>层高</v>
      </c>
      <c r="R41" s="667" t="s">
        <v>14</v>
      </c>
      <c r="S41" s="668">
        <f t="shared" si="12"/>
        <v>100</v>
      </c>
      <c r="T41" s="667" t="s">
        <v>14</v>
      </c>
      <c r="U41" s="668">
        <f t="shared" si="13"/>
        <v>100</v>
      </c>
      <c r="V41" s="667" t="s">
        <v>14</v>
      </c>
      <c r="W41" s="668">
        <f t="shared" si="14"/>
        <v>100</v>
      </c>
      <c r="X41" s="1265"/>
      <c r="Y41" s="343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5"/>
      <c r="Q42" s="531" t="str">
        <f t="shared" si="11"/>
        <v>单套建筑面积</v>
      </c>
      <c r="R42" s="669" t="s">
        <v>14</v>
      </c>
      <c r="S42" s="670">
        <f t="shared" si="12"/>
        <v>100</v>
      </c>
      <c r="T42" s="669" t="s">
        <v>14</v>
      </c>
      <c r="U42" s="670">
        <f t="shared" si="13"/>
        <v>100</v>
      </c>
      <c r="V42" s="669" t="s">
        <v>14</v>
      </c>
      <c r="W42" s="670">
        <f t="shared" si="14"/>
        <v>100</v>
      </c>
      <c r="X42" s="671"/>
      <c r="Y42" s="343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5"/>
      <c r="Q43" s="1263" t="str">
        <f t="shared" si="11"/>
        <v>内部装修</v>
      </c>
      <c r="R43" s="667" t="s">
        <v>14</v>
      </c>
      <c r="S43" s="668">
        <f t="shared" si="12"/>
        <v>100</v>
      </c>
      <c r="T43" s="667" t="s">
        <v>14</v>
      </c>
      <c r="U43" s="668">
        <f t="shared" si="13"/>
        <v>100</v>
      </c>
      <c r="V43" s="667" t="s">
        <v>14</v>
      </c>
      <c r="W43" s="668">
        <f t="shared" si="14"/>
        <v>100</v>
      </c>
      <c r="X43" s="1265"/>
      <c r="Y43" s="343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5"/>
      <c r="Q44" s="1263" t="str">
        <f t="shared" si="11"/>
        <v>内部装修维护情况</v>
      </c>
      <c r="R44" s="667" t="s">
        <v>14</v>
      </c>
      <c r="S44" s="668">
        <f t="shared" si="12"/>
        <v>100</v>
      </c>
      <c r="T44" s="667" t="s">
        <v>14</v>
      </c>
      <c r="U44" s="668">
        <f t="shared" si="13"/>
        <v>100</v>
      </c>
      <c r="V44" s="667" t="s">
        <v>14</v>
      </c>
      <c r="W44" s="668">
        <f t="shared" si="14"/>
        <v>100</v>
      </c>
      <c r="X44" s="1265"/>
      <c r="Y44" s="34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5"/>
      <c r="Q45" s="530">
        <f t="shared" si="11"/>
        <v>111</v>
      </c>
      <c r="R45" s="664" t="s">
        <v>14</v>
      </c>
      <c r="S45" s="665">
        <f t="shared" si="12"/>
        <v>100</v>
      </c>
      <c r="T45" s="664" t="s">
        <v>14</v>
      </c>
      <c r="U45" s="665">
        <f t="shared" si="13"/>
        <v>100</v>
      </c>
      <c r="V45" s="664" t="s">
        <v>14</v>
      </c>
      <c r="W45" s="665">
        <f t="shared" si="14"/>
        <v>100</v>
      </c>
      <c r="X45" s="666"/>
      <c r="Y45" s="34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6"/>
      <c r="Q47" s="1263">
        <f t="shared" si="11"/>
        <v>111</v>
      </c>
      <c r="R47" s="667" t="s">
        <v>14</v>
      </c>
      <c r="S47" s="668">
        <f t="shared" si="12"/>
        <v>100</v>
      </c>
      <c r="T47" s="667" t="s">
        <v>14</v>
      </c>
      <c r="U47" s="668">
        <f t="shared" si="13"/>
        <v>100</v>
      </c>
      <c r="V47" s="667" t="s">
        <v>14</v>
      </c>
      <c r="W47" s="668">
        <f t="shared" si="14"/>
        <v>100</v>
      </c>
      <c r="X47" s="1265"/>
      <c r="Y47" s="343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3" t="str">
        <f>A48</f>
        <v>成交单价（元/平方米）</v>
      </c>
      <c r="Q48" s="3431"/>
      <c r="R48" s="3426">
        <f>E48</f>
        <v>0</v>
      </c>
      <c r="S48" s="3426"/>
      <c r="T48" s="3426">
        <f>G48</f>
        <v>0</v>
      </c>
      <c r="U48" s="3426"/>
      <c r="V48" s="3426">
        <f>I48</f>
        <v>0</v>
      </c>
      <c r="W48" s="342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3" t="str">
        <f>A49</f>
        <v>比较价值（元/平方米）</v>
      </c>
      <c r="Q49" s="3431"/>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51136.03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ht="15">
      <c r="A5" s="348"/>
      <c r="B5" s="349"/>
      <c r="C5" s="3407" t="s">
        <v>1673</v>
      </c>
      <c r="D5" s="3408"/>
      <c r="E5" s="3405" t="s">
        <v>1674</v>
      </c>
      <c r="F5" s="3406"/>
      <c r="G5" s="3407" t="s">
        <v>1675</v>
      </c>
      <c r="H5" s="3408"/>
      <c r="I5" s="3407" t="s">
        <v>1676</v>
      </c>
      <c r="J5" s="3408"/>
      <c r="K5" s="537"/>
      <c r="L5" s="860"/>
      <c r="M5" s="861"/>
      <c r="N5" s="861"/>
      <c r="O5" s="861"/>
      <c r="P5" s="3420"/>
      <c r="Q5" s="3421"/>
      <c r="R5" s="3403"/>
      <c r="S5" s="3404"/>
      <c r="T5" s="3403"/>
      <c r="U5" s="3404"/>
      <c r="V5" s="3426"/>
      <c r="W5" s="3426"/>
      <c r="X5" s="1265"/>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860"/>
      <c r="M6" s="861"/>
      <c r="N6" s="861"/>
      <c r="O6" s="861"/>
      <c r="P6" s="3422"/>
      <c r="Q6" s="3423"/>
      <c r="R6" s="3403"/>
      <c r="S6" s="3404"/>
      <c r="T6" s="3424"/>
      <c r="U6" s="3425"/>
      <c r="V6" s="3426"/>
      <c r="W6" s="3426"/>
      <c r="X6" s="1265"/>
      <c r="Y6" s="3424"/>
      <c r="Z6" s="3425"/>
      <c r="AA6" s="3398"/>
      <c r="AB6" s="3398"/>
      <c r="AC6" s="3398"/>
    </row>
    <row r="7" spans="1:29" s="102" customFormat="1" ht="15.75" thickBot="1">
      <c r="A7" s="352" t="s">
        <v>1679</v>
      </c>
      <c r="B7" s="353"/>
      <c r="C7" s="354">
        <f>'数据-取费表'!B2</f>
        <v>45712</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3"/>
      <c r="Q16" s="1263"/>
      <c r="R16" s="667"/>
      <c r="S16" s="668"/>
      <c r="T16" s="667"/>
      <c r="U16" s="668"/>
      <c r="V16" s="667"/>
      <c r="W16" s="668"/>
      <c r="X16" s="1265"/>
      <c r="Y16" s="343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3"/>
      <c r="Q18" s="1263"/>
      <c r="R18" s="667"/>
      <c r="S18" s="668"/>
      <c r="T18" s="667"/>
      <c r="U18" s="668"/>
      <c r="V18" s="667"/>
      <c r="W18" s="668"/>
      <c r="X18" s="1265"/>
      <c r="Y18" s="3433"/>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3"/>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3"/>
      <c r="Q20" s="1263"/>
      <c r="R20" s="667"/>
      <c r="S20" s="668"/>
      <c r="T20" s="667"/>
      <c r="U20" s="668"/>
      <c r="V20" s="667"/>
      <c r="W20" s="668"/>
      <c r="X20" s="1265"/>
      <c r="Y20" s="3433"/>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3"/>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3"/>
      <c r="Q22" s="1263"/>
      <c r="R22" s="667"/>
      <c r="S22" s="668"/>
      <c r="T22" s="667"/>
      <c r="U22" s="668"/>
      <c r="V22" s="667"/>
      <c r="W22" s="668"/>
      <c r="X22" s="1265"/>
      <c r="Y22" s="3433"/>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3"/>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3"/>
      <c r="Q24" s="1263"/>
      <c r="R24" s="667"/>
      <c r="S24" s="668"/>
      <c r="T24" s="667"/>
      <c r="U24" s="668"/>
      <c r="V24" s="667"/>
      <c r="W24" s="668"/>
      <c r="X24" s="1265"/>
      <c r="Y24" s="34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3"/>
      <c r="Q25" s="1263">
        <f>B25</f>
        <v>111</v>
      </c>
      <c r="R25" s="667" t="s">
        <v>14</v>
      </c>
      <c r="S25" s="668">
        <f>F25</f>
        <v>100</v>
      </c>
      <c r="T25" s="667" t="s">
        <v>14</v>
      </c>
      <c r="U25" s="668">
        <f>H25</f>
        <v>100</v>
      </c>
      <c r="V25" s="667" t="s">
        <v>14</v>
      </c>
      <c r="W25" s="668">
        <f>J25</f>
        <v>100</v>
      </c>
      <c r="X25" s="1265"/>
      <c r="Y25" s="34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3"/>
      <c r="Q26" s="1263">
        <f t="shared" ref="Q26:Q40" si="11">B26</f>
        <v>111</v>
      </c>
      <c r="R26" s="667" t="s">
        <v>14</v>
      </c>
      <c r="S26" s="668">
        <f>F26</f>
        <v>100</v>
      </c>
      <c r="T26" s="667" t="s">
        <v>14</v>
      </c>
      <c r="U26" s="668">
        <f>H26</f>
        <v>100</v>
      </c>
      <c r="V26" s="667" t="s">
        <v>14</v>
      </c>
      <c r="W26" s="668">
        <f>J26</f>
        <v>100</v>
      </c>
      <c r="X26" s="1265"/>
      <c r="Y26" s="34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3"/>
      <c r="Q27" s="530">
        <f t="shared" si="11"/>
        <v>111</v>
      </c>
      <c r="R27" s="664" t="s">
        <v>14</v>
      </c>
      <c r="S27" s="665">
        <f>F27</f>
        <v>100</v>
      </c>
      <c r="T27" s="664" t="s">
        <v>14</v>
      </c>
      <c r="U27" s="665">
        <f>H27</f>
        <v>100</v>
      </c>
      <c r="V27" s="664" t="s">
        <v>14</v>
      </c>
      <c r="W27" s="665">
        <f>J27</f>
        <v>100</v>
      </c>
      <c r="X27" s="666"/>
      <c r="Y27" s="34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3"/>
      <c r="Q28" s="1263">
        <f t="shared" si="11"/>
        <v>111</v>
      </c>
      <c r="R28" s="667" t="s">
        <v>14</v>
      </c>
      <c r="S28" s="668">
        <f t="shared" ref="S28:S40" si="12">F28</f>
        <v>100</v>
      </c>
      <c r="T28" s="667" t="s">
        <v>14</v>
      </c>
      <c r="U28" s="668">
        <f t="shared" ref="U28:U40" si="13">H28</f>
        <v>100</v>
      </c>
      <c r="V28" s="667" t="s">
        <v>14</v>
      </c>
      <c r="W28" s="668">
        <f t="shared" ref="W28:W40" si="14">J28</f>
        <v>100</v>
      </c>
      <c r="X28" s="1265"/>
      <c r="Y28" s="343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3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7"/>
      <c r="Q30" s="531" t="str">
        <f t="shared" si="11"/>
        <v>项目建筑规模</v>
      </c>
      <c r="R30" s="669" t="s">
        <v>14</v>
      </c>
      <c r="S30" s="670" t="e">
        <f t="shared" si="12"/>
        <v>#N/A</v>
      </c>
      <c r="T30" s="669" t="s">
        <v>14</v>
      </c>
      <c r="U30" s="670" t="e">
        <f t="shared" si="13"/>
        <v>#N/A</v>
      </c>
      <c r="V30" s="669" t="s">
        <v>14</v>
      </c>
      <c r="W30" s="670" t="e">
        <f t="shared" si="14"/>
        <v>#N/A</v>
      </c>
      <c r="X30" s="671"/>
      <c r="Y30" s="343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7"/>
      <c r="Q31" s="1263" t="str">
        <f t="shared" si="11"/>
        <v>建筑结构</v>
      </c>
      <c r="R31" s="667" t="s">
        <v>14</v>
      </c>
      <c r="S31" s="668">
        <f t="shared" si="12"/>
        <v>100</v>
      </c>
      <c r="T31" s="667" t="s">
        <v>14</v>
      </c>
      <c r="U31" s="668">
        <f t="shared" si="13"/>
        <v>100</v>
      </c>
      <c r="V31" s="667" t="s">
        <v>14</v>
      </c>
      <c r="W31" s="668">
        <f t="shared" si="14"/>
        <v>100</v>
      </c>
      <c r="X31" s="1265"/>
      <c r="Y31" s="343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7"/>
      <c r="Q32" s="1263" t="str">
        <f t="shared" si="11"/>
        <v>公共部分装修</v>
      </c>
      <c r="R32" s="667" t="s">
        <v>14</v>
      </c>
      <c r="S32" s="668">
        <f t="shared" si="12"/>
        <v>100</v>
      </c>
      <c r="T32" s="667" t="s">
        <v>14</v>
      </c>
      <c r="U32" s="668">
        <f t="shared" si="13"/>
        <v>100</v>
      </c>
      <c r="V32" s="667" t="s">
        <v>14</v>
      </c>
      <c r="W32" s="668">
        <f t="shared" si="14"/>
        <v>100</v>
      </c>
      <c r="X32" s="1265"/>
      <c r="Y32" s="343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7"/>
      <c r="Q33" s="1263" t="str">
        <f t="shared" si="11"/>
        <v>成新度</v>
      </c>
      <c r="R33" s="667" t="s">
        <v>14</v>
      </c>
      <c r="S33" s="668" t="e">
        <f t="shared" si="12"/>
        <v>#N/A</v>
      </c>
      <c r="T33" s="667" t="s">
        <v>14</v>
      </c>
      <c r="U33" s="668" t="e">
        <f t="shared" si="13"/>
        <v>#N/A</v>
      </c>
      <c r="V33" s="667" t="s">
        <v>14</v>
      </c>
      <c r="W33" s="668" t="e">
        <f t="shared" si="14"/>
        <v>#N/A</v>
      </c>
      <c r="X33" s="1265"/>
      <c r="Y33" s="343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7"/>
      <c r="Q34" s="530" t="str">
        <f t="shared" si="11"/>
        <v>物业管理</v>
      </c>
      <c r="R34" s="664" t="s">
        <v>14</v>
      </c>
      <c r="S34" s="665">
        <f t="shared" si="12"/>
        <v>100</v>
      </c>
      <c r="T34" s="664" t="s">
        <v>14</v>
      </c>
      <c r="U34" s="665">
        <f t="shared" si="13"/>
        <v>100</v>
      </c>
      <c r="V34" s="664" t="s">
        <v>14</v>
      </c>
      <c r="W34" s="665">
        <f t="shared" si="14"/>
        <v>100</v>
      </c>
      <c r="X34" s="666"/>
      <c r="Y34" s="343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7" t="s">
        <v>1696</v>
      </c>
      <c r="Q35" s="1263" t="str">
        <f t="shared" si="11"/>
        <v>市政基础设施</v>
      </c>
      <c r="R35" s="667" t="s">
        <v>14</v>
      </c>
      <c r="S35" s="668">
        <f t="shared" si="12"/>
        <v>100</v>
      </c>
      <c r="T35" s="667" t="s">
        <v>14</v>
      </c>
      <c r="U35" s="668">
        <f t="shared" si="13"/>
        <v>100</v>
      </c>
      <c r="V35" s="667" t="s">
        <v>14</v>
      </c>
      <c r="W35" s="668">
        <f t="shared" si="14"/>
        <v>100</v>
      </c>
      <c r="X35" s="1265"/>
      <c r="Y35" s="343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7"/>
      <c r="Q36" s="1263" t="str">
        <f t="shared" si="11"/>
        <v>内部装修</v>
      </c>
      <c r="R36" s="667" t="s">
        <v>14</v>
      </c>
      <c r="S36" s="668">
        <f t="shared" si="12"/>
        <v>100</v>
      </c>
      <c r="T36" s="667" t="s">
        <v>14</v>
      </c>
      <c r="U36" s="668">
        <f t="shared" si="13"/>
        <v>100</v>
      </c>
      <c r="V36" s="667" t="s">
        <v>14</v>
      </c>
      <c r="W36" s="668">
        <f t="shared" si="14"/>
        <v>100</v>
      </c>
      <c r="X36" s="1265"/>
      <c r="Y36" s="343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7"/>
      <c r="Q37" s="1263" t="str">
        <f t="shared" si="11"/>
        <v>内部装修状况</v>
      </c>
      <c r="R37" s="667" t="s">
        <v>14</v>
      </c>
      <c r="S37" s="668">
        <f t="shared" si="12"/>
        <v>100</v>
      </c>
      <c r="T37" s="667" t="s">
        <v>14</v>
      </c>
      <c r="U37" s="668">
        <f t="shared" si="13"/>
        <v>100</v>
      </c>
      <c r="V37" s="667" t="s">
        <v>14</v>
      </c>
      <c r="W37" s="668">
        <f t="shared" si="14"/>
        <v>100</v>
      </c>
      <c r="X37" s="1265"/>
      <c r="Y37" s="34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7"/>
      <c r="Q38" s="531">
        <f t="shared" si="11"/>
        <v>111</v>
      </c>
      <c r="R38" s="669" t="s">
        <v>14</v>
      </c>
      <c r="S38" s="670">
        <f t="shared" si="12"/>
        <v>100</v>
      </c>
      <c r="T38" s="669" t="s">
        <v>14</v>
      </c>
      <c r="U38" s="670">
        <f t="shared" si="13"/>
        <v>100</v>
      </c>
      <c r="V38" s="669" t="s">
        <v>14</v>
      </c>
      <c r="W38" s="670">
        <f t="shared" si="14"/>
        <v>100</v>
      </c>
      <c r="X38" s="671"/>
      <c r="Y38" s="34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7"/>
      <c r="Q39" s="1263">
        <f t="shared" si="11"/>
        <v>111</v>
      </c>
      <c r="R39" s="667" t="s">
        <v>14</v>
      </c>
      <c r="S39" s="668">
        <f t="shared" si="12"/>
        <v>100</v>
      </c>
      <c r="T39" s="667" t="s">
        <v>14</v>
      </c>
      <c r="U39" s="668">
        <f t="shared" si="13"/>
        <v>100</v>
      </c>
      <c r="V39" s="667" t="s">
        <v>14</v>
      </c>
      <c r="W39" s="668">
        <f t="shared" si="14"/>
        <v>100</v>
      </c>
      <c r="X39" s="1265"/>
      <c r="Y39" s="34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8"/>
      <c r="Q40" s="1263">
        <f t="shared" si="11"/>
        <v>111</v>
      </c>
      <c r="R40" s="667" t="s">
        <v>14</v>
      </c>
      <c r="S40" s="668">
        <f t="shared" si="12"/>
        <v>100</v>
      </c>
      <c r="T40" s="667" t="s">
        <v>14</v>
      </c>
      <c r="U40" s="668">
        <f t="shared" si="13"/>
        <v>100</v>
      </c>
      <c r="V40" s="667" t="s">
        <v>14</v>
      </c>
      <c r="W40" s="668">
        <f t="shared" si="14"/>
        <v>100</v>
      </c>
      <c r="X40" s="1265"/>
      <c r="Y40" s="343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1" t="str">
        <f>A41</f>
        <v>成交单价（元/平方米）</v>
      </c>
      <c r="Q41" s="3431"/>
      <c r="R41" s="3426">
        <f>E41</f>
        <v>0</v>
      </c>
      <c r="S41" s="3426"/>
      <c r="T41" s="3426">
        <f>G41</f>
        <v>0</v>
      </c>
      <c r="U41" s="3426"/>
      <c r="V41" s="3426">
        <f>I41</f>
        <v>0</v>
      </c>
      <c r="W41" s="342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ht="15">
      <c r="A5" s="348"/>
      <c r="B5" s="349"/>
      <c r="C5" s="3407" t="s">
        <v>1673</v>
      </c>
      <c r="D5" s="3408"/>
      <c r="E5" s="3405" t="s">
        <v>1674</v>
      </c>
      <c r="F5" s="3406"/>
      <c r="G5" s="3407" t="s">
        <v>1675</v>
      </c>
      <c r="H5" s="3408"/>
      <c r="I5" s="3407" t="s">
        <v>1676</v>
      </c>
      <c r="J5" s="3408"/>
      <c r="K5" s="537"/>
      <c r="L5" s="2487"/>
      <c r="M5" s="2488"/>
      <c r="N5" s="2488"/>
      <c r="O5" s="2488"/>
      <c r="P5" s="3420"/>
      <c r="Q5" s="3421"/>
      <c r="R5" s="3403"/>
      <c r="S5" s="3404"/>
      <c r="T5" s="3403"/>
      <c r="U5" s="3404"/>
      <c r="V5" s="3426"/>
      <c r="W5" s="3426"/>
      <c r="X5" s="1265"/>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2487"/>
      <c r="M6" s="2488"/>
      <c r="N6" s="2488"/>
      <c r="O6" s="2488"/>
      <c r="P6" s="3422"/>
      <c r="Q6" s="3423"/>
      <c r="R6" s="3403"/>
      <c r="S6" s="3404"/>
      <c r="T6" s="3424"/>
      <c r="U6" s="3425"/>
      <c r="V6" s="3426"/>
      <c r="W6" s="3426"/>
      <c r="X6" s="1265"/>
      <c r="Y6" s="3424"/>
      <c r="Z6" s="3425"/>
      <c r="AA6" s="3398"/>
      <c r="AB6" s="3398"/>
      <c r="AC6" s="3398"/>
    </row>
    <row r="7" spans="1:29" s="102" customFormat="1" ht="15.75" thickBot="1">
      <c r="A7" s="352" t="s">
        <v>1679</v>
      </c>
      <c r="B7" s="353"/>
      <c r="C7" s="354">
        <f>'数据-取费表'!B2</f>
        <v>45712</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1"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1"/>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3"/>
      <c r="Q15" s="1263"/>
      <c r="R15" s="667"/>
      <c r="S15" s="668"/>
      <c r="T15" s="667"/>
      <c r="U15" s="668"/>
      <c r="V15" s="667"/>
      <c r="W15" s="668"/>
      <c r="X15" s="1265"/>
      <c r="Y15" s="3433"/>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3"/>
      <c r="Q17" s="1263"/>
      <c r="R17" s="667"/>
      <c r="S17" s="668"/>
      <c r="T17" s="667"/>
      <c r="U17" s="668"/>
      <c r="V17" s="667"/>
      <c r="W17" s="668"/>
      <c r="X17" s="1265"/>
      <c r="Y17" s="3433"/>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3"/>
      <c r="Q19" s="1263"/>
      <c r="R19" s="667"/>
      <c r="S19" s="668"/>
      <c r="T19" s="667"/>
      <c r="U19" s="668"/>
      <c r="V19" s="667"/>
      <c r="W19" s="668"/>
      <c r="X19" s="1265"/>
      <c r="Y19" s="3433"/>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3"/>
      <c r="Q21" s="1263"/>
      <c r="R21" s="667"/>
      <c r="S21" s="668"/>
      <c r="T21" s="667"/>
      <c r="U21" s="668"/>
      <c r="V21" s="667"/>
      <c r="W21" s="668"/>
      <c r="X21" s="1265"/>
      <c r="Y21" s="343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3"/>
      <c r="Q24" s="1263">
        <f t="shared" ref="Q24:Q36"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7"/>
      <c r="Q27" s="531" t="str">
        <f t="shared" si="11"/>
        <v>项目停车位配比</v>
      </c>
      <c r="R27" s="669" t="s">
        <v>14</v>
      </c>
      <c r="S27" s="670">
        <f t="shared" si="12"/>
        <v>100</v>
      </c>
      <c r="T27" s="669" t="s">
        <v>14</v>
      </c>
      <c r="U27" s="670">
        <f t="shared" si="13"/>
        <v>100</v>
      </c>
      <c r="V27" s="669" t="s">
        <v>14</v>
      </c>
      <c r="W27" s="670">
        <f t="shared" si="14"/>
        <v>100</v>
      </c>
      <c r="X27" s="671"/>
      <c r="Y27" s="343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7"/>
      <c r="Q28" s="1263" t="str">
        <f t="shared" si="11"/>
        <v>公共部分装修</v>
      </c>
      <c r="R28" s="667" t="s">
        <v>14</v>
      </c>
      <c r="S28" s="668">
        <f t="shared" si="12"/>
        <v>100</v>
      </c>
      <c r="T28" s="667" t="s">
        <v>14</v>
      </c>
      <c r="U28" s="668">
        <f t="shared" si="13"/>
        <v>100</v>
      </c>
      <c r="V28" s="667" t="s">
        <v>14</v>
      </c>
      <c r="W28" s="668">
        <f t="shared" si="14"/>
        <v>100</v>
      </c>
      <c r="X28" s="1265"/>
      <c r="Y28" s="343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7"/>
      <c r="Q29" s="1263" t="str">
        <f t="shared" si="11"/>
        <v>成新率</v>
      </c>
      <c r="R29" s="667" t="s">
        <v>14</v>
      </c>
      <c r="S29" s="668" t="e">
        <f t="shared" si="12"/>
        <v>#N/A</v>
      </c>
      <c r="T29" s="667" t="s">
        <v>14</v>
      </c>
      <c r="U29" s="668" t="e">
        <f t="shared" si="13"/>
        <v>#N/A</v>
      </c>
      <c r="V29" s="667" t="s">
        <v>14</v>
      </c>
      <c r="W29" s="668" t="e">
        <f t="shared" si="14"/>
        <v>#N/A</v>
      </c>
      <c r="X29" s="1265"/>
      <c r="Y29" s="343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7"/>
      <c r="Q30" s="1263" t="str">
        <f t="shared" si="11"/>
        <v>物业等级</v>
      </c>
      <c r="R30" s="667" t="s">
        <v>14</v>
      </c>
      <c r="S30" s="668">
        <f t="shared" si="12"/>
        <v>100</v>
      </c>
      <c r="T30" s="667" t="s">
        <v>14</v>
      </c>
      <c r="U30" s="668">
        <f t="shared" si="13"/>
        <v>100</v>
      </c>
      <c r="V30" s="667" t="s">
        <v>14</v>
      </c>
      <c r="W30" s="668">
        <f t="shared" si="14"/>
        <v>100</v>
      </c>
      <c r="X30" s="1265"/>
      <c r="Y30" s="343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7"/>
      <c r="Q31" s="530" t="str">
        <f t="shared" si="11"/>
        <v>停车位面积</v>
      </c>
      <c r="R31" s="664" t="s">
        <v>14</v>
      </c>
      <c r="S31" s="665" t="e">
        <f t="shared" si="12"/>
        <v>#N/A</v>
      </c>
      <c r="T31" s="664" t="s">
        <v>14</v>
      </c>
      <c r="U31" s="665" t="e">
        <f t="shared" si="13"/>
        <v>#N/A</v>
      </c>
      <c r="V31" s="664" t="s">
        <v>14</v>
      </c>
      <c r="W31" s="665" t="e">
        <f t="shared" si="14"/>
        <v>#N/A</v>
      </c>
      <c r="X31" s="666"/>
      <c r="Y31" s="343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7" t="s">
        <v>1696</v>
      </c>
      <c r="Q32" s="1263" t="str">
        <f t="shared" si="11"/>
        <v>车位类型</v>
      </c>
      <c r="R32" s="667" t="s">
        <v>14</v>
      </c>
      <c r="S32" s="668">
        <f t="shared" si="12"/>
        <v>100</v>
      </c>
      <c r="T32" s="667" t="s">
        <v>14</v>
      </c>
      <c r="U32" s="668">
        <f t="shared" si="13"/>
        <v>100</v>
      </c>
      <c r="V32" s="667" t="s">
        <v>14</v>
      </c>
      <c r="W32" s="668">
        <f t="shared" si="14"/>
        <v>100</v>
      </c>
      <c r="X32" s="1265"/>
      <c r="Y32" s="343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7"/>
      <c r="Q33" s="1263" t="str">
        <f t="shared" si="11"/>
        <v>是否直接入户</v>
      </c>
      <c r="R33" s="667" t="s">
        <v>14</v>
      </c>
      <c r="S33" s="668">
        <f t="shared" si="12"/>
        <v>100</v>
      </c>
      <c r="T33" s="667" t="s">
        <v>14</v>
      </c>
      <c r="U33" s="668">
        <f t="shared" si="13"/>
        <v>100</v>
      </c>
      <c r="V33" s="667" t="s">
        <v>14</v>
      </c>
      <c r="W33" s="668">
        <f t="shared" si="14"/>
        <v>100</v>
      </c>
      <c r="X33" s="1265"/>
      <c r="Y33" s="34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7"/>
      <c r="Q35" s="531">
        <f t="shared" si="11"/>
        <v>111</v>
      </c>
      <c r="R35" s="669" t="s">
        <v>14</v>
      </c>
      <c r="S35" s="670">
        <f t="shared" si="12"/>
        <v>100</v>
      </c>
      <c r="T35" s="669" t="s">
        <v>14</v>
      </c>
      <c r="U35" s="670">
        <f t="shared" si="13"/>
        <v>100</v>
      </c>
      <c r="V35" s="669" t="s">
        <v>14</v>
      </c>
      <c r="W35" s="670">
        <f t="shared" si="14"/>
        <v>100</v>
      </c>
      <c r="X35" s="671"/>
      <c r="Y35" s="34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7"/>
      <c r="Q36" s="1263">
        <f t="shared" si="11"/>
        <v>111</v>
      </c>
      <c r="R36" s="667" t="s">
        <v>14</v>
      </c>
      <c r="S36" s="668">
        <f t="shared" si="12"/>
        <v>100</v>
      </c>
      <c r="T36" s="667" t="s">
        <v>14</v>
      </c>
      <c r="U36" s="668">
        <f t="shared" si="13"/>
        <v>100</v>
      </c>
      <c r="V36" s="667" t="s">
        <v>14</v>
      </c>
      <c r="W36" s="668">
        <f t="shared" si="14"/>
        <v>100</v>
      </c>
      <c r="X36" s="1265"/>
      <c r="Y36" s="3437"/>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431" t="str">
        <f>A37</f>
        <v>成交单价</v>
      </c>
      <c r="Q37" s="3431"/>
      <c r="R37" s="3426">
        <f>E37</f>
        <v>0</v>
      </c>
      <c r="S37" s="3426"/>
      <c r="T37" s="3426">
        <f>G37</f>
        <v>0</v>
      </c>
      <c r="U37" s="3426"/>
      <c r="V37" s="3426">
        <f>I37</f>
        <v>0</v>
      </c>
      <c r="W37" s="342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1" t="str">
        <f>A38</f>
        <v>比较价值（元/平方米）</v>
      </c>
      <c r="Q38" s="34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8" t="str">
        <f>A39</f>
        <v>估价对象XX用房的比较价值（楼面单价，元/平方米）</v>
      </c>
      <c r="Q39" s="3429"/>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ht="15">
      <c r="A5" s="348"/>
      <c r="B5" s="349"/>
      <c r="C5" s="3407" t="s">
        <v>1673</v>
      </c>
      <c r="D5" s="3408"/>
      <c r="E5" s="3405" t="s">
        <v>1674</v>
      </c>
      <c r="F5" s="3406"/>
      <c r="G5" s="3407" t="s">
        <v>1675</v>
      </c>
      <c r="H5" s="3408"/>
      <c r="I5" s="3407" t="s">
        <v>1676</v>
      </c>
      <c r="J5" s="3408"/>
      <c r="K5" s="537"/>
      <c r="L5" s="2487"/>
      <c r="M5" s="2488"/>
      <c r="N5" s="2488"/>
      <c r="O5" s="2488"/>
      <c r="P5" s="3420"/>
      <c r="Q5" s="3421"/>
      <c r="R5" s="3403"/>
      <c r="S5" s="3404"/>
      <c r="T5" s="3403"/>
      <c r="U5" s="3404"/>
      <c r="V5" s="3426"/>
      <c r="W5" s="3426"/>
      <c r="X5" s="1265"/>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2487"/>
      <c r="M6" s="2488"/>
      <c r="N6" s="2488"/>
      <c r="O6" s="2488"/>
      <c r="P6" s="3422"/>
      <c r="Q6" s="3423"/>
      <c r="R6" s="3403"/>
      <c r="S6" s="3404"/>
      <c r="T6" s="3424"/>
      <c r="U6" s="3425"/>
      <c r="V6" s="3426"/>
      <c r="W6" s="3426"/>
      <c r="X6" s="1265"/>
      <c r="Y6" s="3424"/>
      <c r="Z6" s="3425"/>
      <c r="AA6" s="3398"/>
      <c r="AB6" s="3398"/>
      <c r="AC6" s="3398"/>
    </row>
    <row r="7" spans="1:29" s="102" customFormat="1" ht="15.75" thickBot="1">
      <c r="A7" s="352" t="s">
        <v>1679</v>
      </c>
      <c r="B7" s="353"/>
      <c r="C7" s="354">
        <f>'数据-取费表'!B2</f>
        <v>45712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1"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1"/>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3"/>
      <c r="Q15" s="1263"/>
      <c r="R15" s="667"/>
      <c r="S15" s="668"/>
      <c r="T15" s="667"/>
      <c r="U15" s="668"/>
      <c r="V15" s="667"/>
      <c r="W15" s="668"/>
      <c r="X15" s="1265"/>
      <c r="Y15" s="3433"/>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3"/>
      <c r="Q17" s="1263"/>
      <c r="R17" s="667"/>
      <c r="S17" s="668"/>
      <c r="T17" s="667"/>
      <c r="U17" s="668"/>
      <c r="V17" s="667"/>
      <c r="W17" s="668"/>
      <c r="X17" s="1265"/>
      <c r="Y17" s="3433"/>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3"/>
      <c r="Q19" s="1263"/>
      <c r="R19" s="667"/>
      <c r="S19" s="668"/>
      <c r="T19" s="667"/>
      <c r="U19" s="668"/>
      <c r="V19" s="667"/>
      <c r="W19" s="668"/>
      <c r="X19" s="1265"/>
      <c r="Y19" s="3433"/>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3"/>
      <c r="Q21" s="1263"/>
      <c r="R21" s="667"/>
      <c r="S21" s="668"/>
      <c r="T21" s="667"/>
      <c r="U21" s="668"/>
      <c r="V21" s="667"/>
      <c r="W21" s="668"/>
      <c r="X21" s="1265"/>
      <c r="Y21" s="343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3"/>
      <c r="Q24" s="1263">
        <f t="shared" ref="Q24:Q34"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7"/>
      <c r="Q27" s="531" t="str">
        <f t="shared" si="11"/>
        <v>成新率</v>
      </c>
      <c r="R27" s="669" t="s">
        <v>14</v>
      </c>
      <c r="S27" s="670" t="e">
        <f t="shared" si="12"/>
        <v>#N/A</v>
      </c>
      <c r="T27" s="669" t="s">
        <v>14</v>
      </c>
      <c r="U27" s="670" t="e">
        <f t="shared" si="13"/>
        <v>#N/A</v>
      </c>
      <c r="V27" s="669" t="s">
        <v>14</v>
      </c>
      <c r="W27" s="670" t="e">
        <f t="shared" si="14"/>
        <v>#N/A</v>
      </c>
      <c r="X27" s="671"/>
      <c r="Y27" s="343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7"/>
      <c r="Q28" s="1263" t="str">
        <f t="shared" si="11"/>
        <v>物业等级</v>
      </c>
      <c r="R28" s="667" t="s">
        <v>14</v>
      </c>
      <c r="S28" s="668">
        <f t="shared" si="12"/>
        <v>100</v>
      </c>
      <c r="T28" s="667" t="s">
        <v>14</v>
      </c>
      <c r="U28" s="668">
        <f t="shared" si="13"/>
        <v>100</v>
      </c>
      <c r="V28" s="667" t="s">
        <v>14</v>
      </c>
      <c r="W28" s="668">
        <f t="shared" si="14"/>
        <v>100</v>
      </c>
      <c r="X28" s="1265"/>
      <c r="Y28" s="343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7"/>
      <c r="Q29" s="1263" t="str">
        <f t="shared" si="11"/>
        <v>有无电梯</v>
      </c>
      <c r="R29" s="667" t="s">
        <v>14</v>
      </c>
      <c r="S29" s="668">
        <f t="shared" si="12"/>
        <v>100</v>
      </c>
      <c r="T29" s="667" t="s">
        <v>14</v>
      </c>
      <c r="U29" s="668">
        <f t="shared" si="13"/>
        <v>100</v>
      </c>
      <c r="V29" s="667" t="s">
        <v>14</v>
      </c>
      <c r="W29" s="668">
        <f t="shared" si="14"/>
        <v>100</v>
      </c>
      <c r="X29" s="1265"/>
      <c r="Y29" s="343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7"/>
      <c r="Q30" s="1263" t="str">
        <f t="shared" si="11"/>
        <v>建筑面积</v>
      </c>
      <c r="R30" s="667" t="s">
        <v>14</v>
      </c>
      <c r="S30" s="668" t="e">
        <f t="shared" si="12"/>
        <v>#N/A</v>
      </c>
      <c r="T30" s="667" t="s">
        <v>14</v>
      </c>
      <c r="U30" s="668" t="e">
        <f t="shared" si="13"/>
        <v>#N/A</v>
      </c>
      <c r="V30" s="667" t="s">
        <v>14</v>
      </c>
      <c r="W30" s="668" t="e">
        <f t="shared" si="14"/>
        <v>#N/A</v>
      </c>
      <c r="X30" s="1265"/>
      <c r="Y30" s="343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7"/>
      <c r="Q31" s="530" t="str">
        <f t="shared" si="11"/>
        <v>是否封闭</v>
      </c>
      <c r="R31" s="664" t="s">
        <v>14</v>
      </c>
      <c r="S31" s="665">
        <f t="shared" si="12"/>
        <v>100</v>
      </c>
      <c r="T31" s="664" t="s">
        <v>14</v>
      </c>
      <c r="U31" s="665">
        <f t="shared" si="13"/>
        <v>100</v>
      </c>
      <c r="V31" s="664" t="s">
        <v>14</v>
      </c>
      <c r="W31" s="665">
        <f t="shared" si="14"/>
        <v>100</v>
      </c>
      <c r="X31" s="666"/>
      <c r="Y31" s="34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7" t="s">
        <v>1696</v>
      </c>
      <c r="Q32" s="1263">
        <f t="shared" si="11"/>
        <v>111</v>
      </c>
      <c r="R32" s="667" t="s">
        <v>14</v>
      </c>
      <c r="S32" s="668">
        <f t="shared" si="12"/>
        <v>100</v>
      </c>
      <c r="T32" s="667" t="s">
        <v>14</v>
      </c>
      <c r="U32" s="668">
        <f t="shared" si="13"/>
        <v>100</v>
      </c>
      <c r="V32" s="667" t="s">
        <v>14</v>
      </c>
      <c r="W32" s="668">
        <f t="shared" si="14"/>
        <v>100</v>
      </c>
      <c r="X32" s="1265"/>
      <c r="Y32" s="343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7"/>
      <c r="Q33" s="1263">
        <f t="shared" si="11"/>
        <v>111</v>
      </c>
      <c r="R33" s="667" t="s">
        <v>14</v>
      </c>
      <c r="S33" s="668">
        <f t="shared" si="12"/>
        <v>100</v>
      </c>
      <c r="T33" s="667" t="s">
        <v>14</v>
      </c>
      <c r="U33" s="668">
        <f t="shared" si="13"/>
        <v>100</v>
      </c>
      <c r="V33" s="667" t="s">
        <v>14</v>
      </c>
      <c r="W33" s="668">
        <f t="shared" si="14"/>
        <v>100</v>
      </c>
      <c r="X33" s="1265"/>
      <c r="Y33" s="34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1" t="str">
        <f>A35</f>
        <v>成交单价（元/平方米）</v>
      </c>
      <c r="Q35" s="3431"/>
      <c r="R35" s="3426">
        <f>E35</f>
        <v>0</v>
      </c>
      <c r="S35" s="3426"/>
      <c r="T35" s="3426">
        <f>G35</f>
        <v>0</v>
      </c>
      <c r="U35" s="3426"/>
      <c r="V35" s="3426">
        <f>I35</f>
        <v>0</v>
      </c>
      <c r="W35" s="342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1" t="str">
        <f>A36</f>
        <v>比较价值（元/平方米）</v>
      </c>
      <c r="Q36" s="34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8" t="str">
        <f>A37</f>
        <v>估价对象XX用房的比较价值（楼面单价，元/平方米）</v>
      </c>
      <c r="Q37" s="3429"/>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ht="15">
      <c r="A5" s="348"/>
      <c r="B5" s="349"/>
      <c r="C5" s="3407" t="s">
        <v>1673</v>
      </c>
      <c r="D5" s="3408"/>
      <c r="E5" s="3405" t="s">
        <v>1674</v>
      </c>
      <c r="F5" s="3406"/>
      <c r="G5" s="3407" t="s">
        <v>1675</v>
      </c>
      <c r="H5" s="3408"/>
      <c r="I5" s="3407" t="s">
        <v>1676</v>
      </c>
      <c r="J5" s="3408"/>
      <c r="K5" s="537"/>
      <c r="L5" s="2487"/>
      <c r="M5" s="2488"/>
      <c r="N5" s="2488"/>
      <c r="O5" s="2488"/>
      <c r="P5" s="3420"/>
      <c r="Q5" s="3421"/>
      <c r="R5" s="3403"/>
      <c r="S5" s="3404"/>
      <c r="T5" s="3403"/>
      <c r="U5" s="3404"/>
      <c r="V5" s="3426"/>
      <c r="W5" s="3426"/>
      <c r="X5" s="1265"/>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2487"/>
      <c r="M6" s="2488"/>
      <c r="N6" s="2488"/>
      <c r="O6" s="2488"/>
      <c r="P6" s="3422"/>
      <c r="Q6" s="3423"/>
      <c r="R6" s="3403"/>
      <c r="S6" s="3404"/>
      <c r="T6" s="3424"/>
      <c r="U6" s="3425"/>
      <c r="V6" s="3426"/>
      <c r="W6" s="3426"/>
      <c r="X6" s="1265"/>
      <c r="Y6" s="3424"/>
      <c r="Z6" s="3425"/>
      <c r="AA6" s="3398"/>
      <c r="AB6" s="3398"/>
      <c r="AC6" s="3398"/>
    </row>
    <row r="7" spans="1:29" s="102" customFormat="1" ht="15.75" thickBot="1">
      <c r="A7" s="352" t="s">
        <v>1679</v>
      </c>
      <c r="B7" s="353"/>
      <c r="C7" s="354">
        <f>'数据-取费表'!B2</f>
        <v>45712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431"/>
      <c r="Q10" s="530" t="str">
        <f t="shared" si="6"/>
        <v>土地使用年限（年）</v>
      </c>
      <c r="R10" s="664" t="s">
        <v>14</v>
      </c>
      <c r="S10" s="665">
        <f t="shared" si="0"/>
        <v>124</v>
      </c>
      <c r="T10" s="664" t="s">
        <v>14</v>
      </c>
      <c r="U10" s="665">
        <f t="shared" si="1"/>
        <v>124</v>
      </c>
      <c r="V10" s="664" t="s">
        <v>14</v>
      </c>
      <c r="W10" s="665">
        <f t="shared" si="2"/>
        <v>124</v>
      </c>
      <c r="X10" s="666"/>
      <c r="Y10" s="332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1"/>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2" t="s">
        <v>1691</v>
      </c>
      <c r="Q15" s="1263" t="str">
        <f t="shared" si="6"/>
        <v>居住社区成熟度</v>
      </c>
      <c r="R15" s="667" t="s">
        <v>14</v>
      </c>
      <c r="S15" s="668">
        <f t="shared" si="0"/>
        <v>100</v>
      </c>
      <c r="T15" s="667" t="s">
        <v>14</v>
      </c>
      <c r="U15" s="668">
        <f t="shared" si="1"/>
        <v>100</v>
      </c>
      <c r="V15" s="667" t="s">
        <v>14</v>
      </c>
      <c r="W15" s="668">
        <f t="shared" si="2"/>
        <v>100</v>
      </c>
      <c r="X15" s="1265"/>
      <c r="Y15" s="343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3"/>
      <c r="Q16" s="1263"/>
      <c r="R16" s="667"/>
      <c r="S16" s="668"/>
      <c r="T16" s="667"/>
      <c r="U16" s="668"/>
      <c r="V16" s="667"/>
      <c r="W16" s="668"/>
      <c r="X16" s="1265"/>
      <c r="Y16" s="343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3"/>
      <c r="Q17" s="1263" t="str">
        <f>B17</f>
        <v>商业繁华度</v>
      </c>
      <c r="R17" s="667" t="s">
        <v>14</v>
      </c>
      <c r="S17" s="668">
        <f>F17</f>
        <v>100</v>
      </c>
      <c r="T17" s="667" t="s">
        <v>14</v>
      </c>
      <c r="U17" s="668">
        <f>H17</f>
        <v>100</v>
      </c>
      <c r="V17" s="667" t="s">
        <v>14</v>
      </c>
      <c r="W17" s="668">
        <f>J17</f>
        <v>100</v>
      </c>
      <c r="X17" s="1265"/>
      <c r="Y17" s="34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3"/>
      <c r="Q18" s="1263"/>
      <c r="R18" s="667"/>
      <c r="S18" s="668"/>
      <c r="T18" s="667"/>
      <c r="U18" s="668"/>
      <c r="V18" s="667"/>
      <c r="W18" s="668"/>
      <c r="X18" s="1265"/>
      <c r="Y18" s="3433"/>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3"/>
      <c r="Q19" s="1263" t="str">
        <f>B19</f>
        <v>办公集聚程度</v>
      </c>
      <c r="R19" s="667" t="s">
        <v>14</v>
      </c>
      <c r="S19" s="668">
        <f>F19</f>
        <v>100</v>
      </c>
      <c r="T19" s="667" t="s">
        <v>14</v>
      </c>
      <c r="U19" s="668">
        <f>H19</f>
        <v>100</v>
      </c>
      <c r="V19" s="667" t="s">
        <v>14</v>
      </c>
      <c r="W19" s="668">
        <f>J19</f>
        <v>100</v>
      </c>
      <c r="X19" s="1265"/>
      <c r="Y19" s="34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3"/>
      <c r="Q20" s="1263"/>
      <c r="R20" s="667"/>
      <c r="S20" s="668"/>
      <c r="T20" s="667"/>
      <c r="U20" s="668"/>
      <c r="V20" s="667"/>
      <c r="W20" s="668"/>
      <c r="X20" s="1265"/>
      <c r="Y20" s="3433"/>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3"/>
      <c r="Q21" s="1263" t="str">
        <f>B21</f>
        <v>交通便捷度</v>
      </c>
      <c r="R21" s="667" t="s">
        <v>14</v>
      </c>
      <c r="S21" s="668">
        <f>F21</f>
        <v>100</v>
      </c>
      <c r="T21" s="667" t="s">
        <v>14</v>
      </c>
      <c r="U21" s="668">
        <f>H21</f>
        <v>100</v>
      </c>
      <c r="V21" s="667" t="s">
        <v>14</v>
      </c>
      <c r="W21" s="668">
        <f>J21</f>
        <v>100</v>
      </c>
      <c r="X21" s="1265"/>
      <c r="Y21" s="34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3"/>
      <c r="Q22" s="1263"/>
      <c r="R22" s="667"/>
      <c r="S22" s="668"/>
      <c r="T22" s="667"/>
      <c r="U22" s="668"/>
      <c r="V22" s="667"/>
      <c r="W22" s="668"/>
      <c r="X22" s="1265"/>
      <c r="Y22" s="343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3"/>
      <c r="Q23" s="1263" t="str">
        <f t="shared" ref="Q23:Q37" si="8">B23</f>
        <v>区域土地利用方向</v>
      </c>
      <c r="R23" s="667" t="s">
        <v>14</v>
      </c>
      <c r="S23" s="668">
        <f>F23</f>
        <v>100</v>
      </c>
      <c r="T23" s="667" t="s">
        <v>14</v>
      </c>
      <c r="U23" s="668">
        <f>H23</f>
        <v>100</v>
      </c>
      <c r="V23" s="667" t="s">
        <v>14</v>
      </c>
      <c r="W23" s="668">
        <f>J23</f>
        <v>100</v>
      </c>
      <c r="X23" s="1265"/>
      <c r="Y23" s="34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3"/>
      <c r="Q24" s="1263"/>
      <c r="R24" s="667"/>
      <c r="S24" s="668"/>
      <c r="T24" s="667"/>
      <c r="U24" s="668"/>
      <c r="V24" s="667"/>
      <c r="W24" s="668"/>
      <c r="X24" s="1265"/>
      <c r="Y24" s="3433"/>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3"/>
      <c r="Q25" s="1263" t="str">
        <f t="shared" si="8"/>
        <v>自然及人文环境状况</v>
      </c>
      <c r="R25" s="667" t="s">
        <v>14</v>
      </c>
      <c r="S25" s="668">
        <f>F25</f>
        <v>100</v>
      </c>
      <c r="T25" s="667" t="s">
        <v>14</v>
      </c>
      <c r="U25" s="668">
        <f>H25</f>
        <v>100</v>
      </c>
      <c r="V25" s="667" t="s">
        <v>14</v>
      </c>
      <c r="W25" s="668">
        <f>J25</f>
        <v>100</v>
      </c>
      <c r="X25" s="1265"/>
      <c r="Y25" s="34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3"/>
      <c r="Q26" s="1263"/>
      <c r="R26" s="667"/>
      <c r="S26" s="668"/>
      <c r="T26" s="667"/>
      <c r="U26" s="668"/>
      <c r="V26" s="667"/>
      <c r="W26" s="668"/>
      <c r="X26" s="1265"/>
      <c r="Y26" s="3433"/>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3"/>
      <c r="Q27" s="530" t="str">
        <f t="shared" si="8"/>
        <v>公共配套设施</v>
      </c>
      <c r="R27" s="664" t="s">
        <v>14</v>
      </c>
      <c r="S27" s="665">
        <f>F27</f>
        <v>100</v>
      </c>
      <c r="T27" s="664" t="s">
        <v>14</v>
      </c>
      <c r="U27" s="665">
        <f>H27</f>
        <v>100</v>
      </c>
      <c r="V27" s="664" t="s">
        <v>14</v>
      </c>
      <c r="W27" s="665">
        <f>J27</f>
        <v>100</v>
      </c>
      <c r="X27" s="666"/>
      <c r="Y27" s="34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3"/>
      <c r="Q28" s="530"/>
      <c r="R28" s="664"/>
      <c r="S28" s="665"/>
      <c r="T28" s="664"/>
      <c r="U28" s="665"/>
      <c r="V28" s="664"/>
      <c r="W28" s="665"/>
      <c r="X28" s="666"/>
      <c r="Y28" s="3433"/>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3"/>
      <c r="Q29" s="530" t="str">
        <f t="shared" ref="Q29" si="9">B29</f>
        <v>基础设施水平</v>
      </c>
      <c r="R29" s="664" t="s">
        <v>14</v>
      </c>
      <c r="S29" s="665">
        <f>F29</f>
        <v>100</v>
      </c>
      <c r="T29" s="664" t="s">
        <v>14</v>
      </c>
      <c r="U29" s="665">
        <f>H29</f>
        <v>100</v>
      </c>
      <c r="V29" s="664" t="s">
        <v>14</v>
      </c>
      <c r="W29" s="665">
        <f>J29</f>
        <v>100</v>
      </c>
      <c r="X29" s="666"/>
      <c r="Y29" s="34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3"/>
      <c r="Q30" s="530"/>
      <c r="R30" s="664"/>
      <c r="S30" s="665"/>
      <c r="T30" s="664"/>
      <c r="U30" s="665"/>
      <c r="V30" s="664"/>
      <c r="W30" s="665"/>
      <c r="X30" s="666"/>
      <c r="Y30" s="343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3"/>
      <c r="Q32" s="1263" t="str">
        <f t="shared" si="8"/>
        <v>毗邻道路的类型与等级</v>
      </c>
      <c r="R32" s="667" t="s">
        <v>14</v>
      </c>
      <c r="S32" s="668">
        <f t="shared" si="10"/>
        <v>100</v>
      </c>
      <c r="T32" s="667" t="s">
        <v>14</v>
      </c>
      <c r="U32" s="668">
        <f t="shared" si="11"/>
        <v>100</v>
      </c>
      <c r="V32" s="667" t="s">
        <v>14</v>
      </c>
      <c r="W32" s="668">
        <f t="shared" si="12"/>
        <v>100</v>
      </c>
      <c r="X32" s="1265"/>
      <c r="Y32" s="34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3"/>
      <c r="Q33" s="1263"/>
      <c r="R33" s="667"/>
      <c r="S33" s="668"/>
      <c r="T33" s="667"/>
      <c r="U33" s="668"/>
      <c r="V33" s="667"/>
      <c r="W33" s="668"/>
      <c r="X33" s="1265"/>
      <c r="Y33" s="343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3"/>
      <c r="Q34" s="1263" t="str">
        <f t="shared" si="8"/>
        <v>土地级别</v>
      </c>
      <c r="R34" s="667" t="s">
        <v>14</v>
      </c>
      <c r="S34" s="668">
        <f t="shared" si="10"/>
        <v>100</v>
      </c>
      <c r="T34" s="667" t="s">
        <v>14</v>
      </c>
      <c r="U34" s="668">
        <f t="shared" si="11"/>
        <v>100</v>
      </c>
      <c r="V34" s="667" t="s">
        <v>14</v>
      </c>
      <c r="W34" s="668">
        <f t="shared" si="12"/>
        <v>100</v>
      </c>
      <c r="X34" s="1265"/>
      <c r="Y34" s="34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3"/>
      <c r="Q35" s="1263">
        <f t="shared" si="8"/>
        <v>111</v>
      </c>
      <c r="R35" s="667" t="s">
        <v>14</v>
      </c>
      <c r="S35" s="668">
        <f t="shared" si="10"/>
        <v>100</v>
      </c>
      <c r="T35" s="667" t="s">
        <v>14</v>
      </c>
      <c r="U35" s="668">
        <f t="shared" si="11"/>
        <v>100</v>
      </c>
      <c r="V35" s="667" t="s">
        <v>14</v>
      </c>
      <c r="W35" s="668">
        <f t="shared" si="12"/>
        <v>100</v>
      </c>
      <c r="X35" s="1265"/>
      <c r="Y35" s="34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6" t="s">
        <v>1696</v>
      </c>
      <c r="Q36" s="1263">
        <f t="shared" si="8"/>
        <v>111</v>
      </c>
      <c r="R36" s="667" t="s">
        <v>14</v>
      </c>
      <c r="S36" s="668">
        <f t="shared" si="10"/>
        <v>100</v>
      </c>
      <c r="T36" s="667" t="s">
        <v>14</v>
      </c>
      <c r="U36" s="668">
        <f t="shared" si="11"/>
        <v>100</v>
      </c>
      <c r="V36" s="667" t="s">
        <v>14</v>
      </c>
      <c r="W36" s="668">
        <f t="shared" si="12"/>
        <v>100</v>
      </c>
      <c r="X36" s="1265"/>
      <c r="Y36" s="343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7"/>
      <c r="Q37" s="1263">
        <f t="shared" si="8"/>
        <v>111</v>
      </c>
      <c r="R37" s="669" t="s">
        <v>14</v>
      </c>
      <c r="S37" s="670">
        <f t="shared" si="10"/>
        <v>100</v>
      </c>
      <c r="T37" s="669" t="s">
        <v>14</v>
      </c>
      <c r="U37" s="670">
        <f t="shared" si="11"/>
        <v>100</v>
      </c>
      <c r="V37" s="669" t="s">
        <v>14</v>
      </c>
      <c r="W37" s="670">
        <f t="shared" si="12"/>
        <v>100</v>
      </c>
      <c r="X37" s="671"/>
      <c r="Y37" s="343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7"/>
      <c r="Q38" s="1263" t="str">
        <f>B38</f>
        <v>宗地面积</v>
      </c>
      <c r="R38" s="667" t="s">
        <v>14</v>
      </c>
      <c r="S38" s="668" t="e">
        <f t="shared" si="10"/>
        <v>#N/A</v>
      </c>
      <c r="T38" s="667" t="s">
        <v>14</v>
      </c>
      <c r="U38" s="668" t="e">
        <f t="shared" si="11"/>
        <v>#N/A</v>
      </c>
      <c r="V38" s="667" t="s">
        <v>14</v>
      </c>
      <c r="W38" s="668" t="e">
        <f t="shared" si="12"/>
        <v>#N/A</v>
      </c>
      <c r="X38" s="1265"/>
      <c r="Y38" s="343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7"/>
      <c r="Q39" s="1263" t="str">
        <f t="shared" ref="Q39:Q45" si="14">B39</f>
        <v>宗地形状</v>
      </c>
      <c r="R39" s="667" t="s">
        <v>14</v>
      </c>
      <c r="S39" s="668">
        <f t="shared" si="10"/>
        <v>100</v>
      </c>
      <c r="T39" s="667" t="s">
        <v>14</v>
      </c>
      <c r="U39" s="668">
        <f t="shared" si="11"/>
        <v>100</v>
      </c>
      <c r="V39" s="667" t="s">
        <v>14</v>
      </c>
      <c r="W39" s="668">
        <f t="shared" si="12"/>
        <v>100</v>
      </c>
      <c r="X39" s="1265"/>
      <c r="Y39" s="343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7"/>
      <c r="Q40" s="1263" t="str">
        <f t="shared" si="14"/>
        <v>临街宽度及深度</v>
      </c>
      <c r="R40" s="667" t="s">
        <v>14</v>
      </c>
      <c r="S40" s="668">
        <f t="shared" si="10"/>
        <v>100</v>
      </c>
      <c r="T40" s="667" t="s">
        <v>14</v>
      </c>
      <c r="U40" s="668">
        <f t="shared" si="11"/>
        <v>100</v>
      </c>
      <c r="V40" s="667" t="s">
        <v>14</v>
      </c>
      <c r="W40" s="668">
        <f t="shared" si="12"/>
        <v>100</v>
      </c>
      <c r="X40" s="1265"/>
      <c r="Y40" s="343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7"/>
      <c r="Q41" s="1263" t="str">
        <f t="shared" si="14"/>
        <v>宗地开发程度</v>
      </c>
      <c r="R41" s="664" t="s">
        <v>14</v>
      </c>
      <c r="S41" s="665">
        <f t="shared" si="10"/>
        <v>100</v>
      </c>
      <c r="T41" s="664" t="s">
        <v>14</v>
      </c>
      <c r="U41" s="665">
        <f t="shared" si="11"/>
        <v>100</v>
      </c>
      <c r="V41" s="664" t="s">
        <v>14</v>
      </c>
      <c r="W41" s="665">
        <f t="shared" si="12"/>
        <v>100</v>
      </c>
      <c r="X41" s="666"/>
      <c r="Y41" s="343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7" t="s">
        <v>1696</v>
      </c>
      <c r="Q42" s="1263" t="str">
        <f t="shared" si="14"/>
        <v>工程地质条件</v>
      </c>
      <c r="R42" s="667" t="s">
        <v>14</v>
      </c>
      <c r="S42" s="668">
        <f t="shared" si="10"/>
        <v>100</v>
      </c>
      <c r="T42" s="667" t="s">
        <v>14</v>
      </c>
      <c r="U42" s="668">
        <f t="shared" si="11"/>
        <v>100</v>
      </c>
      <c r="V42" s="667" t="s">
        <v>14</v>
      </c>
      <c r="W42" s="668">
        <f t="shared" si="12"/>
        <v>100</v>
      </c>
      <c r="X42" s="1265"/>
      <c r="Y42" s="343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7"/>
      <c r="Q43" s="1263">
        <f t="shared" si="14"/>
        <v>111</v>
      </c>
      <c r="R43" s="667" t="s">
        <v>14</v>
      </c>
      <c r="S43" s="668">
        <f t="shared" si="10"/>
        <v>100</v>
      </c>
      <c r="T43" s="667" t="s">
        <v>14</v>
      </c>
      <c r="U43" s="668">
        <f t="shared" si="11"/>
        <v>100</v>
      </c>
      <c r="V43" s="667" t="s">
        <v>14</v>
      </c>
      <c r="W43" s="668">
        <f t="shared" si="12"/>
        <v>100</v>
      </c>
      <c r="X43" s="1265"/>
      <c r="Y43" s="34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7"/>
      <c r="Q44" s="1263">
        <f t="shared" si="14"/>
        <v>111</v>
      </c>
      <c r="R44" s="667" t="s">
        <v>14</v>
      </c>
      <c r="S44" s="668">
        <f t="shared" si="10"/>
        <v>100</v>
      </c>
      <c r="T44" s="667" t="s">
        <v>14</v>
      </c>
      <c r="U44" s="668">
        <f t="shared" si="11"/>
        <v>100</v>
      </c>
      <c r="V44" s="667" t="s">
        <v>14</v>
      </c>
      <c r="W44" s="668">
        <f t="shared" si="12"/>
        <v>100</v>
      </c>
      <c r="X44" s="1265"/>
      <c r="Y44" s="34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7"/>
      <c r="Q45" s="1263">
        <f t="shared" si="14"/>
        <v>111</v>
      </c>
      <c r="R45" s="669" t="s">
        <v>14</v>
      </c>
      <c r="S45" s="670">
        <f t="shared" si="10"/>
        <v>100</v>
      </c>
      <c r="T45" s="669" t="s">
        <v>14</v>
      </c>
      <c r="U45" s="670">
        <f t="shared" si="11"/>
        <v>100</v>
      </c>
      <c r="V45" s="669" t="s">
        <v>14</v>
      </c>
      <c r="W45" s="670">
        <f t="shared" si="12"/>
        <v>100</v>
      </c>
      <c r="X45" s="671"/>
      <c r="Y45" s="343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1" t="str">
        <f>A46</f>
        <v>成交单价</v>
      </c>
      <c r="Q46" s="3431"/>
      <c r="R46" s="3426">
        <f>E46</f>
        <v>0</v>
      </c>
      <c r="S46" s="3426"/>
      <c r="T46" s="3426">
        <f>G46</f>
        <v>0</v>
      </c>
      <c r="U46" s="3426"/>
      <c r="V46" s="3426">
        <f>I46</f>
        <v>0</v>
      </c>
      <c r="W46" s="342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1" t="str">
        <f>A47</f>
        <v>比较价值（元/平方米）</v>
      </c>
      <c r="Q47" s="3431"/>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8" t="str">
        <f>A48</f>
        <v>估价对象XX用房的比较价值（楼面单价，元/平方米）</v>
      </c>
      <c r="Q48" s="3429"/>
      <c r="R48" s="3459" t="e">
        <f>ROUND(IF(D47="简单平均",AVERAGE(R47:W47),R47*F47+T47*H47+V47*J47),0)</f>
        <v>#DIV/0!</v>
      </c>
      <c r="S48" s="3459"/>
      <c r="T48" s="3459"/>
      <c r="U48" s="3459"/>
      <c r="V48" s="3459"/>
      <c r="W48" s="34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45260.62</v>
      </c>
      <c r="F56" s="833" t="e">
        <f t="shared" ref="F56:F64" si="15">ROUND(B56*E56/10000,0)</f>
        <v>#DIV/0!</v>
      </c>
      <c r="G56" s="3413"/>
      <c r="H56" s="34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5875.41</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51136.03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ht="15">
      <c r="A5" s="348"/>
      <c r="B5" s="349"/>
      <c r="C5" s="3407" t="s">
        <v>1673</v>
      </c>
      <c r="D5" s="3408"/>
      <c r="E5" s="3405" t="s">
        <v>1674</v>
      </c>
      <c r="F5" s="3406"/>
      <c r="G5" s="3407" t="s">
        <v>1675</v>
      </c>
      <c r="H5" s="3408"/>
      <c r="I5" s="3407" t="s">
        <v>1676</v>
      </c>
      <c r="J5" s="3408"/>
      <c r="K5" s="537"/>
      <c r="L5" s="2487"/>
      <c r="M5" s="2488"/>
      <c r="N5" s="2488"/>
      <c r="O5" s="2488"/>
      <c r="P5" s="3420"/>
      <c r="Q5" s="3421"/>
      <c r="R5" s="3403"/>
      <c r="S5" s="3404"/>
      <c r="T5" s="3403"/>
      <c r="U5" s="3404"/>
      <c r="V5" s="3426"/>
      <c r="W5" s="3426"/>
      <c r="X5" s="1265"/>
      <c r="Y5" s="3403"/>
      <c r="Z5" s="3404"/>
      <c r="AA5" s="3397"/>
      <c r="AB5" s="3397"/>
      <c r="AC5" s="3397"/>
    </row>
    <row r="6" spans="1:29" ht="15.75" thickBot="1">
      <c r="A6" s="350"/>
      <c r="B6" s="351"/>
      <c r="C6" s="3461" t="s">
        <v>1919</v>
      </c>
      <c r="D6" s="3462"/>
      <c r="E6" s="3463" t="s">
        <v>1919</v>
      </c>
      <c r="F6" s="3464"/>
      <c r="G6" s="3461" t="s">
        <v>1919</v>
      </c>
      <c r="H6" s="3462"/>
      <c r="I6" s="3461" t="s">
        <v>1919</v>
      </c>
      <c r="J6" s="3462"/>
      <c r="K6" s="537" t="s">
        <v>1678</v>
      </c>
      <c r="L6" s="2487"/>
      <c r="M6" s="2488"/>
      <c r="N6" s="2488"/>
      <c r="O6" s="2488"/>
      <c r="P6" s="3422"/>
      <c r="Q6" s="3423"/>
      <c r="R6" s="3403"/>
      <c r="S6" s="3404"/>
      <c r="T6" s="3424"/>
      <c r="U6" s="3425"/>
      <c r="V6" s="3426"/>
      <c r="W6" s="3426"/>
      <c r="X6" s="1265"/>
      <c r="Y6" s="3424"/>
      <c r="Z6" s="3425"/>
      <c r="AA6" s="3398"/>
      <c r="AB6" s="3398"/>
      <c r="AC6" s="3398"/>
    </row>
    <row r="7" spans="1:29" s="102" customFormat="1" ht="15.75" thickBot="1">
      <c r="A7" s="352" t="s">
        <v>1679</v>
      </c>
      <c r="B7" s="353"/>
      <c r="C7" s="354">
        <f>'数据-取费表'!B2</f>
        <v>45712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431"/>
      <c r="Q10" s="530" t="str">
        <f t="shared" si="6"/>
        <v>土地使用年限（年）</v>
      </c>
      <c r="R10" s="664" t="s">
        <v>14</v>
      </c>
      <c r="S10" s="665">
        <f t="shared" si="0"/>
        <v>124</v>
      </c>
      <c r="T10" s="664" t="s">
        <v>14</v>
      </c>
      <c r="U10" s="665">
        <f t="shared" si="1"/>
        <v>124</v>
      </c>
      <c r="V10" s="664" t="s">
        <v>14</v>
      </c>
      <c r="W10" s="665">
        <f t="shared" si="2"/>
        <v>124</v>
      </c>
      <c r="X10" s="666"/>
      <c r="Y10" s="332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3"/>
      <c r="Q16" s="1263"/>
      <c r="R16" s="667"/>
      <c r="S16" s="668"/>
      <c r="T16" s="667"/>
      <c r="U16" s="668"/>
      <c r="V16" s="667"/>
      <c r="W16" s="668"/>
      <c r="X16" s="1265"/>
      <c r="Y16" s="3433"/>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3"/>
      <c r="Q18" s="1263"/>
      <c r="R18" s="667"/>
      <c r="S18" s="668"/>
      <c r="T18" s="667"/>
      <c r="U18" s="668"/>
      <c r="V18" s="667"/>
      <c r="W18" s="668"/>
      <c r="X18" s="1265"/>
      <c r="Y18" s="343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3"/>
      <c r="Q19" s="1263" t="str">
        <f t="shared" ref="Q19:Q33" si="8">B19</f>
        <v>区域土地利用方向</v>
      </c>
      <c r="R19" s="667" t="s">
        <v>14</v>
      </c>
      <c r="S19" s="668">
        <f>F19</f>
        <v>100</v>
      </c>
      <c r="T19" s="667" t="s">
        <v>14</v>
      </c>
      <c r="U19" s="668">
        <f>H19</f>
        <v>100</v>
      </c>
      <c r="V19" s="667" t="s">
        <v>14</v>
      </c>
      <c r="W19" s="668">
        <f>J19</f>
        <v>100</v>
      </c>
      <c r="X19" s="1265"/>
      <c r="Y19" s="34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3"/>
      <c r="Q20" s="1263"/>
      <c r="R20" s="667"/>
      <c r="S20" s="668"/>
      <c r="T20" s="667"/>
      <c r="U20" s="668"/>
      <c r="V20" s="667"/>
      <c r="W20" s="668"/>
      <c r="X20" s="1265"/>
      <c r="Y20" s="3433"/>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3"/>
      <c r="Q21" s="1263" t="str">
        <f t="shared" si="8"/>
        <v>环境状况</v>
      </c>
      <c r="R21" s="667" t="s">
        <v>14</v>
      </c>
      <c r="S21" s="668">
        <f>F21</f>
        <v>100</v>
      </c>
      <c r="T21" s="667" t="s">
        <v>14</v>
      </c>
      <c r="U21" s="668">
        <f>H21</f>
        <v>100</v>
      </c>
      <c r="V21" s="667" t="s">
        <v>14</v>
      </c>
      <c r="W21" s="668">
        <f>J21</f>
        <v>100</v>
      </c>
      <c r="X21" s="1265"/>
      <c r="Y21" s="34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3"/>
      <c r="Q22" s="1263"/>
      <c r="R22" s="667"/>
      <c r="S22" s="668"/>
      <c r="T22" s="667"/>
      <c r="U22" s="668"/>
      <c r="V22" s="667"/>
      <c r="W22" s="668"/>
      <c r="X22" s="1265"/>
      <c r="Y22" s="3433"/>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3"/>
      <c r="Q23" s="530" t="str">
        <f t="shared" si="8"/>
        <v>公共配套设施</v>
      </c>
      <c r="R23" s="664" t="s">
        <v>14</v>
      </c>
      <c r="S23" s="665">
        <f>F23</f>
        <v>100</v>
      </c>
      <c r="T23" s="664" t="s">
        <v>14</v>
      </c>
      <c r="U23" s="665">
        <f>H23</f>
        <v>100</v>
      </c>
      <c r="V23" s="664" t="s">
        <v>14</v>
      </c>
      <c r="W23" s="665">
        <f>J23</f>
        <v>100</v>
      </c>
      <c r="X23" s="666"/>
      <c r="Y23" s="34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3"/>
      <c r="Q24" s="530"/>
      <c r="R24" s="664"/>
      <c r="S24" s="665"/>
      <c r="T24" s="664"/>
      <c r="U24" s="665"/>
      <c r="V24" s="664"/>
      <c r="W24" s="665"/>
      <c r="X24" s="666"/>
      <c r="Y24" s="3433"/>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3"/>
      <c r="Q25" s="530" t="str">
        <f t="shared" ref="Q25" si="9">B25</f>
        <v>基础设施水平</v>
      </c>
      <c r="R25" s="664" t="s">
        <v>14</v>
      </c>
      <c r="S25" s="665">
        <f>F25</f>
        <v>100</v>
      </c>
      <c r="T25" s="664" t="s">
        <v>14</v>
      </c>
      <c r="U25" s="665">
        <f>H25</f>
        <v>100</v>
      </c>
      <c r="V25" s="664" t="s">
        <v>14</v>
      </c>
      <c r="W25" s="665">
        <f>J25</f>
        <v>100</v>
      </c>
      <c r="X25" s="666"/>
      <c r="Y25" s="34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3"/>
      <c r="Q26" s="530"/>
      <c r="R26" s="664"/>
      <c r="S26" s="665"/>
      <c r="T26" s="664"/>
      <c r="U26" s="665"/>
      <c r="V26" s="664"/>
      <c r="W26" s="665"/>
      <c r="X26" s="666"/>
      <c r="Y26" s="343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3"/>
      <c r="Q28" s="1263" t="str">
        <f t="shared" si="8"/>
        <v>毗邻道路的类型与等级</v>
      </c>
      <c r="R28" s="667" t="s">
        <v>14</v>
      </c>
      <c r="S28" s="668">
        <f t="shared" si="10"/>
        <v>100</v>
      </c>
      <c r="T28" s="667" t="s">
        <v>14</v>
      </c>
      <c r="U28" s="668">
        <f t="shared" si="11"/>
        <v>100</v>
      </c>
      <c r="V28" s="667" t="s">
        <v>14</v>
      </c>
      <c r="W28" s="668">
        <f t="shared" si="12"/>
        <v>100</v>
      </c>
      <c r="X28" s="1265"/>
      <c r="Y28" s="34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3"/>
      <c r="Q29" s="1263"/>
      <c r="R29" s="667"/>
      <c r="S29" s="668"/>
      <c r="T29" s="667"/>
      <c r="U29" s="668"/>
      <c r="V29" s="667"/>
      <c r="W29" s="668"/>
      <c r="X29" s="1265"/>
      <c r="Y29" s="343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3"/>
      <c r="Q30" s="1263" t="str">
        <f t="shared" si="8"/>
        <v>土地级别</v>
      </c>
      <c r="R30" s="667" t="s">
        <v>14</v>
      </c>
      <c r="S30" s="668">
        <f t="shared" si="10"/>
        <v>100</v>
      </c>
      <c r="T30" s="667" t="s">
        <v>14</v>
      </c>
      <c r="U30" s="668">
        <f t="shared" si="11"/>
        <v>100</v>
      </c>
      <c r="V30" s="667" t="s">
        <v>14</v>
      </c>
      <c r="W30" s="668">
        <f t="shared" si="12"/>
        <v>100</v>
      </c>
      <c r="X30" s="1265"/>
      <c r="Y30" s="34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3"/>
      <c r="Q31" s="1263">
        <f t="shared" si="8"/>
        <v>111</v>
      </c>
      <c r="R31" s="667" t="s">
        <v>14</v>
      </c>
      <c r="S31" s="668">
        <f t="shared" si="10"/>
        <v>100</v>
      </c>
      <c r="T31" s="667" t="s">
        <v>14</v>
      </c>
      <c r="U31" s="668">
        <f t="shared" si="11"/>
        <v>100</v>
      </c>
      <c r="V31" s="667" t="s">
        <v>14</v>
      </c>
      <c r="W31" s="668">
        <f t="shared" si="12"/>
        <v>100</v>
      </c>
      <c r="X31" s="1265"/>
      <c r="Y31" s="34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6" t="s">
        <v>1696</v>
      </c>
      <c r="Q32" s="1263">
        <f t="shared" si="8"/>
        <v>111</v>
      </c>
      <c r="R32" s="667" t="s">
        <v>14</v>
      </c>
      <c r="S32" s="668">
        <f t="shared" si="10"/>
        <v>100</v>
      </c>
      <c r="T32" s="667" t="s">
        <v>14</v>
      </c>
      <c r="U32" s="668">
        <f t="shared" si="11"/>
        <v>100</v>
      </c>
      <c r="V32" s="667" t="s">
        <v>14</v>
      </c>
      <c r="W32" s="668">
        <f t="shared" si="12"/>
        <v>100</v>
      </c>
      <c r="X32" s="1265"/>
      <c r="Y32" s="343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7"/>
      <c r="Q33" s="1263">
        <f t="shared" si="8"/>
        <v>111</v>
      </c>
      <c r="R33" s="669" t="s">
        <v>14</v>
      </c>
      <c r="S33" s="670">
        <f t="shared" si="10"/>
        <v>100</v>
      </c>
      <c r="T33" s="669" t="s">
        <v>14</v>
      </c>
      <c r="U33" s="670">
        <f t="shared" si="11"/>
        <v>100</v>
      </c>
      <c r="V33" s="669" t="s">
        <v>14</v>
      </c>
      <c r="W33" s="670">
        <f t="shared" si="12"/>
        <v>100</v>
      </c>
      <c r="X33" s="671"/>
      <c r="Y33" s="343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7"/>
      <c r="Q34" s="1263" t="str">
        <f>B34</f>
        <v>宗地面积</v>
      </c>
      <c r="R34" s="667" t="s">
        <v>14</v>
      </c>
      <c r="S34" s="668" t="e">
        <f t="shared" si="10"/>
        <v>#N/A</v>
      </c>
      <c r="T34" s="667" t="s">
        <v>14</v>
      </c>
      <c r="U34" s="668" t="e">
        <f t="shared" si="11"/>
        <v>#N/A</v>
      </c>
      <c r="V34" s="667" t="s">
        <v>14</v>
      </c>
      <c r="W34" s="668" t="e">
        <f t="shared" si="12"/>
        <v>#N/A</v>
      </c>
      <c r="X34" s="1265"/>
      <c r="Y34" s="343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7"/>
      <c r="Q35" s="1263" t="str">
        <f t="shared" ref="Q35:Q40" si="14">B35</f>
        <v>宗地形状</v>
      </c>
      <c r="R35" s="667" t="s">
        <v>14</v>
      </c>
      <c r="S35" s="668">
        <f t="shared" si="10"/>
        <v>100</v>
      </c>
      <c r="T35" s="667" t="s">
        <v>14</v>
      </c>
      <c r="U35" s="668">
        <f t="shared" si="11"/>
        <v>100</v>
      </c>
      <c r="V35" s="667" t="s">
        <v>14</v>
      </c>
      <c r="W35" s="668">
        <f t="shared" si="12"/>
        <v>100</v>
      </c>
      <c r="X35" s="1265"/>
      <c r="Y35" s="343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7"/>
      <c r="Q36" s="1263" t="str">
        <f t="shared" si="14"/>
        <v>宗地开发程度</v>
      </c>
      <c r="R36" s="664" t="s">
        <v>14</v>
      </c>
      <c r="S36" s="665">
        <f t="shared" si="10"/>
        <v>100</v>
      </c>
      <c r="T36" s="664" t="s">
        <v>14</v>
      </c>
      <c r="U36" s="665">
        <f t="shared" si="11"/>
        <v>100</v>
      </c>
      <c r="V36" s="664" t="s">
        <v>14</v>
      </c>
      <c r="W36" s="665">
        <f t="shared" si="12"/>
        <v>100</v>
      </c>
      <c r="X36" s="666"/>
      <c r="Y36" s="343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7" t="s">
        <v>1696</v>
      </c>
      <c r="Q37" s="1263" t="str">
        <f t="shared" si="14"/>
        <v>工程地质条件</v>
      </c>
      <c r="R37" s="667" t="s">
        <v>14</v>
      </c>
      <c r="S37" s="668">
        <f t="shared" si="10"/>
        <v>100</v>
      </c>
      <c r="T37" s="667" t="s">
        <v>14</v>
      </c>
      <c r="U37" s="668">
        <f t="shared" si="11"/>
        <v>100</v>
      </c>
      <c r="V37" s="667" t="s">
        <v>14</v>
      </c>
      <c r="W37" s="668">
        <f t="shared" si="12"/>
        <v>100</v>
      </c>
      <c r="X37" s="1265"/>
      <c r="Y37" s="343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7"/>
      <c r="Q38" s="1263">
        <f t="shared" si="14"/>
        <v>111</v>
      </c>
      <c r="R38" s="667" t="s">
        <v>14</v>
      </c>
      <c r="S38" s="668">
        <f t="shared" si="10"/>
        <v>100</v>
      </c>
      <c r="T38" s="667" t="s">
        <v>14</v>
      </c>
      <c r="U38" s="668">
        <f t="shared" si="11"/>
        <v>100</v>
      </c>
      <c r="V38" s="667" t="s">
        <v>14</v>
      </c>
      <c r="W38" s="668">
        <f t="shared" si="12"/>
        <v>100</v>
      </c>
      <c r="X38" s="1265"/>
      <c r="Y38" s="34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7"/>
      <c r="Q39" s="1263">
        <f t="shared" si="14"/>
        <v>111</v>
      </c>
      <c r="R39" s="667" t="s">
        <v>14</v>
      </c>
      <c r="S39" s="668">
        <f t="shared" si="10"/>
        <v>100</v>
      </c>
      <c r="T39" s="667" t="s">
        <v>14</v>
      </c>
      <c r="U39" s="668">
        <f t="shared" si="11"/>
        <v>100</v>
      </c>
      <c r="V39" s="667" t="s">
        <v>14</v>
      </c>
      <c r="W39" s="668">
        <f t="shared" si="12"/>
        <v>100</v>
      </c>
      <c r="X39" s="1265"/>
      <c r="Y39" s="34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7"/>
      <c r="Q40" s="1263">
        <f t="shared" si="14"/>
        <v>111</v>
      </c>
      <c r="R40" s="669" t="s">
        <v>14</v>
      </c>
      <c r="S40" s="670">
        <f t="shared" si="10"/>
        <v>100</v>
      </c>
      <c r="T40" s="669" t="s">
        <v>14</v>
      </c>
      <c r="U40" s="670">
        <f t="shared" si="11"/>
        <v>100</v>
      </c>
      <c r="V40" s="669" t="s">
        <v>14</v>
      </c>
      <c r="W40" s="670">
        <f t="shared" si="12"/>
        <v>100</v>
      </c>
      <c r="X40" s="671"/>
      <c r="Y40" s="343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1" t="str">
        <f>A41</f>
        <v>成交单价</v>
      </c>
      <c r="Q41" s="3431"/>
      <c r="R41" s="3426">
        <f>E41</f>
        <v>0</v>
      </c>
      <c r="S41" s="3426"/>
      <c r="T41" s="3426">
        <f>G41</f>
        <v>0</v>
      </c>
      <c r="U41" s="3426"/>
      <c r="V41" s="3426">
        <f>I41</f>
        <v>0</v>
      </c>
      <c r="W41" s="342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1" t="str">
        <f>A42</f>
        <v>比较价值（元/平方米）</v>
      </c>
      <c r="Q42" s="3431"/>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8" t="str">
        <f>A43</f>
        <v>估价对象XX用房的比较价值（楼面单价，元/平方米）</v>
      </c>
      <c r="Q43" s="3429"/>
      <c r="R43" s="3459" t="e">
        <f>ROUND(IF(D42="简单平均",AVERAGE(R42:W42),R42*F42+T42*H42+V42*J42),0)</f>
        <v>#DIV/0!</v>
      </c>
      <c r="S43" s="3459"/>
      <c r="T43" s="3459"/>
      <c r="U43" s="3459"/>
      <c r="V43" s="3459"/>
      <c r="W43" s="34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45260.62</v>
      </c>
      <c r="F51" s="611" t="e">
        <f t="shared" ref="F51:F60" si="15">ROUND(B51*E51/10000,0)</f>
        <v>#DIV/0!</v>
      </c>
      <c r="G51" s="3413"/>
      <c r="H51" s="34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5875.41</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21989.41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49421</v>
      </c>
      <c r="C2" s="1984" t="s">
        <v>2074</v>
      </c>
      <c r="D2" s="1984" t="s">
        <v>2075</v>
      </c>
      <c r="E2" s="2398">
        <f ca="1">SUMIF(E6:E13,"&lt;&gt;#ref!",E6:E13)</f>
        <v>5875.41</v>
      </c>
      <c r="F2" s="2545"/>
      <c r="G2" s="2545"/>
      <c r="H2" s="2545"/>
      <c r="I2" s="2545"/>
      <c r="J2" s="2545"/>
      <c r="K2" s="2545"/>
      <c r="L2" s="2545"/>
      <c r="M2" s="2545"/>
      <c r="N2" s="2545"/>
      <c r="O2" s="2545"/>
      <c r="P2" s="2545"/>
    </row>
    <row r="3" spans="1:16" ht="15.75">
      <c r="A3" s="1984" t="s">
        <v>2076</v>
      </c>
      <c r="B3" s="2388">
        <f ca="1">ROUND(B2*10000/E2,0)</f>
        <v>84115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49421</v>
      </c>
      <c r="C6" s="1984" t="s">
        <v>2074</v>
      </c>
      <c r="D6" s="2545"/>
      <c r="E6" s="2398">
        <f ca="1">SUMIF(INDIRECT("'"&amp;A6&amp;"'"&amp;"!C:C"),"建筑面积",INDIRECT("'"&amp;A6&amp;"'"&amp;"!D:D"))</f>
        <v>5875.41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8" t="s">
        <v>2598</v>
      </c>
      <c r="B20" s="3471" t="s">
        <v>2619</v>
      </c>
      <c r="C20" s="2843" t="s">
        <v>2430</v>
      </c>
      <c r="D20" s="2844"/>
      <c r="E20" s="2845">
        <v>1</v>
      </c>
      <c r="F20" s="2846" t="s">
        <v>2431</v>
      </c>
      <c r="G20" s="2846"/>
    </row>
    <row r="21" spans="1:13" ht="19.5" customHeight="1">
      <c r="A21" s="3479"/>
      <c r="B21" s="3472"/>
      <c r="C21" s="2847" t="s">
        <v>2432</v>
      </c>
      <c r="D21" s="2848"/>
      <c r="E21" s="2849">
        <v>1</v>
      </c>
      <c r="F21" s="2846" t="s">
        <v>2433</v>
      </c>
      <c r="G21" s="2846"/>
    </row>
    <row r="22" spans="1:13" ht="19.5" customHeight="1">
      <c r="A22" s="3479"/>
      <c r="B22" s="3472"/>
      <c r="C22" s="2847" t="s">
        <v>2434</v>
      </c>
      <c r="D22" s="2848"/>
      <c r="E22" s="2849">
        <v>0.9</v>
      </c>
      <c r="F22" s="2846" t="s">
        <v>2435</v>
      </c>
      <c r="G22" s="2846"/>
    </row>
    <row r="23" spans="1:13" ht="19.5" customHeight="1">
      <c r="A23" s="3479"/>
      <c r="B23" s="3472"/>
      <c r="C23" s="2847" t="s">
        <v>2436</v>
      </c>
      <c r="D23" s="2848"/>
      <c r="E23" s="2849">
        <v>0.9</v>
      </c>
      <c r="F23" s="2846" t="s">
        <v>2437</v>
      </c>
      <c r="G23" s="2846"/>
    </row>
    <row r="24" spans="1:13" ht="19.5" customHeight="1">
      <c r="A24" s="3479"/>
      <c r="B24" s="3472"/>
      <c r="C24" s="2847" t="s">
        <v>2438</v>
      </c>
      <c r="D24" s="2848"/>
      <c r="E24" s="2849">
        <v>0.8</v>
      </c>
      <c r="F24" s="2846" t="s">
        <v>2439</v>
      </c>
      <c r="G24" s="2846"/>
    </row>
    <row r="25" spans="1:13" ht="19.5" customHeight="1" thickBot="1">
      <c r="A25" s="3480"/>
      <c r="B25" s="3473"/>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4" t="s">
        <v>2622</v>
      </c>
      <c r="B27" s="3471" t="s">
        <v>2603</v>
      </c>
      <c r="C27" s="2843" t="s">
        <v>2443</v>
      </c>
      <c r="D27" s="2844"/>
      <c r="E27" s="2845">
        <v>1</v>
      </c>
      <c r="F27" s="2846" t="s">
        <v>2444</v>
      </c>
      <c r="G27" s="2846"/>
    </row>
    <row r="28" spans="1:13" ht="19.5" customHeight="1">
      <c r="A28" s="3475"/>
      <c r="B28" s="3472"/>
      <c r="C28" s="2847" t="s">
        <v>2445</v>
      </c>
      <c r="D28" s="2848"/>
      <c r="E28" s="2849">
        <v>1</v>
      </c>
      <c r="F28" s="2846" t="s">
        <v>2446</v>
      </c>
      <c r="G28" s="2846"/>
    </row>
    <row r="29" spans="1:13" ht="19.5" customHeight="1">
      <c r="A29" s="3475"/>
      <c r="B29" s="3472"/>
      <c r="C29" s="2847" t="s">
        <v>2447</v>
      </c>
      <c r="D29" s="2848"/>
      <c r="E29" s="2849">
        <v>0.8</v>
      </c>
      <c r="F29" s="2846" t="s">
        <v>2448</v>
      </c>
      <c r="G29" s="2846"/>
    </row>
    <row r="30" spans="1:13" ht="19.5" customHeight="1">
      <c r="A30" s="3475"/>
      <c r="B30" s="3472"/>
      <c r="C30" s="2847" t="s">
        <v>2449</v>
      </c>
      <c r="D30" s="2848"/>
      <c r="E30" s="2849">
        <v>0.8</v>
      </c>
      <c r="F30" s="2846" t="s">
        <v>2450</v>
      </c>
      <c r="G30" s="2846"/>
    </row>
    <row r="31" spans="1:13" ht="19.5" customHeight="1">
      <c r="A31" s="3475"/>
      <c r="B31" s="3472"/>
      <c r="C31" s="2847" t="s">
        <v>2451</v>
      </c>
      <c r="D31" s="2848"/>
      <c r="E31" s="2849">
        <v>0.8</v>
      </c>
      <c r="F31" s="2846" t="s">
        <v>2452</v>
      </c>
      <c r="G31" s="2846"/>
    </row>
    <row r="32" spans="1:13" ht="19.5" customHeight="1">
      <c r="A32" s="3475"/>
      <c r="B32" s="3472"/>
      <c r="C32" s="2847" t="s">
        <v>2453</v>
      </c>
      <c r="D32" s="2848"/>
      <c r="E32" s="2849">
        <v>0.7</v>
      </c>
      <c r="F32" s="2846" t="s">
        <v>2454</v>
      </c>
      <c r="G32" s="2846"/>
    </row>
    <row r="33" spans="1:7" ht="19.5" customHeight="1">
      <c r="A33" s="3475"/>
      <c r="B33" s="3472"/>
      <c r="C33" s="2847" t="s">
        <v>2455</v>
      </c>
      <c r="D33" s="2848"/>
      <c r="E33" s="2849">
        <v>0.8</v>
      </c>
      <c r="F33" s="2846" t="s">
        <v>2456</v>
      </c>
      <c r="G33" s="2846"/>
    </row>
    <row r="34" spans="1:7" ht="19.5" customHeight="1">
      <c r="A34" s="3475"/>
      <c r="B34" s="3472"/>
      <c r="C34" s="2847" t="s">
        <v>2457</v>
      </c>
      <c r="D34" s="2848"/>
      <c r="E34" s="2849">
        <v>0.6</v>
      </c>
      <c r="F34" s="2846" t="s">
        <v>2458</v>
      </c>
      <c r="G34" s="2846"/>
    </row>
    <row r="35" spans="1:7" ht="19.5" customHeight="1">
      <c r="A35" s="3475"/>
      <c r="B35" s="3472"/>
      <c r="C35" s="2847" t="s">
        <v>2459</v>
      </c>
      <c r="D35" s="2848"/>
      <c r="E35" s="2849">
        <v>0.2</v>
      </c>
      <c r="F35" s="2846" t="s">
        <v>2460</v>
      </c>
      <c r="G35" s="2846"/>
    </row>
    <row r="36" spans="1:7" ht="19.5" customHeight="1">
      <c r="A36" s="3475"/>
      <c r="B36" s="3472"/>
      <c r="C36" s="2847" t="s">
        <v>2461</v>
      </c>
      <c r="D36" s="2848"/>
      <c r="E36" s="2849">
        <v>0.2</v>
      </c>
      <c r="F36" s="2846" t="s">
        <v>2462</v>
      </c>
      <c r="G36" s="2846"/>
    </row>
    <row r="37" spans="1:7" ht="19.5" customHeight="1">
      <c r="A37" s="3475"/>
      <c r="B37" s="3477" t="s">
        <v>2623</v>
      </c>
      <c r="C37" s="2847" t="s">
        <v>2463</v>
      </c>
      <c r="D37" s="2848"/>
      <c r="E37" s="2849">
        <v>0.6</v>
      </c>
      <c r="F37" s="2846" t="s">
        <v>2464</v>
      </c>
      <c r="G37" s="2846"/>
    </row>
    <row r="38" spans="1:7" ht="19.5" customHeight="1">
      <c r="A38" s="3475"/>
      <c r="B38" s="3472"/>
      <c r="C38" s="2847" t="s">
        <v>2465</v>
      </c>
      <c r="D38" s="2848"/>
      <c r="E38" s="2849">
        <v>0.6</v>
      </c>
      <c r="F38" s="2846" t="s">
        <v>2466</v>
      </c>
      <c r="G38" s="2846"/>
    </row>
    <row r="39" spans="1:7" ht="19.5" customHeight="1" thickBot="1">
      <c r="A39" s="3476"/>
      <c r="B39" s="3473"/>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8" t="s">
        <v>2601</v>
      </c>
      <c r="B41" s="3471" t="s">
        <v>2625</v>
      </c>
      <c r="C41" s="2843" t="s">
        <v>2470</v>
      </c>
      <c r="D41" s="2844"/>
      <c r="E41" s="2845">
        <v>1</v>
      </c>
      <c r="F41" s="2846" t="s">
        <v>2471</v>
      </c>
      <c r="G41" s="2846"/>
    </row>
    <row r="42" spans="1:7" ht="19.5" customHeight="1">
      <c r="A42" s="3479"/>
      <c r="B42" s="3472"/>
      <c r="C42" s="2847" t="s">
        <v>2472</v>
      </c>
      <c r="D42" s="2848"/>
      <c r="E42" s="2849">
        <v>1</v>
      </c>
      <c r="F42" s="2846" t="s">
        <v>2473</v>
      </c>
      <c r="G42" s="2846"/>
    </row>
    <row r="43" spans="1:7" ht="19.5" customHeight="1">
      <c r="A43" s="3479"/>
      <c r="B43" s="3481"/>
      <c r="C43" s="2847" t="s">
        <v>2474</v>
      </c>
      <c r="D43" s="2848"/>
      <c r="E43" s="2849">
        <v>1.5</v>
      </c>
      <c r="F43" s="2846" t="s">
        <v>2475</v>
      </c>
      <c r="G43" s="2846"/>
    </row>
    <row r="44" spans="1:7" ht="19.5" customHeight="1">
      <c r="A44" s="3479"/>
      <c r="B44" s="2858" t="s">
        <v>2626</v>
      </c>
      <c r="C44" s="2847" t="s">
        <v>2627</v>
      </c>
      <c r="D44" s="2848"/>
      <c r="E44" s="2849">
        <v>2</v>
      </c>
      <c r="F44" s="2846" t="s">
        <v>2476</v>
      </c>
      <c r="G44" s="2846"/>
    </row>
    <row r="45" spans="1:7" ht="19.5" customHeight="1">
      <c r="A45" s="3479"/>
      <c r="B45" s="3477" t="s">
        <v>2628</v>
      </c>
      <c r="C45" s="2847" t="s">
        <v>2477</v>
      </c>
      <c r="D45" s="2848"/>
      <c r="E45" s="2849">
        <v>1</v>
      </c>
      <c r="F45" s="2846" t="s">
        <v>2478</v>
      </c>
      <c r="G45" s="2846"/>
    </row>
    <row r="46" spans="1:7" ht="19.5" customHeight="1">
      <c r="A46" s="3479"/>
      <c r="B46" s="3472"/>
      <c r="C46" s="2847" t="s">
        <v>2479</v>
      </c>
      <c r="D46" s="2848"/>
      <c r="E46" s="2849">
        <v>1</v>
      </c>
      <c r="F46" s="2846" t="s">
        <v>2480</v>
      </c>
      <c r="G46" s="2846"/>
    </row>
    <row r="47" spans="1:7" ht="19.5" customHeight="1">
      <c r="A47" s="3479"/>
      <c r="B47" s="3472"/>
      <c r="C47" s="2847" t="s">
        <v>2481</v>
      </c>
      <c r="D47" s="2848"/>
      <c r="E47" s="2849">
        <v>1</v>
      </c>
      <c r="F47" s="2846" t="s">
        <v>2482</v>
      </c>
      <c r="G47" s="2846"/>
    </row>
    <row r="48" spans="1:7" ht="19.5" customHeight="1">
      <c r="A48" s="3479"/>
      <c r="B48" s="3472"/>
      <c r="C48" s="2847" t="s">
        <v>2483</v>
      </c>
      <c r="D48" s="2848"/>
      <c r="E48" s="2849">
        <v>1</v>
      </c>
      <c r="F48" s="2846" t="s">
        <v>2484</v>
      </c>
      <c r="G48" s="2846"/>
    </row>
    <row r="49" spans="1:7" ht="19.5" customHeight="1">
      <c r="A49" s="3479"/>
      <c r="B49" s="3472"/>
      <c r="C49" s="2847" t="s">
        <v>2485</v>
      </c>
      <c r="D49" s="2848"/>
      <c r="E49" s="2849">
        <v>1</v>
      </c>
      <c r="F49" s="2846" t="s">
        <v>2486</v>
      </c>
      <c r="G49" s="2846"/>
    </row>
    <row r="50" spans="1:7" ht="19.5" customHeight="1">
      <c r="A50" s="3479"/>
      <c r="B50" s="3472"/>
      <c r="C50" s="2847" t="s">
        <v>2487</v>
      </c>
      <c r="D50" s="2848"/>
      <c r="E50" s="2849">
        <v>1</v>
      </c>
      <c r="F50" s="2846" t="s">
        <v>2488</v>
      </c>
      <c r="G50" s="2846"/>
    </row>
    <row r="51" spans="1:7" ht="19.5" customHeight="1" thickBot="1">
      <c r="A51" s="3480"/>
      <c r="B51" s="3473"/>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7" t="s">
        <v>2642</v>
      </c>
      <c r="C73" s="2832" t="s">
        <v>2643</v>
      </c>
      <c r="D73" s="2832" t="s">
        <v>2644</v>
      </c>
      <c r="E73" s="2858">
        <v>0.2</v>
      </c>
      <c r="F73" s="2858">
        <v>25</v>
      </c>
    </row>
    <row r="74" spans="1:7" ht="24">
      <c r="A74" s="2858">
        <v>2</v>
      </c>
      <c r="B74" s="3472"/>
      <c r="C74" s="2832" t="s">
        <v>2645</v>
      </c>
      <c r="D74" s="2832" t="s">
        <v>2646</v>
      </c>
      <c r="E74" s="2858">
        <v>0.2</v>
      </c>
      <c r="F74" s="2858">
        <v>25</v>
      </c>
    </row>
    <row r="75" spans="1:7" ht="24">
      <c r="A75" s="2858">
        <v>3</v>
      </c>
      <c r="B75" s="3472"/>
      <c r="C75" s="2832" t="s">
        <v>2647</v>
      </c>
      <c r="D75" s="2832" t="s">
        <v>2648</v>
      </c>
      <c r="E75" s="2858">
        <v>0.2</v>
      </c>
      <c r="F75" s="2858">
        <v>25</v>
      </c>
    </row>
    <row r="76" spans="1:7" ht="13.5">
      <c r="A76" s="2858">
        <v>4</v>
      </c>
      <c r="B76" s="3472"/>
      <c r="C76" s="2832" t="s">
        <v>2649</v>
      </c>
      <c r="D76" s="2832" t="s">
        <v>2650</v>
      </c>
      <c r="E76" s="2858">
        <v>0.15</v>
      </c>
      <c r="F76" s="2858">
        <v>20</v>
      </c>
    </row>
    <row r="77" spans="1:7" ht="24">
      <c r="A77" s="2858">
        <v>5</v>
      </c>
      <c r="B77" s="3472"/>
      <c r="C77" s="2832" t="s">
        <v>2651</v>
      </c>
      <c r="D77" s="2832" t="s">
        <v>2652</v>
      </c>
      <c r="E77" s="2858">
        <v>0.15</v>
      </c>
      <c r="F77" s="2858">
        <v>20</v>
      </c>
    </row>
    <row r="78" spans="1:7" ht="24">
      <c r="A78" s="2858">
        <v>6</v>
      </c>
      <c r="B78" s="3472"/>
      <c r="C78" s="2832" t="s">
        <v>2653</v>
      </c>
      <c r="D78" s="2832" t="s">
        <v>2654</v>
      </c>
      <c r="E78" s="2858">
        <v>0.15</v>
      </c>
      <c r="F78" s="2858">
        <v>20</v>
      </c>
    </row>
    <row r="79" spans="1:7" ht="24">
      <c r="A79" s="2858">
        <v>7</v>
      </c>
      <c r="B79" s="3472"/>
      <c r="C79" s="2832" t="s">
        <v>2655</v>
      </c>
      <c r="D79" s="2832" t="s">
        <v>2656</v>
      </c>
      <c r="E79" s="2858">
        <v>0.15</v>
      </c>
      <c r="F79" s="2858">
        <v>20</v>
      </c>
    </row>
    <row r="80" spans="1:7" ht="24">
      <c r="A80" s="2858">
        <v>8</v>
      </c>
      <c r="B80" s="3472"/>
      <c r="C80" s="2832" t="s">
        <v>2657</v>
      </c>
      <c r="D80" s="2832" t="s">
        <v>2658</v>
      </c>
      <c r="E80" s="2858">
        <v>0.1</v>
      </c>
      <c r="F80" s="2858">
        <v>15</v>
      </c>
    </row>
    <row r="81" spans="1:6" ht="24">
      <c r="A81" s="2858">
        <v>9</v>
      </c>
      <c r="B81" s="3472"/>
      <c r="C81" s="2832" t="s">
        <v>2659</v>
      </c>
      <c r="D81" s="2832" t="s">
        <v>2660</v>
      </c>
      <c r="E81" s="2858">
        <v>0.1</v>
      </c>
      <c r="F81" s="2858">
        <v>15</v>
      </c>
    </row>
    <row r="82" spans="1:6" ht="24">
      <c r="A82" s="2858">
        <v>10</v>
      </c>
      <c r="B82" s="3472"/>
      <c r="C82" s="2832" t="s">
        <v>2661</v>
      </c>
      <c r="D82" s="2832" t="s">
        <v>2662</v>
      </c>
      <c r="E82" s="2858">
        <v>0.1</v>
      </c>
      <c r="F82" s="2858">
        <v>15</v>
      </c>
    </row>
    <row r="83" spans="1:6" ht="24">
      <c r="A83" s="2858">
        <v>11</v>
      </c>
      <c r="B83" s="3472"/>
      <c r="C83" s="2832" t="s">
        <v>2663</v>
      </c>
      <c r="D83" s="2832" t="s">
        <v>2664</v>
      </c>
      <c r="E83" s="2858">
        <v>0.1</v>
      </c>
      <c r="F83" s="2858">
        <v>15</v>
      </c>
    </row>
    <row r="84" spans="1:6" ht="24">
      <c r="A84" s="2858">
        <v>12</v>
      </c>
      <c r="B84" s="3472"/>
      <c r="C84" s="2832" t="s">
        <v>2665</v>
      </c>
      <c r="D84" s="2832" t="s">
        <v>2666</v>
      </c>
      <c r="E84" s="2858">
        <v>0.1</v>
      </c>
      <c r="F84" s="2858">
        <v>15</v>
      </c>
    </row>
    <row r="85" spans="1:6" ht="13.5">
      <c r="A85" s="2858">
        <v>13</v>
      </c>
      <c r="B85" s="3472"/>
      <c r="C85" s="2832" t="s">
        <v>2667</v>
      </c>
      <c r="D85" s="2832" t="s">
        <v>2668</v>
      </c>
      <c r="E85" s="2858">
        <v>0.1</v>
      </c>
      <c r="F85" s="2858">
        <v>15</v>
      </c>
    </row>
    <row r="86" spans="1:6" ht="13.5">
      <c r="A86" s="2858">
        <v>14</v>
      </c>
      <c r="B86" s="3472"/>
      <c r="C86" s="2832" t="s">
        <v>2669</v>
      </c>
      <c r="D86" s="2832" t="s">
        <v>2670</v>
      </c>
      <c r="E86" s="2858">
        <v>0.1</v>
      </c>
      <c r="F86" s="2858">
        <v>15</v>
      </c>
    </row>
    <row r="87" spans="1:6" ht="13.5">
      <c r="A87" s="2858">
        <v>15</v>
      </c>
      <c r="B87" s="3472"/>
      <c r="C87" s="2832" t="s">
        <v>2671</v>
      </c>
      <c r="D87" s="2832" t="s">
        <v>2672</v>
      </c>
      <c r="E87" s="2858">
        <v>0.1</v>
      </c>
      <c r="F87" s="2858">
        <v>15</v>
      </c>
    </row>
    <row r="88" spans="1:6" ht="24">
      <c r="A88" s="2858">
        <v>16</v>
      </c>
      <c r="B88" s="3472"/>
      <c r="C88" s="2832" t="s">
        <v>2673</v>
      </c>
      <c r="D88" s="2832" t="s">
        <v>2674</v>
      </c>
      <c r="E88" s="2858">
        <v>0.1</v>
      </c>
      <c r="F88" s="2858">
        <v>15</v>
      </c>
    </row>
    <row r="89" spans="1:6" ht="24">
      <c r="A89" s="2858">
        <v>17</v>
      </c>
      <c r="B89" s="3481"/>
      <c r="C89" s="2832" t="s">
        <v>2675</v>
      </c>
      <c r="D89" s="2832" t="s">
        <v>2676</v>
      </c>
      <c r="E89" s="2858">
        <v>0.1</v>
      </c>
      <c r="F89" s="2858">
        <v>15</v>
      </c>
    </row>
    <row r="90" spans="1:6" ht="13.5">
      <c r="A90" s="2858">
        <v>18</v>
      </c>
      <c r="B90" s="3477" t="s">
        <v>2677</v>
      </c>
      <c r="C90" s="2832" t="s">
        <v>2678</v>
      </c>
      <c r="D90" s="2832" t="s">
        <v>2679</v>
      </c>
      <c r="E90" s="2858">
        <v>0.2</v>
      </c>
      <c r="F90" s="2858">
        <v>25</v>
      </c>
    </row>
    <row r="91" spans="1:6" ht="24">
      <c r="A91" s="2858">
        <v>19</v>
      </c>
      <c r="B91" s="3472"/>
      <c r="C91" s="2832" t="s">
        <v>2680</v>
      </c>
      <c r="D91" s="2832" t="s">
        <v>2681</v>
      </c>
      <c r="E91" s="2858">
        <v>0.2</v>
      </c>
      <c r="F91" s="2858">
        <v>25</v>
      </c>
    </row>
    <row r="92" spans="1:6" ht="13.5">
      <c r="A92" s="2858">
        <v>20</v>
      </c>
      <c r="B92" s="3472"/>
      <c r="C92" s="2832" t="s">
        <v>2682</v>
      </c>
      <c r="D92" s="2832" t="s">
        <v>2683</v>
      </c>
      <c r="E92" s="2858">
        <v>0.15</v>
      </c>
      <c r="F92" s="2858">
        <v>20</v>
      </c>
    </row>
    <row r="93" spans="1:6" ht="13.5">
      <c r="A93" s="2858">
        <v>21</v>
      </c>
      <c r="B93" s="3472"/>
      <c r="C93" s="2832" t="s">
        <v>2684</v>
      </c>
      <c r="D93" s="2832" t="s">
        <v>2685</v>
      </c>
      <c r="E93" s="2858">
        <v>0.15</v>
      </c>
      <c r="F93" s="2858">
        <v>20</v>
      </c>
    </row>
    <row r="94" spans="1:6" ht="13.5">
      <c r="A94" s="2858">
        <v>22</v>
      </c>
      <c r="B94" s="3472"/>
      <c r="C94" s="2832" t="s">
        <v>2686</v>
      </c>
      <c r="D94" s="2832" t="s">
        <v>2687</v>
      </c>
      <c r="E94" s="2858">
        <v>0.15</v>
      </c>
      <c r="F94" s="2858">
        <v>20</v>
      </c>
    </row>
    <row r="95" spans="1:6" ht="36">
      <c r="A95" s="2858">
        <v>23</v>
      </c>
      <c r="B95" s="3472"/>
      <c r="C95" s="2832" t="s">
        <v>2688</v>
      </c>
      <c r="D95" s="2832" t="s">
        <v>2689</v>
      </c>
      <c r="E95" s="2858">
        <v>0.15</v>
      </c>
      <c r="F95" s="2858">
        <v>20</v>
      </c>
    </row>
    <row r="96" spans="1:6" ht="13.5">
      <c r="A96" s="2858">
        <v>24</v>
      </c>
      <c r="B96" s="3472"/>
      <c r="C96" s="2832" t="s">
        <v>2690</v>
      </c>
      <c r="D96" s="2832" t="s">
        <v>2691</v>
      </c>
      <c r="E96" s="2858">
        <v>0.1</v>
      </c>
      <c r="F96" s="2858">
        <v>15</v>
      </c>
    </row>
    <row r="97" spans="1:6" ht="13.5">
      <c r="A97" s="2858">
        <v>25</v>
      </c>
      <c r="B97" s="3472"/>
      <c r="C97" s="2832" t="s">
        <v>2692</v>
      </c>
      <c r="D97" s="2832" t="s">
        <v>2693</v>
      </c>
      <c r="E97" s="2858">
        <v>0.1</v>
      </c>
      <c r="F97" s="2858">
        <v>15</v>
      </c>
    </row>
    <row r="98" spans="1:6" ht="24">
      <c r="A98" s="2858">
        <v>26</v>
      </c>
      <c r="B98" s="3472"/>
      <c r="C98" s="2832" t="s">
        <v>2694</v>
      </c>
      <c r="D98" s="2832" t="s">
        <v>2695</v>
      </c>
      <c r="E98" s="2858">
        <v>0.1</v>
      </c>
      <c r="F98" s="2858">
        <v>15</v>
      </c>
    </row>
    <row r="99" spans="1:6" ht="24">
      <c r="A99" s="2858">
        <v>27</v>
      </c>
      <c r="B99" s="3472"/>
      <c r="C99" s="2832" t="s">
        <v>2696</v>
      </c>
      <c r="D99" s="2832" t="s">
        <v>2697</v>
      </c>
      <c r="E99" s="2858">
        <v>0.1</v>
      </c>
      <c r="F99" s="2858">
        <v>15</v>
      </c>
    </row>
    <row r="100" spans="1:6" ht="13.5">
      <c r="A100" s="2858">
        <v>28</v>
      </c>
      <c r="B100" s="3472"/>
      <c r="C100" s="2832" t="s">
        <v>2698</v>
      </c>
      <c r="D100" s="2832" t="s">
        <v>2699</v>
      </c>
      <c r="E100" s="2858">
        <v>0.1</v>
      </c>
      <c r="F100" s="2858">
        <v>15</v>
      </c>
    </row>
    <row r="101" spans="1:6" ht="13.5">
      <c r="A101" s="2858">
        <v>29</v>
      </c>
      <c r="B101" s="3472"/>
      <c r="C101" s="2832" t="s">
        <v>2700</v>
      </c>
      <c r="D101" s="2832" t="s">
        <v>2701</v>
      </c>
      <c r="E101" s="2858">
        <v>0.1</v>
      </c>
      <c r="F101" s="2858">
        <v>15</v>
      </c>
    </row>
    <row r="102" spans="1:6" ht="13.5">
      <c r="A102" s="2858">
        <v>30</v>
      </c>
      <c r="B102" s="3472"/>
      <c r="C102" s="2832" t="s">
        <v>2702</v>
      </c>
      <c r="D102" s="2832" t="s">
        <v>2703</v>
      </c>
      <c r="E102" s="2858">
        <v>0.1</v>
      </c>
      <c r="F102" s="2858">
        <v>15</v>
      </c>
    </row>
    <row r="103" spans="1:6" ht="24">
      <c r="A103" s="2858">
        <v>31</v>
      </c>
      <c r="B103" s="3472"/>
      <c r="C103" s="2832" t="s">
        <v>2704</v>
      </c>
      <c r="D103" s="2832" t="s">
        <v>2705</v>
      </c>
      <c r="E103" s="2858">
        <v>0.1</v>
      </c>
      <c r="F103" s="2858">
        <v>15</v>
      </c>
    </row>
    <row r="104" spans="1:6" ht="24">
      <c r="A104" s="2858">
        <v>32</v>
      </c>
      <c r="B104" s="3472"/>
      <c r="C104" s="2832" t="s">
        <v>2706</v>
      </c>
      <c r="D104" s="2832" t="s">
        <v>2707</v>
      </c>
      <c r="E104" s="2858">
        <v>0.1</v>
      </c>
      <c r="F104" s="2858">
        <v>15</v>
      </c>
    </row>
    <row r="105" spans="1:6" ht="24">
      <c r="A105" s="2858">
        <v>33</v>
      </c>
      <c r="B105" s="3472"/>
      <c r="C105" s="2832" t="s">
        <v>2708</v>
      </c>
      <c r="D105" s="2832" t="s">
        <v>2709</v>
      </c>
      <c r="E105" s="2858">
        <v>0.1</v>
      </c>
      <c r="F105" s="2858">
        <v>15</v>
      </c>
    </row>
    <row r="106" spans="1:6" ht="24">
      <c r="A106" s="2858">
        <v>34</v>
      </c>
      <c r="B106" s="3481"/>
      <c r="C106" s="2832" t="s">
        <v>2710</v>
      </c>
      <c r="D106" s="2832" t="s">
        <v>2711</v>
      </c>
      <c r="E106" s="2858">
        <v>0.1</v>
      </c>
      <c r="F106" s="2858">
        <v>15</v>
      </c>
    </row>
    <row r="107" spans="1:6" ht="24">
      <c r="A107" s="2858">
        <v>35</v>
      </c>
      <c r="B107" s="3477" t="s">
        <v>2712</v>
      </c>
      <c r="C107" s="2858" t="s">
        <v>2713</v>
      </c>
      <c r="D107" s="2832" t="s">
        <v>2714</v>
      </c>
      <c r="E107" s="2858">
        <v>0.15</v>
      </c>
      <c r="F107" s="2858">
        <v>20</v>
      </c>
    </row>
    <row r="108" spans="1:6" ht="13.5">
      <c r="A108" s="2858">
        <v>36</v>
      </c>
      <c r="B108" s="3472"/>
      <c r="C108" s="2858" t="s">
        <v>2715</v>
      </c>
      <c r="D108" s="2832" t="s">
        <v>2716</v>
      </c>
      <c r="E108" s="2858">
        <v>0.15</v>
      </c>
      <c r="F108" s="2858">
        <v>20</v>
      </c>
    </row>
    <row r="109" spans="1:6" ht="13.5">
      <c r="A109" s="2858">
        <v>37</v>
      </c>
      <c r="B109" s="3472"/>
      <c r="C109" s="2858" t="s">
        <v>2717</v>
      </c>
      <c r="D109" s="2832" t="s">
        <v>2718</v>
      </c>
      <c r="E109" s="2858">
        <v>0.15</v>
      </c>
      <c r="F109" s="2858">
        <v>20</v>
      </c>
    </row>
    <row r="110" spans="1:6" ht="13.5">
      <c r="A110" s="2858">
        <v>38</v>
      </c>
      <c r="B110" s="3472"/>
      <c r="C110" s="2858" t="s">
        <v>2719</v>
      </c>
      <c r="D110" s="2832" t="s">
        <v>2720</v>
      </c>
      <c r="E110" s="2858">
        <v>0.1</v>
      </c>
      <c r="F110" s="2858">
        <v>15</v>
      </c>
    </row>
    <row r="111" spans="1:6" ht="24">
      <c r="A111" s="2858">
        <v>39</v>
      </c>
      <c r="B111" s="3472"/>
      <c r="C111" s="2858" t="s">
        <v>2721</v>
      </c>
      <c r="D111" s="2832" t="s">
        <v>2722</v>
      </c>
      <c r="E111" s="2858">
        <v>0.1</v>
      </c>
      <c r="F111" s="2858">
        <v>15</v>
      </c>
    </row>
    <row r="112" spans="1:6" ht="24">
      <c r="A112" s="2858">
        <v>40</v>
      </c>
      <c r="B112" s="3481"/>
      <c r="C112" s="2858" t="s">
        <v>2723</v>
      </c>
      <c r="D112" s="2832" t="s">
        <v>2724</v>
      </c>
      <c r="E112" s="2858">
        <v>0.1</v>
      </c>
      <c r="F112" s="2858">
        <v>15</v>
      </c>
    </row>
    <row r="113" spans="1:6" ht="13.5">
      <c r="A113" s="2858">
        <v>41</v>
      </c>
      <c r="B113" s="3482" t="s">
        <v>2725</v>
      </c>
      <c r="C113" s="2858" t="s">
        <v>2726</v>
      </c>
      <c r="D113" s="2832" t="s">
        <v>2727</v>
      </c>
      <c r="E113" s="2858">
        <v>0.1</v>
      </c>
      <c r="F113" s="2858">
        <v>15</v>
      </c>
    </row>
    <row r="114" spans="1:6" ht="13.5">
      <c r="A114" s="2858">
        <v>42</v>
      </c>
      <c r="B114" s="3482"/>
      <c r="C114" s="2858" t="s">
        <v>2728</v>
      </c>
      <c r="D114" s="2832" t="s">
        <v>2729</v>
      </c>
      <c r="E114" s="2858">
        <v>0.1</v>
      </c>
      <c r="F114" s="2858">
        <v>15</v>
      </c>
    </row>
    <row r="115" spans="1:6" ht="24">
      <c r="A115" s="2858">
        <v>43</v>
      </c>
      <c r="B115" s="3482"/>
      <c r="C115" s="2858" t="s">
        <v>2730</v>
      </c>
      <c r="D115" s="2832" t="s">
        <v>2731</v>
      </c>
      <c r="E115" s="2858">
        <v>0.1</v>
      </c>
      <c r="F115" s="2858">
        <v>15</v>
      </c>
    </row>
    <row r="116" spans="1:6" ht="13.5">
      <c r="A116" s="2858">
        <v>44</v>
      </c>
      <c r="B116" s="3477" t="s">
        <v>2732</v>
      </c>
      <c r="C116" s="2858" t="s">
        <v>2733</v>
      </c>
      <c r="D116" s="2832" t="s">
        <v>2734</v>
      </c>
      <c r="E116" s="2858">
        <v>0.1</v>
      </c>
      <c r="F116" s="2858">
        <v>15</v>
      </c>
    </row>
    <row r="117" spans="1:6" ht="24">
      <c r="A117" s="2858">
        <v>45</v>
      </c>
      <c r="B117" s="3481"/>
      <c r="C117" s="2832" t="s">
        <v>2735</v>
      </c>
      <c r="D117" s="2832" t="s">
        <v>2736</v>
      </c>
      <c r="E117" s="2858">
        <v>0.1</v>
      </c>
      <c r="F117" s="2858">
        <v>15</v>
      </c>
    </row>
    <row r="118" spans="1:6" ht="24">
      <c r="A118" s="2858">
        <v>46</v>
      </c>
      <c r="B118" s="3477" t="s">
        <v>2737</v>
      </c>
      <c r="C118" s="2858" t="s">
        <v>2738</v>
      </c>
      <c r="D118" s="2832" t="s">
        <v>2739</v>
      </c>
      <c r="E118" s="2858">
        <v>0.1</v>
      </c>
      <c r="F118" s="2858">
        <v>15</v>
      </c>
    </row>
    <row r="119" spans="1:6" ht="24">
      <c r="A119" s="2858">
        <v>47</v>
      </c>
      <c r="B119" s="3481"/>
      <c r="C119" s="2858" t="s">
        <v>2740</v>
      </c>
      <c r="D119" s="2832" t="s">
        <v>2741</v>
      </c>
      <c r="E119" s="2858">
        <v>0.1</v>
      </c>
      <c r="F119" s="2858">
        <v>15</v>
      </c>
    </row>
    <row r="120" spans="1:6" ht="13.5">
      <c r="A120" s="2858">
        <v>48</v>
      </c>
      <c r="B120" s="3477" t="s">
        <v>2742</v>
      </c>
      <c r="C120" s="2858" t="s">
        <v>2743</v>
      </c>
      <c r="D120" s="2832" t="s">
        <v>2744</v>
      </c>
      <c r="E120" s="2858">
        <v>0.1</v>
      </c>
      <c r="F120" s="2858">
        <v>15</v>
      </c>
    </row>
    <row r="121" spans="1:6" ht="13.5">
      <c r="A121" s="2858">
        <v>49</v>
      </c>
      <c r="B121" s="3481"/>
      <c r="C121" s="2858" t="s">
        <v>2745</v>
      </c>
      <c r="D121" s="2832" t="s">
        <v>2746</v>
      </c>
      <c r="E121" s="2858">
        <v>0.1</v>
      </c>
      <c r="F121" s="2858">
        <v>15</v>
      </c>
    </row>
    <row r="122" spans="1:6" ht="24">
      <c r="A122" s="2858">
        <v>50</v>
      </c>
      <c r="B122" s="3482" t="s">
        <v>2747</v>
      </c>
      <c r="C122" s="2858" t="s">
        <v>2748</v>
      </c>
      <c r="D122" s="2832" t="s">
        <v>2749</v>
      </c>
      <c r="E122" s="2858">
        <v>0.1</v>
      </c>
      <c r="F122" s="2858">
        <v>15</v>
      </c>
    </row>
    <row r="123" spans="1:6" ht="24">
      <c r="A123" s="2858">
        <v>51</v>
      </c>
      <c r="B123" s="3482"/>
      <c r="C123" s="2858" t="s">
        <v>2750</v>
      </c>
      <c r="D123" s="2832" t="s">
        <v>2751</v>
      </c>
      <c r="E123" s="2858">
        <v>0.1</v>
      </c>
      <c r="F123" s="2858">
        <v>15</v>
      </c>
    </row>
    <row r="124" spans="1:6" ht="24">
      <c r="A124" s="2858">
        <v>52</v>
      </c>
      <c r="B124" s="3482" t="s">
        <v>2752</v>
      </c>
      <c r="C124" s="2858" t="s">
        <v>2753</v>
      </c>
      <c r="D124" s="2832" t="s">
        <v>2754</v>
      </c>
      <c r="E124" s="2858">
        <v>0.1</v>
      </c>
      <c r="F124" s="2858">
        <v>15</v>
      </c>
    </row>
    <row r="125" spans="1:6" ht="24">
      <c r="A125" s="2858">
        <v>53</v>
      </c>
      <c r="B125" s="3482"/>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2" t="s">
        <v>2760</v>
      </c>
      <c r="C127" s="2858" t="s">
        <v>2761</v>
      </c>
      <c r="D127" s="2832" t="s">
        <v>2762</v>
      </c>
      <c r="E127" s="2858">
        <v>0.1</v>
      </c>
      <c r="F127" s="2858">
        <v>15</v>
      </c>
    </row>
    <row r="128" spans="1:6" ht="13.5">
      <c r="A128" s="2858">
        <v>56</v>
      </c>
      <c r="B128" s="3482"/>
      <c r="C128" s="2858" t="s">
        <v>2763</v>
      </c>
      <c r="D128" s="2832" t="s">
        <v>2764</v>
      </c>
      <c r="E128" s="2858">
        <v>0.1</v>
      </c>
      <c r="F128" s="2858">
        <v>15</v>
      </c>
    </row>
    <row r="129" spans="1:6" ht="24">
      <c r="A129" s="2858">
        <v>57</v>
      </c>
      <c r="B129" s="3482"/>
      <c r="C129" s="2858" t="s">
        <v>2765</v>
      </c>
      <c r="D129" s="2832" t="s">
        <v>2766</v>
      </c>
      <c r="E129" s="2858">
        <v>0.1</v>
      </c>
      <c r="F129" s="2858">
        <v>15</v>
      </c>
    </row>
    <row r="130" spans="1:6" ht="24">
      <c r="A130" s="2858">
        <v>58</v>
      </c>
      <c r="B130" s="3482" t="s">
        <v>2767</v>
      </c>
      <c r="C130" s="2858" t="s">
        <v>2768</v>
      </c>
      <c r="D130" s="2832" t="s">
        <v>2769</v>
      </c>
      <c r="E130" s="2858">
        <v>0.1</v>
      </c>
      <c r="F130" s="2858">
        <v>15</v>
      </c>
    </row>
    <row r="131" spans="1:6" ht="13.5">
      <c r="A131" s="2858">
        <v>59</v>
      </c>
      <c r="B131" s="3482"/>
      <c r="C131" s="2858" t="s">
        <v>2770</v>
      </c>
      <c r="D131" s="2832" t="s">
        <v>2771</v>
      </c>
      <c r="E131" s="2858">
        <v>0.1</v>
      </c>
      <c r="F131" s="2858">
        <v>15</v>
      </c>
    </row>
    <row r="132" spans="1:6" ht="13.5">
      <c r="A132" s="2858">
        <v>60</v>
      </c>
      <c r="B132" s="3477" t="s">
        <v>2772</v>
      </c>
      <c r="C132" s="2858" t="s">
        <v>2773</v>
      </c>
      <c r="D132" s="2832" t="s">
        <v>2774</v>
      </c>
      <c r="E132" s="2858">
        <v>0.1</v>
      </c>
      <c r="F132" s="2858">
        <v>15</v>
      </c>
    </row>
    <row r="133" spans="1:6" ht="13.5">
      <c r="A133" s="2858">
        <v>61</v>
      </c>
      <c r="B133" s="348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2" t="s">
        <v>2780</v>
      </c>
      <c r="C135" s="2858" t="s">
        <v>2781</v>
      </c>
      <c r="D135" s="2832" t="s">
        <v>2782</v>
      </c>
      <c r="E135" s="2858">
        <v>0.1</v>
      </c>
      <c r="F135" s="2858">
        <v>15</v>
      </c>
    </row>
    <row r="136" spans="1:6" ht="13.5">
      <c r="A136" s="2858">
        <v>64</v>
      </c>
      <c r="B136" s="3482"/>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65019</v>
      </c>
    </row>
    <row r="6" spans="1:5" ht="15.75">
      <c r="B6" s="3168"/>
      <c r="C6" s="1392" t="s">
        <v>911</v>
      </c>
      <c r="D6" s="797" t="str">
        <f ca="1">NUMBERSTRING(INT(D5*10000),2)&amp;"元整"</f>
        <v>陆亿伍仟零壹拾玖万元整</v>
      </c>
    </row>
    <row r="7" spans="1:5" ht="15.75">
      <c r="B7" s="3173"/>
      <c r="C7" s="1393" t="s">
        <v>912</v>
      </c>
      <c r="D7" s="798">
        <f ca="1">结果表!H102</f>
        <v>12715</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65019</v>
      </c>
    </row>
    <row r="14" spans="1:5" ht="15.75">
      <c r="B14" s="3168"/>
      <c r="C14" s="1392" t="s">
        <v>911</v>
      </c>
      <c r="D14" s="797" t="str">
        <f ca="1">NUMBERSTRING(INT(D13*10000),2)&amp;"元整"</f>
        <v>陆亿伍仟零壹拾玖万元整</v>
      </c>
    </row>
    <row r="15" spans="1:5" ht="15">
      <c r="B15" s="3173"/>
      <c r="C15" s="1393" t="s">
        <v>921</v>
      </c>
      <c r="D15" s="806">
        <f ca="1">结果表!H108</f>
        <v>12715</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1.0512999999999999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54835</v>
      </c>
      <c r="C2" s="2" t="s">
        <v>106</v>
      </c>
      <c r="D2" s="191"/>
      <c r="E2" s="191"/>
      <c r="F2" s="191"/>
      <c r="G2" s="191"/>
    </row>
    <row r="3" spans="1:7" s="192" customFormat="1" ht="18" customHeight="1" thickBot="1">
      <c r="A3" s="195" t="s">
        <v>58</v>
      </c>
      <c r="B3" s="196">
        <f ca="1">ROUND(B2*10000/'数据-汇总表'!E3,0)</f>
        <v>10723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1023</v>
      </c>
      <c r="D10" s="795">
        <f>'数据-汇总表'!E6</f>
        <v>51136.03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1023</v>
      </c>
      <c r="D19" s="204">
        <f>'数据-汇总表'!E3</f>
        <v>51136.03</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1382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64</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4456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4456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30909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22010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19432</v>
      </c>
      <c r="D34" s="209"/>
      <c r="E34" s="212"/>
      <c r="F34" s="249">
        <f>IF('数据-取费表'!B24=0,1,'数据-取费表'!N16)</f>
        <v>1</v>
      </c>
      <c r="G34" s="211" t="s">
        <v>89</v>
      </c>
    </row>
    <row r="35" spans="1:7" ht="13.5" customHeight="1">
      <c r="A35" s="734" t="s">
        <v>351</v>
      </c>
      <c r="B35" s="207" t="s">
        <v>33</v>
      </c>
      <c r="C35" s="212">
        <f>ROUND(C34*F35,0)</f>
        <v>972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1023</v>
      </c>
      <c r="D37" s="209">
        <f>'数据-汇总表'!E3</f>
        <v>51136.03</v>
      </c>
      <c r="E37" s="241">
        <f>'数据-取费表'!B35</f>
        <v>200</v>
      </c>
      <c r="F37" s="251"/>
      <c r="G37" s="253" t="s">
        <v>92</v>
      </c>
    </row>
    <row r="38" spans="1:7" ht="13.5" customHeight="1">
      <c r="A38" s="734" t="s">
        <v>354</v>
      </c>
      <c r="B38" s="207" t="s">
        <v>36</v>
      </c>
      <c r="C38" s="212">
        <f>ROUND(C34*F38,0)</f>
        <v>583</v>
      </c>
      <c r="D38" s="212"/>
      <c r="E38" s="212"/>
      <c r="F38" s="251">
        <f>'数据-取费表'!B36</f>
        <v>0.03</v>
      </c>
      <c r="G38" s="211" t="s">
        <v>90</v>
      </c>
    </row>
    <row r="39" spans="1:7" s="206" customFormat="1" ht="13.5" customHeight="1">
      <c r="A39" s="731" t="s">
        <v>338</v>
      </c>
      <c r="B39" s="202" t="s">
        <v>77</v>
      </c>
      <c r="C39" s="224">
        <f>ROUND(C33*F20,0)</f>
        <v>660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702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682</v>
      </c>
      <c r="D42" s="230"/>
      <c r="E42" s="230"/>
      <c r="F42" s="231"/>
      <c r="G42" s="3348" t="s">
        <v>94</v>
      </c>
    </row>
    <row r="43" spans="1:7" ht="13.5" customHeight="1">
      <c r="A43" s="734" t="s">
        <v>347</v>
      </c>
      <c r="B43" s="207" t="s">
        <v>426</v>
      </c>
      <c r="C43" s="230">
        <f ca="1">ROUND(IF('数据-取费表'!B22&lt;=1,C39*F22*'数据-取费表'!B21/2,C39*(POWER((1+F22),'数据-取费表'!B21/2)-1)),0)</f>
        <v>20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4534</v>
      </c>
      <c r="D45" s="227">
        <f>C47</f>
        <v>6.0000000000000001E-3</v>
      </c>
      <c r="E45" s="228" t="s">
        <v>102</v>
      </c>
      <c r="F45" s="238"/>
      <c r="G45" s="239" t="s">
        <v>434</v>
      </c>
    </row>
    <row r="46" spans="1:7" s="206" customFormat="1" ht="13.5" customHeight="1">
      <c r="A46" s="734" t="s">
        <v>349</v>
      </c>
      <c r="B46" s="240" t="s">
        <v>427</v>
      </c>
      <c r="C46" s="241">
        <f>ROUND((C33+C39)*F27,0)</f>
        <v>4534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30674</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23926</v>
      </c>
      <c r="D51" s="224"/>
      <c r="E51" s="224"/>
      <c r="F51" s="256"/>
      <c r="G51" s="226" t="s">
        <v>37</v>
      </c>
    </row>
    <row r="52" spans="1:7" s="200" customFormat="1" ht="16.5" thickBot="1">
      <c r="A52" s="257" t="s">
        <v>38</v>
      </c>
      <c r="B52" s="258"/>
      <c r="C52" s="259">
        <f ca="1">C31+C51</f>
        <v>54835</v>
      </c>
      <c r="D52" s="258"/>
      <c r="E52" s="258"/>
      <c r="F52" s="258"/>
      <c r="G52" s="260"/>
    </row>
    <row r="55" spans="1:7" ht="15">
      <c r="B55" s="262" t="s">
        <v>39</v>
      </c>
      <c r="C55" s="263"/>
    </row>
    <row r="56" spans="1:7">
      <c r="B56" s="265" t="s">
        <v>40</v>
      </c>
      <c r="C56" s="266">
        <f ca="1">ROUND(C51/C52,3)</f>
        <v>0.436</v>
      </c>
    </row>
    <row r="57" spans="1:7">
      <c r="B57" s="265" t="s">
        <v>41</v>
      </c>
      <c r="C57" s="267">
        <f ca="1">1-C56</f>
        <v>0.56400000000000006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Normal="100" workbookViewId="0">
      <selection activeCell="A127" sqref="A127:G189"/>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5" t="s">
        <v>2830</v>
      </c>
      <c r="B1" s="3485"/>
      <c r="C1" s="3485"/>
      <c r="D1" s="3485"/>
      <c r="E1" s="3485"/>
      <c r="F1" s="3485"/>
      <c r="G1" s="348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8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topLeftCell="A118" workbookViewId="0">
      <selection activeCell="G189" sqref="A127:G189"/>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3172</v>
      </c>
      <c r="B1" s="348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4"/>
  </cols>
  <sheetData>
    <row r="1" spans="1:6">
      <c r="A1" s="3488" t="s">
        <v>3223</v>
      </c>
      <c r="B1" s="3488"/>
      <c r="C1" s="3488"/>
      <c r="D1" s="3488"/>
      <c r="E1" s="3488"/>
      <c r="F1" s="348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topLeftCell="A10" zoomScale="90" zoomScaleNormal="90" workbookViewId="0">
      <selection activeCell="E45" sqref="E45"/>
    </sheetView>
  </sheetViews>
  <sheetFormatPr defaultRowHeight="13.5"/>
  <cols>
    <col min="1" max="1" width="13.875" customWidth="1"/>
    <col min="11" max="17" width="0" hidden="1" customWidth="1"/>
    <col min="25" max="30" width="0" hidden="1" customWidth="1"/>
  </cols>
  <sheetData>
    <row r="1" spans="1:30">
      <c r="A1" s="2938">
        <f>基准地价修正!G23</f>
        <v>45712</v>
      </c>
      <c r="B1" s="2930" t="s">
        <v>3369</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3372</v>
      </c>
    </row>
    <row r="24" spans="1:30">
      <c r="I24" s="1405" t="s">
        <v>2816</v>
      </c>
    </row>
    <row r="26" spans="1:30" s="2009" customFormat="1" ht="12.75">
      <c r="B26" s="2930" t="s">
        <v>3370</v>
      </c>
      <c r="C26" s="2931"/>
      <c r="D26" s="2931"/>
      <c r="E26" s="2931"/>
      <c r="F26" s="2931"/>
      <c r="G26" s="2931"/>
      <c r="H26" s="2931"/>
      <c r="I26" s="2931"/>
      <c r="J26" s="2897"/>
      <c r="K26" s="2931" t="s">
        <v>2817</v>
      </c>
      <c r="L26" s="2931"/>
      <c r="M26" s="2931"/>
      <c r="N26" s="2931"/>
      <c r="O26" s="2931"/>
      <c r="P26" s="2931"/>
      <c r="Q26" s="2897"/>
      <c r="R26" s="3490" t="s">
        <v>2818</v>
      </c>
      <c r="S26" s="3491"/>
      <c r="T26" s="3491"/>
      <c r="U26" s="3491"/>
      <c r="V26" s="3491"/>
      <c r="W26" s="3491"/>
      <c r="X26" s="2897"/>
      <c r="Y26" s="3490" t="s">
        <v>2819</v>
      </c>
      <c r="Z26" s="3491"/>
      <c r="AA26" s="3491"/>
      <c r="AB26" s="3491"/>
      <c r="AC26" s="3491"/>
      <c r="AD26" s="3491"/>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51136.03</v>
      </c>
      <c r="C4" s="801">
        <f>项目基本情况!C18</f>
        <v>21989.41</v>
      </c>
      <c r="D4" s="801">
        <f ca="1">结果表!D118</f>
        <v>49154</v>
      </c>
      <c r="E4" s="801">
        <f ca="1">结果表!E118</f>
        <v>9612</v>
      </c>
      <c r="F4" s="801">
        <f ca="1">结果表!F118</f>
        <v>15865</v>
      </c>
      <c r="G4" s="801">
        <f ca="1">结果表!G118</f>
        <v>3103</v>
      </c>
      <c r="H4" s="801">
        <f ca="1">结果表!H118</f>
        <v>65019</v>
      </c>
      <c r="I4" s="801">
        <f ca="1">结果表!I118</f>
        <v>12715</v>
      </c>
    </row>
    <row r="5" spans="1:9" ht="30" customHeight="1">
      <c r="A5" s="3179" t="s">
        <v>927</v>
      </c>
      <c r="B5" s="3179"/>
      <c r="C5" s="3179"/>
      <c r="D5" s="3179" t="str">
        <f ca="1">结果表!D119</f>
        <v>肆亿玖仟壹佰伍拾肆万元整</v>
      </c>
      <c r="E5" s="3179"/>
      <c r="F5" s="3179" t="str">
        <f ca="1">结果表!F119</f>
        <v>壹亿伍仟捌佰陆拾伍万元整</v>
      </c>
      <c r="G5" s="3179"/>
      <c r="H5" s="3179" t="str">
        <f ca="1">结果表!H119</f>
        <v>陆亿伍仟零壹拾玖万元整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75">
      <c r="A8" s="3180" t="str">
        <f>结果表!A122</f>
        <v>房地产抵押价值</v>
      </c>
      <c r="B8" s="3180"/>
      <c r="C8" s="3180"/>
      <c r="D8" s="3180">
        <f ca="1">结果表!D122</f>
        <v>65019</v>
      </c>
      <c r="E8" s="3180"/>
      <c r="F8" s="3180"/>
      <c r="G8" s="3180"/>
      <c r="H8" s="3180"/>
      <c r="I8" s="3180"/>
    </row>
    <row r="9" spans="1:9" ht="15">
      <c r="A9" s="3179" t="s">
        <v>927</v>
      </c>
      <c r="B9" s="3179"/>
      <c r="C9" s="3179"/>
      <c r="D9" s="3179" t="str">
        <f ca="1">结果表!D123</f>
        <v>陆亿伍仟零壹拾玖万元整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2025-03-03T02:04:43Z</dcterms:modified>
</cp:coreProperties>
</file>