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
    </mc:Choice>
  </mc:AlternateContent>
  <xr:revisionPtr revIDLastSave="0" documentId="13_ncr:1_{AA7776AF-8DA9-4474-8736-8CF4C5693F37}" xr6:coauthVersionLast="45" xr6:coauthVersionMax="45" xr10:uidLastSave="{00000000-0000-0000-0000-000000000000}"/>
  <bookViews>
    <workbookView xWindow="-11775" yWindow="-135" windowWidth="21600" windowHeight="12900" tabRatio="899" firstSheet="11" activeTab="2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收益法倒推" sheetId="83" r:id="rId25"/>
    <sheet name="比较法-住宅" sheetId="84" r:id="rId26"/>
    <sheet name="售价案例" sheetId="82" r:id="rId27"/>
    <sheet name="租金比较法-住宅 " sheetId="80" r:id="rId28"/>
    <sheet name="租金案例" sheetId="81" r:id="rId29"/>
    <sheet name="系统读取表" sheetId="74"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_FilterDatabase" localSheetId="27" hidden="1">'租金比较法-住宅 '!$A$1:$L$49</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4">收益法倒推!$A$1:$J$88</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29">系统读取表!$A$1:$I$26</definedName>
    <definedName name="_xlnm.Print_Area" localSheetId="11">项目基本情况!$A$1:$I$38</definedName>
    <definedName name="_xlnm.Print_Area" localSheetId="27">'租金比较法-住宅 '!$A$1:$K$54,'租金比较法-住宅 '!$A$57:$M$131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5">'比较法-住宅'!$B$88:$M$88</definedName>
    <definedName name="住宅朝向" localSheetId="27">'租金比较法-住宅 '!$B$88:$M$88</definedName>
    <definedName name="住宅朝向">#REF!</definedName>
    <definedName name="住宅房型" localSheetId="25">'比较法-住宅'!$B$118:$M$118</definedName>
    <definedName name="住宅房型" localSheetId="27">'租金比较法-住宅 '!$B$118:$M$118</definedName>
    <definedName name="住宅房型">#REF!</definedName>
    <definedName name="住宅公共部分装修" localSheetId="25">'比较法-住宅'!$B$109:$M$109</definedName>
    <definedName name="住宅公共部分装修" localSheetId="27">'租金比较法-住宅 '!$B$109:$M$109</definedName>
    <definedName name="住宅公共部分装修">#REF!</definedName>
    <definedName name="住宅基础设施水平" localSheetId="25">'比较法-住宅'!$B$116:$M$116</definedName>
    <definedName name="住宅基础设施水平" localSheetId="27">'租金比较法-住宅 '!$B$116:$M$116</definedName>
    <definedName name="住宅基础设施水平">#REF!</definedName>
    <definedName name="住宅建筑结构" localSheetId="25">'比较法-住宅'!$B$105:$M$105</definedName>
    <definedName name="住宅建筑结构" localSheetId="27">'租金比较法-住宅 '!$B$105:$M$105</definedName>
    <definedName name="住宅建筑结构">#REF!</definedName>
    <definedName name="住宅建筑类型" localSheetId="25">'比较法-住宅'!$B$100:$M$100</definedName>
    <definedName name="住宅建筑类型" localSheetId="27">'租金比较法-住宅 '!$B$100:$M$100</definedName>
    <definedName name="住宅建筑类型">#REF!</definedName>
    <definedName name="住宅建筑品质" localSheetId="25">'比较法-住宅'!$B$107:$M$107</definedName>
    <definedName name="住宅建筑品质" localSheetId="27">'租金比较法-住宅 '!$B$107:$M$107</definedName>
    <definedName name="住宅建筑品质">#REF!</definedName>
    <definedName name="住宅交易情况" localSheetId="25">'比较法-住宅'!$A$61:$M$61</definedName>
    <definedName name="住宅交易情况" localSheetId="27">'租金比较法-住宅 '!$A$61:$M$61</definedName>
    <definedName name="住宅交易情况">#REF!</definedName>
    <definedName name="住宅楼层" localSheetId="25">'比较法-住宅'!$B$86:$M$86</definedName>
    <definedName name="住宅楼层" localSheetId="27">'租金比较法-住宅 '!$B$86:$M$86</definedName>
    <definedName name="住宅楼层">#REF!</definedName>
    <definedName name="住宅内部装修" localSheetId="25">'比较法-住宅'!$B$122:$M$122</definedName>
    <definedName name="住宅内部装修" localSheetId="27">'租金比较法-住宅 '!$B$122:$M$122</definedName>
    <definedName name="住宅内部装修">#REF!</definedName>
    <definedName name="住宅物业管理" localSheetId="25">'比较法-住宅'!$B$114:$M$114</definedName>
    <definedName name="住宅物业管理" localSheetId="27">'租金比较法-住宅 '!$B$114:$M$114</definedName>
    <definedName name="住宅物业管理">#REF!</definedName>
    <definedName name="住宅用途" localSheetId="25">'比较法-住宅'!$B$63:$M$63</definedName>
    <definedName name="住宅用途" localSheetId="27">'租金比较法-住宅 '!$B$63:$M$63</definedName>
    <definedName name="住宅用途">#REF!</definedName>
    <definedName name="住宅主力户型面积" localSheetId="25">'比较法-住宅'!$B$120:$M$120</definedName>
    <definedName name="住宅主力户型面积" localSheetId="27">'租金比较法-住宅 '!$B$120:$M$120</definedName>
    <definedName name="住宅主力户型面积">#REF!</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3" i="83" l="1"/>
  <c r="L12" i="4"/>
  <c r="E26" i="83"/>
  <c r="E25" i="83"/>
  <c r="I47" i="80"/>
  <c r="G47" i="80"/>
  <c r="E47" i="80"/>
  <c r="H42" i="80"/>
  <c r="AB42" i="80"/>
  <c r="T47" i="80"/>
  <c r="T48" i="80"/>
  <c r="F42" i="80"/>
  <c r="AA42" i="80"/>
  <c r="R47" i="80"/>
  <c r="R48" i="80"/>
  <c r="V47" i="80"/>
  <c r="V48" i="80"/>
  <c r="R49" i="80"/>
  <c r="C49" i="80"/>
  <c r="D36" i="83"/>
  <c r="E24" i="83"/>
  <c r="C15" i="4"/>
  <c r="I5" i="83"/>
  <c r="C4" i="83"/>
  <c r="C30" i="83"/>
  <c r="C31" i="83"/>
  <c r="D37" i="83"/>
  <c r="D38" i="83"/>
  <c r="P7" i="81"/>
  <c r="M7" i="81"/>
  <c r="P2" i="81"/>
  <c r="N19" i="1"/>
  <c r="G44" i="83"/>
  <c r="E91" i="80"/>
  <c r="D91" i="80"/>
  <c r="D45" i="83"/>
  <c r="D46" i="83"/>
  <c r="D47" i="83"/>
  <c r="D49" i="83"/>
  <c r="D48" i="83"/>
  <c r="I33" i="80"/>
  <c r="G33" i="80"/>
  <c r="E33" i="80"/>
  <c r="I27" i="80"/>
  <c r="G27" i="80"/>
  <c r="E27" i="80"/>
  <c r="N24" i="1"/>
  <c r="N3" i="81"/>
  <c r="I7" i="83"/>
  <c r="I27" i="84"/>
  <c r="G27" i="84"/>
  <c r="E27" i="84"/>
  <c r="E10" i="80"/>
  <c r="G10" i="80"/>
  <c r="I10" i="80"/>
  <c r="N4" i="81"/>
  <c r="M3" i="81"/>
  <c r="P3" i="81"/>
  <c r="M4" i="81"/>
  <c r="M5" i="81"/>
  <c r="M6" i="81"/>
  <c r="M2" i="81"/>
  <c r="O6" i="81"/>
  <c r="O5" i="81"/>
  <c r="O4" i="81"/>
  <c r="O3" i="81"/>
  <c r="N6" i="81"/>
  <c r="N5" i="81"/>
  <c r="I47" i="84"/>
  <c r="V47" i="84"/>
  <c r="I33" i="84"/>
  <c r="G47" i="84"/>
  <c r="E47" i="84"/>
  <c r="G33" i="84"/>
  <c r="E33" i="84"/>
  <c r="C145" i="84"/>
  <c r="J142" i="84"/>
  <c r="J140" i="84"/>
  <c r="K139" i="84"/>
  <c r="B130" i="84"/>
  <c r="B128" i="84"/>
  <c r="B126" i="84"/>
  <c r="D125" i="84"/>
  <c r="E125" i="84"/>
  <c r="F125" i="84"/>
  <c r="G125" i="84"/>
  <c r="F123" i="84"/>
  <c r="G123" i="84"/>
  <c r="H123" i="84"/>
  <c r="I123" i="84"/>
  <c r="J123" i="84"/>
  <c r="K123" i="84"/>
  <c r="L123" i="84"/>
  <c r="M123" i="84"/>
  <c r="D123" i="84"/>
  <c r="E123" i="84"/>
  <c r="D119" i="84"/>
  <c r="E119" i="84"/>
  <c r="F119" i="84"/>
  <c r="G119" i="84"/>
  <c r="H119" i="84"/>
  <c r="I119" i="84"/>
  <c r="J119" i="84"/>
  <c r="K119" i="84"/>
  <c r="L119" i="84"/>
  <c r="M119" i="84"/>
  <c r="D117" i="84"/>
  <c r="E117" i="84"/>
  <c r="F117" i="84"/>
  <c r="G117" i="84"/>
  <c r="F115" i="84"/>
  <c r="G115" i="84"/>
  <c r="H115" i="84"/>
  <c r="I115" i="84"/>
  <c r="J115" i="84"/>
  <c r="K115" i="84"/>
  <c r="L115" i="84"/>
  <c r="M115" i="84"/>
  <c r="D115" i="84"/>
  <c r="E115" i="84"/>
  <c r="G113" i="84"/>
  <c r="H113" i="84"/>
  <c r="E113" i="84"/>
  <c r="F113" i="84"/>
  <c r="D113" i="84"/>
  <c r="H111" i="84"/>
  <c r="G111" i="84"/>
  <c r="F111" i="84"/>
  <c r="E111" i="84"/>
  <c r="D111" i="84"/>
  <c r="C111" i="84"/>
  <c r="G110" i="84"/>
  <c r="H110" i="84"/>
  <c r="I110" i="84"/>
  <c r="J110" i="84"/>
  <c r="K110" i="84"/>
  <c r="L110" i="84"/>
  <c r="M110" i="84"/>
  <c r="E110" i="84"/>
  <c r="F110" i="84"/>
  <c r="D110" i="84"/>
  <c r="G108" i="84"/>
  <c r="H108" i="84"/>
  <c r="I108" i="84"/>
  <c r="J108" i="84"/>
  <c r="K108" i="84"/>
  <c r="L108" i="84"/>
  <c r="M108" i="84"/>
  <c r="E108" i="84"/>
  <c r="F108" i="84"/>
  <c r="D108" i="84"/>
  <c r="G106" i="84"/>
  <c r="H106" i="84"/>
  <c r="I106" i="84"/>
  <c r="J106" i="84"/>
  <c r="K106" i="84"/>
  <c r="L106" i="84"/>
  <c r="M106" i="84"/>
  <c r="E106" i="84"/>
  <c r="F106" i="84"/>
  <c r="D106" i="84"/>
  <c r="M102" i="84"/>
  <c r="L102" i="84"/>
  <c r="K102" i="84"/>
  <c r="J102" i="84"/>
  <c r="I102" i="84"/>
  <c r="H102" i="84"/>
  <c r="G102" i="84"/>
  <c r="F102" i="84"/>
  <c r="E102" i="84"/>
  <c r="D102" i="84"/>
  <c r="C102" i="84"/>
  <c r="D101" i="84"/>
  <c r="E101" i="84"/>
  <c r="F101" i="84"/>
  <c r="G101" i="84"/>
  <c r="B98" i="84"/>
  <c r="B96" i="84"/>
  <c r="B94" i="84"/>
  <c r="B92" i="84"/>
  <c r="B90" i="84"/>
  <c r="D89" i="84"/>
  <c r="E89" i="84"/>
  <c r="F89" i="84"/>
  <c r="M87" i="84"/>
  <c r="L87" i="84"/>
  <c r="K87" i="84"/>
  <c r="J87" i="84"/>
  <c r="I87" i="84"/>
  <c r="H87" i="84"/>
  <c r="G87" i="84"/>
  <c r="F87" i="84"/>
  <c r="E87" i="84"/>
  <c r="D87" i="84"/>
  <c r="G85" i="84"/>
  <c r="E85" i="84"/>
  <c r="F85" i="84"/>
  <c r="D85" i="84"/>
  <c r="E83" i="84"/>
  <c r="F83" i="84"/>
  <c r="G83" i="84"/>
  <c r="D83" i="84"/>
  <c r="G81" i="84"/>
  <c r="E81" i="84"/>
  <c r="F81" i="84"/>
  <c r="D81" i="84"/>
  <c r="E79" i="84"/>
  <c r="F79" i="84"/>
  <c r="G79" i="84"/>
  <c r="D79" i="84"/>
  <c r="G77" i="84"/>
  <c r="E77" i="84"/>
  <c r="F77" i="84"/>
  <c r="D77" i="84"/>
  <c r="B74" i="84"/>
  <c r="B72" i="84"/>
  <c r="B70" i="84"/>
  <c r="D69" i="84"/>
  <c r="E69" i="84"/>
  <c r="F69" i="84"/>
  <c r="G69" i="84"/>
  <c r="H69" i="84"/>
  <c r="I69" i="84"/>
  <c r="J69" i="84"/>
  <c r="K69" i="84"/>
  <c r="L69" i="84"/>
  <c r="M69" i="84"/>
  <c r="M67" i="84"/>
  <c r="L67" i="84"/>
  <c r="K67" i="84"/>
  <c r="J67" i="84"/>
  <c r="I67" i="84"/>
  <c r="H67" i="84"/>
  <c r="G67" i="84"/>
  <c r="F67" i="84"/>
  <c r="E67" i="84"/>
  <c r="D67" i="84"/>
  <c r="C67" i="84"/>
  <c r="E66" i="84"/>
  <c r="F66" i="84"/>
  <c r="G66" i="84"/>
  <c r="D66" i="84"/>
  <c r="C63" i="84"/>
  <c r="P49" i="84"/>
  <c r="P48" i="84"/>
  <c r="K48" i="84"/>
  <c r="P47" i="84"/>
  <c r="Q46" i="84"/>
  <c r="Z46" i="84"/>
  <c r="H46" i="84"/>
  <c r="AB46" i="84"/>
  <c r="AA45" i="84"/>
  <c r="Q45" i="84"/>
  <c r="Z45" i="84"/>
  <c r="J45" i="84"/>
  <c r="AC45" i="84"/>
  <c r="H45" i="84"/>
  <c r="AB45" i="84"/>
  <c r="F45" i="84"/>
  <c r="S45" i="84"/>
  <c r="Q44" i="84"/>
  <c r="Z44" i="84"/>
  <c r="J44" i="84"/>
  <c r="AC44" i="84"/>
  <c r="H44" i="84"/>
  <c r="AB44" i="84"/>
  <c r="F44" i="84"/>
  <c r="AA44" i="84"/>
  <c r="Q43" i="84"/>
  <c r="Z43" i="84"/>
  <c r="J43" i="84"/>
  <c r="AC43" i="84"/>
  <c r="H43" i="84"/>
  <c r="AB43" i="84"/>
  <c r="F43" i="84"/>
  <c r="AA43" i="84"/>
  <c r="Q42" i="84"/>
  <c r="Z42" i="84"/>
  <c r="J42" i="84"/>
  <c r="AC42" i="84"/>
  <c r="H42" i="84"/>
  <c r="AB42" i="84"/>
  <c r="F42" i="84"/>
  <c r="AA42" i="84"/>
  <c r="U41" i="84"/>
  <c r="Q41" i="84"/>
  <c r="Z41" i="84"/>
  <c r="J41" i="84"/>
  <c r="AC41" i="84"/>
  <c r="H41" i="84"/>
  <c r="AB41" i="84"/>
  <c r="F41" i="84"/>
  <c r="AA41" i="84"/>
  <c r="Q40" i="84"/>
  <c r="Z40" i="84"/>
  <c r="J40" i="84"/>
  <c r="AC40" i="84"/>
  <c r="H40" i="84"/>
  <c r="AB40" i="84"/>
  <c r="F40" i="84"/>
  <c r="AA40" i="84"/>
  <c r="Q39" i="84"/>
  <c r="Z39" i="84"/>
  <c r="J39" i="84"/>
  <c r="AC39" i="84"/>
  <c r="H39" i="84"/>
  <c r="AB39" i="84"/>
  <c r="F39" i="84"/>
  <c r="AA39" i="84"/>
  <c r="AC38" i="84"/>
  <c r="W38" i="84"/>
  <c r="Q38" i="84"/>
  <c r="Z38" i="84"/>
  <c r="J38" i="84"/>
  <c r="H38" i="84"/>
  <c r="AB38" i="84"/>
  <c r="F38" i="84"/>
  <c r="AA38" i="84"/>
  <c r="Q37" i="84"/>
  <c r="Z37" i="84"/>
  <c r="I37" i="84"/>
  <c r="J37" i="84"/>
  <c r="G37" i="84"/>
  <c r="H37" i="84"/>
  <c r="U37" i="84"/>
  <c r="E37" i="84"/>
  <c r="F37" i="84"/>
  <c r="Q36" i="84"/>
  <c r="Z36" i="84"/>
  <c r="J36" i="84"/>
  <c r="AC36" i="84"/>
  <c r="H36" i="84"/>
  <c r="AB36" i="84"/>
  <c r="F36" i="84"/>
  <c r="AA36" i="84"/>
  <c r="AC35" i="84"/>
  <c r="W35" i="84"/>
  <c r="Q35" i="84"/>
  <c r="Z35" i="84"/>
  <c r="J35" i="84"/>
  <c r="H35" i="84"/>
  <c r="AB35" i="84"/>
  <c r="F35" i="84"/>
  <c r="AA35" i="84"/>
  <c r="AB34" i="84"/>
  <c r="U34" i="84"/>
  <c r="Q34" i="84"/>
  <c r="Z34" i="84"/>
  <c r="J34" i="84"/>
  <c r="AC34" i="84"/>
  <c r="H34" i="84"/>
  <c r="F34" i="84"/>
  <c r="AA34" i="84"/>
  <c r="Q33" i="84"/>
  <c r="Z33" i="84"/>
  <c r="Q32" i="84"/>
  <c r="Z32" i="84"/>
  <c r="H32" i="84"/>
  <c r="AB32" i="84"/>
  <c r="AC31" i="84"/>
  <c r="W31" i="84"/>
  <c r="Q31" i="84"/>
  <c r="Z31" i="84"/>
  <c r="J31" i="84"/>
  <c r="H31" i="84"/>
  <c r="AB31" i="84"/>
  <c r="F31" i="84"/>
  <c r="AA31" i="84"/>
  <c r="AB30" i="84"/>
  <c r="U30" i="84"/>
  <c r="Q30" i="84"/>
  <c r="Z30" i="84"/>
  <c r="J30" i="84"/>
  <c r="AC30" i="84"/>
  <c r="H30" i="84"/>
  <c r="F30" i="84"/>
  <c r="AA30" i="84"/>
  <c r="Q29" i="84"/>
  <c r="Z29" i="84"/>
  <c r="J29" i="84"/>
  <c r="AC29" i="84"/>
  <c r="H29" i="84"/>
  <c r="AB29" i="84"/>
  <c r="F29" i="84"/>
  <c r="AA29" i="84"/>
  <c r="Q28" i="84"/>
  <c r="Z28" i="84"/>
  <c r="J28" i="84"/>
  <c r="AC28" i="84"/>
  <c r="H28" i="84"/>
  <c r="AB28" i="84"/>
  <c r="F28" i="84"/>
  <c r="AA28" i="84"/>
  <c r="Q27" i="84"/>
  <c r="Z27" i="84"/>
  <c r="J27" i="84"/>
  <c r="AC27" i="84"/>
  <c r="H27" i="84"/>
  <c r="AB27" i="84"/>
  <c r="F27" i="84"/>
  <c r="AA27" i="84"/>
  <c r="Q26" i="84"/>
  <c r="Z26" i="84"/>
  <c r="Q25" i="84"/>
  <c r="Z25" i="84"/>
  <c r="J25" i="84"/>
  <c r="AC25" i="84"/>
  <c r="H25" i="84"/>
  <c r="AB25" i="84"/>
  <c r="F25" i="84"/>
  <c r="AA25" i="84"/>
  <c r="Q23" i="84"/>
  <c r="Z23" i="84"/>
  <c r="J23" i="84"/>
  <c r="AC23" i="84"/>
  <c r="H23" i="84"/>
  <c r="AB23" i="84"/>
  <c r="F23" i="84"/>
  <c r="AA23" i="84"/>
  <c r="C23" i="84"/>
  <c r="Q21" i="84"/>
  <c r="Z21" i="84"/>
  <c r="J21" i="84"/>
  <c r="AC21" i="84"/>
  <c r="H21" i="84"/>
  <c r="AB21" i="84"/>
  <c r="F21" i="84"/>
  <c r="AA21" i="84"/>
  <c r="C21" i="84"/>
  <c r="Q19" i="84"/>
  <c r="Z19" i="84"/>
  <c r="J19" i="84"/>
  <c r="AC19" i="84"/>
  <c r="H19" i="84"/>
  <c r="AB19" i="84"/>
  <c r="F19" i="84"/>
  <c r="AA19" i="84"/>
  <c r="C19" i="84"/>
  <c r="Q17" i="84"/>
  <c r="Z17" i="84"/>
  <c r="J17" i="84"/>
  <c r="AC17" i="84"/>
  <c r="H17" i="84"/>
  <c r="AB17" i="84"/>
  <c r="F17" i="84"/>
  <c r="AA17" i="84"/>
  <c r="C17" i="84"/>
  <c r="Q15" i="84"/>
  <c r="Z15" i="84"/>
  <c r="J15" i="84"/>
  <c r="AC15" i="84"/>
  <c r="H15" i="84"/>
  <c r="AB15" i="84"/>
  <c r="F15" i="84"/>
  <c r="AA15" i="84"/>
  <c r="C15" i="84"/>
  <c r="Q14" i="84"/>
  <c r="Z14" i="84"/>
  <c r="J14" i="84"/>
  <c r="AC14" i="84"/>
  <c r="H14" i="84"/>
  <c r="AB14" i="84"/>
  <c r="F14" i="84"/>
  <c r="AA14" i="84"/>
  <c r="AC13" i="84"/>
  <c r="W13" i="84"/>
  <c r="Q13" i="84"/>
  <c r="Z13" i="84"/>
  <c r="J13" i="84"/>
  <c r="H13" i="84"/>
  <c r="AB13" i="84"/>
  <c r="F13" i="84"/>
  <c r="AA13" i="84"/>
  <c r="AB12" i="84"/>
  <c r="U12" i="84"/>
  <c r="Q12" i="84"/>
  <c r="Z12" i="84"/>
  <c r="J12" i="84"/>
  <c r="AC12" i="84"/>
  <c r="H12" i="84"/>
  <c r="F12" i="84"/>
  <c r="AA12" i="84"/>
  <c r="Q11" i="84"/>
  <c r="Z11" i="84"/>
  <c r="J11" i="84"/>
  <c r="AC11" i="84"/>
  <c r="H11" i="84"/>
  <c r="AB11" i="84"/>
  <c r="F11" i="84"/>
  <c r="AA11" i="84"/>
  <c r="Q10" i="84"/>
  <c r="Z10" i="84"/>
  <c r="H10" i="84"/>
  <c r="AB10" i="84"/>
  <c r="AC9" i="84"/>
  <c r="W9" i="84"/>
  <c r="Q9" i="84"/>
  <c r="Z9" i="84"/>
  <c r="J9" i="84"/>
  <c r="H9" i="84"/>
  <c r="AB9" i="84"/>
  <c r="F9" i="84"/>
  <c r="AA9" i="84"/>
  <c r="W8" i="84"/>
  <c r="S8" i="84"/>
  <c r="J8" i="84"/>
  <c r="AC8" i="84"/>
  <c r="H8" i="84"/>
  <c r="U8" i="84"/>
  <c r="F8" i="84"/>
  <c r="AA8" i="84"/>
  <c r="I5" i="84"/>
  <c r="G5" i="84"/>
  <c r="E5" i="84"/>
  <c r="D2" i="84"/>
  <c r="AB37" i="84"/>
  <c r="G89" i="84"/>
  <c r="H89" i="84"/>
  <c r="H26" i="84"/>
  <c r="AB26" i="84"/>
  <c r="G54" i="84"/>
  <c r="H54" i="84"/>
  <c r="W27" i="84"/>
  <c r="AB8" i="84"/>
  <c r="S11" i="84"/>
  <c r="S25" i="84"/>
  <c r="S29" i="84"/>
  <c r="AA37" i="84"/>
  <c r="S37" i="84"/>
  <c r="AC37" i="84"/>
  <c r="W37" i="84"/>
  <c r="S9" i="84"/>
  <c r="U10" i="84"/>
  <c r="W11" i="84"/>
  <c r="S13" i="84"/>
  <c r="U14" i="84"/>
  <c r="U15" i="84"/>
  <c r="U17" i="84"/>
  <c r="U19" i="84"/>
  <c r="U21" i="84"/>
  <c r="U23" i="84"/>
  <c r="W25" i="84"/>
  <c r="S27" i="84"/>
  <c r="U28" i="84"/>
  <c r="W29" i="84"/>
  <c r="S31" i="84"/>
  <c r="U32" i="84"/>
  <c r="S35" i="84"/>
  <c r="U36" i="84"/>
  <c r="S38" i="84"/>
  <c r="U39" i="84"/>
  <c r="W40" i="84"/>
  <c r="H66" i="84"/>
  <c r="I66" i="84"/>
  <c r="J10" i="84"/>
  <c r="F10" i="84"/>
  <c r="I89" i="84"/>
  <c r="J89" i="84"/>
  <c r="K89" i="84"/>
  <c r="L89" i="84"/>
  <c r="M89" i="84"/>
  <c r="J26" i="84"/>
  <c r="F26" i="84"/>
  <c r="H101" i="84"/>
  <c r="I101" i="84"/>
  <c r="J101" i="84"/>
  <c r="K101" i="84"/>
  <c r="L101" i="84"/>
  <c r="M101" i="84"/>
  <c r="J32" i="84"/>
  <c r="F32" i="84"/>
  <c r="S40" i="84"/>
  <c r="U9" i="84"/>
  <c r="U11" i="84"/>
  <c r="S12" i="84"/>
  <c r="W12" i="84"/>
  <c r="U13" i="84"/>
  <c r="S14" i="84"/>
  <c r="W14" i="84"/>
  <c r="S15" i="84"/>
  <c r="W15" i="84"/>
  <c r="S17" i="84"/>
  <c r="W17" i="84"/>
  <c r="S19" i="84"/>
  <c r="W19" i="84"/>
  <c r="S21" i="84"/>
  <c r="W21" i="84"/>
  <c r="S23" i="84"/>
  <c r="W23" i="84"/>
  <c r="U25" i="84"/>
  <c r="U27" i="84"/>
  <c r="S28" i="84"/>
  <c r="W28" i="84"/>
  <c r="U29" i="84"/>
  <c r="S30" i="84"/>
  <c r="W30" i="84"/>
  <c r="U31" i="84"/>
  <c r="S34" i="84"/>
  <c r="W34" i="84"/>
  <c r="U35" i="84"/>
  <c r="S36" i="84"/>
  <c r="W36" i="84"/>
  <c r="U38" i="84"/>
  <c r="S39" i="84"/>
  <c r="W39" i="84"/>
  <c r="U40" i="84"/>
  <c r="S41" i="84"/>
  <c r="W41" i="84"/>
  <c r="U42" i="84"/>
  <c r="S43" i="84"/>
  <c r="W43" i="84"/>
  <c r="U44" i="84"/>
  <c r="W45" i="84"/>
  <c r="E54" i="84"/>
  <c r="F54" i="84"/>
  <c r="I54" i="84"/>
  <c r="J54" i="84"/>
  <c r="R47" i="84"/>
  <c r="S42" i="84"/>
  <c r="W42" i="84"/>
  <c r="U43" i="84"/>
  <c r="S44" i="84"/>
  <c r="W44" i="84"/>
  <c r="U45" i="84"/>
  <c r="U46" i="84"/>
  <c r="J46" i="84"/>
  <c r="F46" i="84"/>
  <c r="K143" i="84"/>
  <c r="K141" i="84"/>
  <c r="K144" i="84"/>
  <c r="K145" i="84"/>
  <c r="T47" i="84"/>
  <c r="U26" i="84"/>
  <c r="AA26" i="84"/>
  <c r="S26" i="84"/>
  <c r="AA46" i="84"/>
  <c r="S46" i="84"/>
  <c r="AC32" i="84"/>
  <c r="W32" i="84"/>
  <c r="AC10" i="84"/>
  <c r="W10" i="84"/>
  <c r="AC46" i="84"/>
  <c r="W46" i="84"/>
  <c r="AA32" i="84"/>
  <c r="S32" i="84"/>
  <c r="AC26" i="84"/>
  <c r="W26" i="84"/>
  <c r="AA10" i="84"/>
  <c r="S10" i="84"/>
  <c r="P4" i="81"/>
  <c r="P5" i="81"/>
  <c r="P6" i="81"/>
  <c r="I37" i="80"/>
  <c r="G37" i="80"/>
  <c r="E37" i="80"/>
  <c r="D66" i="80"/>
  <c r="E66" i="80"/>
  <c r="F66" i="80"/>
  <c r="G66" i="80"/>
  <c r="H66" i="80"/>
  <c r="I66" i="80"/>
  <c r="I5" i="80"/>
  <c r="G5" i="80"/>
  <c r="E5" i="80"/>
  <c r="Y6" i="1"/>
  <c r="F19" i="6"/>
  <c r="C37" i="83"/>
  <c r="E29" i="83"/>
  <c r="C22" i="83"/>
  <c r="C21" i="83"/>
  <c r="E19" i="83"/>
  <c r="F19" i="83"/>
  <c r="C18" i="83"/>
  <c r="F16" i="83"/>
  <c r="E16" i="83"/>
  <c r="E15" i="83"/>
  <c r="C15" i="83"/>
  <c r="M10" i="83"/>
  <c r="P9" i="83"/>
  <c r="O10" i="83"/>
  <c r="M4" i="83"/>
  <c r="C33" i="84"/>
  <c r="C33" i="80"/>
  <c r="J33" i="80"/>
  <c r="AC33" i="80"/>
  <c r="C145" i="80"/>
  <c r="J142" i="80"/>
  <c r="J140" i="80"/>
  <c r="K139" i="80"/>
  <c r="B130" i="80"/>
  <c r="H46" i="80"/>
  <c r="B128" i="80"/>
  <c r="B126" i="80"/>
  <c r="H44" i="80"/>
  <c r="D125" i="80"/>
  <c r="E125" i="80"/>
  <c r="F125" i="80"/>
  <c r="G125" i="80"/>
  <c r="D123" i="80"/>
  <c r="E123" i="80"/>
  <c r="F123" i="80"/>
  <c r="G123" i="80"/>
  <c r="H123" i="80"/>
  <c r="I123" i="80"/>
  <c r="J123" i="80"/>
  <c r="K123" i="80"/>
  <c r="L123" i="80"/>
  <c r="M123" i="80"/>
  <c r="D119" i="80"/>
  <c r="E119" i="80"/>
  <c r="F119" i="80"/>
  <c r="G119" i="80"/>
  <c r="H119" i="80"/>
  <c r="I119" i="80"/>
  <c r="J119" i="80"/>
  <c r="K119" i="80"/>
  <c r="L119" i="80"/>
  <c r="M119" i="80"/>
  <c r="D117" i="80"/>
  <c r="E117" i="80"/>
  <c r="F117" i="80"/>
  <c r="G117" i="80"/>
  <c r="D115" i="80"/>
  <c r="E115" i="80"/>
  <c r="F115" i="80"/>
  <c r="G115" i="80"/>
  <c r="H115" i="80"/>
  <c r="I115" i="80"/>
  <c r="J115" i="80"/>
  <c r="K115" i="80"/>
  <c r="L115" i="80"/>
  <c r="M115" i="80"/>
  <c r="D113" i="80"/>
  <c r="E113" i="80"/>
  <c r="F113" i="80"/>
  <c r="G113" i="80"/>
  <c r="H113" i="80"/>
  <c r="H111" i="80"/>
  <c r="G111" i="80"/>
  <c r="F111" i="80"/>
  <c r="E111" i="80"/>
  <c r="D111" i="80"/>
  <c r="C111" i="80"/>
  <c r="E110" i="80"/>
  <c r="F110" i="80"/>
  <c r="G110" i="80"/>
  <c r="H110" i="80"/>
  <c r="I110" i="80"/>
  <c r="J110" i="80"/>
  <c r="K110" i="80"/>
  <c r="L110" i="80"/>
  <c r="M110" i="80"/>
  <c r="D110" i="80"/>
  <c r="D108" i="80"/>
  <c r="E108" i="80"/>
  <c r="F108" i="80"/>
  <c r="G108" i="80"/>
  <c r="H108" i="80"/>
  <c r="I108" i="80"/>
  <c r="J108" i="80"/>
  <c r="K108" i="80"/>
  <c r="L108" i="80"/>
  <c r="M108" i="80"/>
  <c r="D106" i="80"/>
  <c r="E106" i="80"/>
  <c r="F106" i="80"/>
  <c r="G106" i="80"/>
  <c r="H106" i="80"/>
  <c r="I106" i="80"/>
  <c r="J106" i="80"/>
  <c r="K106" i="80"/>
  <c r="L106" i="80"/>
  <c r="M106" i="80"/>
  <c r="M102" i="80"/>
  <c r="L102" i="80"/>
  <c r="K102" i="80"/>
  <c r="J102" i="80"/>
  <c r="I102" i="80"/>
  <c r="H102" i="80"/>
  <c r="G102" i="80"/>
  <c r="F102" i="80"/>
  <c r="E102" i="80"/>
  <c r="D102" i="80"/>
  <c r="C102" i="80"/>
  <c r="D101" i="80"/>
  <c r="E101" i="80"/>
  <c r="F101" i="80"/>
  <c r="G101" i="80"/>
  <c r="H101" i="80"/>
  <c r="I101" i="80"/>
  <c r="J101" i="80"/>
  <c r="K101" i="80"/>
  <c r="L101" i="80"/>
  <c r="M101" i="80"/>
  <c r="B98" i="80"/>
  <c r="B96" i="80"/>
  <c r="B94" i="80"/>
  <c r="B92" i="80"/>
  <c r="B90" i="80"/>
  <c r="H27" i="80"/>
  <c r="AB27" i="80"/>
  <c r="D89" i="80"/>
  <c r="E89" i="80"/>
  <c r="F89" i="80"/>
  <c r="G89" i="80"/>
  <c r="H89" i="80"/>
  <c r="M87" i="80"/>
  <c r="L87" i="80"/>
  <c r="K87" i="80"/>
  <c r="J87" i="80"/>
  <c r="I87" i="80"/>
  <c r="H87" i="80"/>
  <c r="G87" i="80"/>
  <c r="F87" i="80"/>
  <c r="E87" i="80"/>
  <c r="D87" i="80"/>
  <c r="E85" i="80"/>
  <c r="F85" i="80"/>
  <c r="G85" i="80"/>
  <c r="D85" i="80"/>
  <c r="D83" i="80"/>
  <c r="E83" i="80"/>
  <c r="F83" i="80"/>
  <c r="G83" i="80"/>
  <c r="E81" i="80"/>
  <c r="F81" i="80"/>
  <c r="G81" i="80"/>
  <c r="D81" i="80"/>
  <c r="E79" i="80"/>
  <c r="F79" i="80"/>
  <c r="G79" i="80"/>
  <c r="D79" i="80"/>
  <c r="D77" i="80"/>
  <c r="E77" i="80"/>
  <c r="F77" i="80"/>
  <c r="G77" i="80"/>
  <c r="B74" i="80"/>
  <c r="B72" i="80"/>
  <c r="H13" i="80"/>
  <c r="AB13" i="80"/>
  <c r="B70" i="80"/>
  <c r="D69" i="80"/>
  <c r="E69" i="80"/>
  <c r="F69" i="80"/>
  <c r="G69" i="80"/>
  <c r="H69" i="80"/>
  <c r="I69" i="80"/>
  <c r="J69" i="80"/>
  <c r="K69" i="80"/>
  <c r="L69" i="80"/>
  <c r="M69" i="80"/>
  <c r="M67" i="80"/>
  <c r="L67" i="80"/>
  <c r="K67" i="80"/>
  <c r="J67" i="80"/>
  <c r="I67" i="80"/>
  <c r="H67" i="80"/>
  <c r="G67" i="80"/>
  <c r="F67" i="80"/>
  <c r="E67" i="80"/>
  <c r="D67" i="80"/>
  <c r="C67" i="80"/>
  <c r="C63" i="80"/>
  <c r="I54" i="80"/>
  <c r="J54" i="80"/>
  <c r="G54" i="80"/>
  <c r="H54" i="80"/>
  <c r="E54" i="80"/>
  <c r="F54" i="80"/>
  <c r="P49" i="80"/>
  <c r="P48" i="80"/>
  <c r="K48" i="80"/>
  <c r="P47" i="80"/>
  <c r="Q46" i="80"/>
  <c r="Z46" i="80"/>
  <c r="J46" i="80"/>
  <c r="AC46" i="80"/>
  <c r="Z45" i="80"/>
  <c r="Q45" i="80"/>
  <c r="J45" i="80"/>
  <c r="AC45" i="80"/>
  <c r="H45" i="80"/>
  <c r="F45" i="80"/>
  <c r="AA45" i="80"/>
  <c r="Q44" i="80"/>
  <c r="Z44" i="80"/>
  <c r="Q43" i="80"/>
  <c r="Z43" i="80"/>
  <c r="J43" i="80"/>
  <c r="AC43" i="80"/>
  <c r="H43" i="80"/>
  <c r="AB43" i="80"/>
  <c r="F43" i="80"/>
  <c r="AA43" i="80"/>
  <c r="Q42" i="80"/>
  <c r="Z42" i="80"/>
  <c r="J42" i="80"/>
  <c r="W42" i="80"/>
  <c r="Q41" i="80"/>
  <c r="Z41" i="80"/>
  <c r="J41" i="80"/>
  <c r="AC41" i="80"/>
  <c r="H41" i="80"/>
  <c r="U41" i="80"/>
  <c r="F41" i="80"/>
  <c r="AA41" i="80"/>
  <c r="Q40" i="80"/>
  <c r="Z40" i="80"/>
  <c r="J40" i="80"/>
  <c r="AC40" i="80"/>
  <c r="H40" i="80"/>
  <c r="AB40" i="80"/>
  <c r="F40" i="80"/>
  <c r="AA40" i="80"/>
  <c r="Q39" i="80"/>
  <c r="Z39" i="80"/>
  <c r="J39" i="80"/>
  <c r="AC39" i="80"/>
  <c r="H39" i="80"/>
  <c r="AB39" i="80"/>
  <c r="F39" i="80"/>
  <c r="AA39" i="80"/>
  <c r="Q38" i="80"/>
  <c r="Z38" i="80"/>
  <c r="J38" i="80"/>
  <c r="W38" i="80"/>
  <c r="H38" i="80"/>
  <c r="AB38" i="80"/>
  <c r="F38" i="80"/>
  <c r="AA38" i="80"/>
  <c r="Q37" i="80"/>
  <c r="Z37" i="80"/>
  <c r="H37" i="80"/>
  <c r="U37" i="80"/>
  <c r="Q36" i="80"/>
  <c r="Z36" i="80"/>
  <c r="J36" i="80"/>
  <c r="AC36" i="80"/>
  <c r="F36" i="80"/>
  <c r="AA36" i="80"/>
  <c r="Q35" i="80"/>
  <c r="Z35" i="80"/>
  <c r="J35" i="80"/>
  <c r="AC35" i="80"/>
  <c r="H35" i="80"/>
  <c r="AB35" i="80"/>
  <c r="F35" i="80"/>
  <c r="AA35" i="80"/>
  <c r="Q34" i="80"/>
  <c r="Z34" i="80"/>
  <c r="J34" i="80"/>
  <c r="W34" i="80"/>
  <c r="H34" i="80"/>
  <c r="AB34" i="80"/>
  <c r="F34" i="80"/>
  <c r="AA34" i="80"/>
  <c r="Q33" i="80"/>
  <c r="Z33" i="80"/>
  <c r="H33" i="80"/>
  <c r="U33" i="80"/>
  <c r="Q32" i="80"/>
  <c r="Z32" i="80"/>
  <c r="J32" i="80"/>
  <c r="AC32" i="80"/>
  <c r="H32" i="80"/>
  <c r="AB32" i="80"/>
  <c r="F32" i="80"/>
  <c r="AA32" i="80"/>
  <c r="Q31" i="80"/>
  <c r="Z31" i="80"/>
  <c r="J31" i="80"/>
  <c r="AC31" i="80"/>
  <c r="H31" i="80"/>
  <c r="AB31" i="80"/>
  <c r="F31" i="80"/>
  <c r="AA31" i="80"/>
  <c r="Q30" i="80"/>
  <c r="Z30" i="80"/>
  <c r="J30" i="80"/>
  <c r="W30" i="80"/>
  <c r="H30" i="80"/>
  <c r="AB30" i="80"/>
  <c r="F30" i="80"/>
  <c r="AA30" i="80"/>
  <c r="Q29" i="80"/>
  <c r="Z29" i="80"/>
  <c r="J29" i="80"/>
  <c r="AC29" i="80"/>
  <c r="H29" i="80"/>
  <c r="AB29" i="80"/>
  <c r="F29" i="80"/>
  <c r="AA29" i="80"/>
  <c r="Q28" i="80"/>
  <c r="Z28" i="80"/>
  <c r="J28" i="80"/>
  <c r="AC28" i="80"/>
  <c r="H28" i="80"/>
  <c r="AB28" i="80"/>
  <c r="F28" i="80"/>
  <c r="AA28" i="80"/>
  <c r="Q27" i="80"/>
  <c r="Z27" i="80"/>
  <c r="J27" i="80"/>
  <c r="AC27" i="80"/>
  <c r="F27" i="80"/>
  <c r="AA27" i="80"/>
  <c r="Q26" i="80"/>
  <c r="Z26" i="80"/>
  <c r="Q25" i="80"/>
  <c r="Z25" i="80"/>
  <c r="J25" i="80"/>
  <c r="AC25" i="80"/>
  <c r="H25" i="80"/>
  <c r="AB25" i="80"/>
  <c r="F25" i="80"/>
  <c r="AA25" i="80"/>
  <c r="Q23" i="80"/>
  <c r="Z23" i="80"/>
  <c r="J23" i="80"/>
  <c r="AC23" i="80"/>
  <c r="H23" i="80"/>
  <c r="AB23" i="80"/>
  <c r="F23" i="80"/>
  <c r="AA23" i="80"/>
  <c r="C23" i="80"/>
  <c r="Q21" i="80"/>
  <c r="Z21" i="80"/>
  <c r="J21" i="80"/>
  <c r="AC21" i="80"/>
  <c r="H21" i="80"/>
  <c r="AB21" i="80"/>
  <c r="F21" i="80"/>
  <c r="AA21" i="80"/>
  <c r="C21" i="80"/>
  <c r="Q19" i="80"/>
  <c r="Z19" i="80"/>
  <c r="J19" i="80"/>
  <c r="AC19" i="80"/>
  <c r="H19" i="80"/>
  <c r="AB19" i="80"/>
  <c r="F19" i="80"/>
  <c r="AA19" i="80"/>
  <c r="C19" i="80"/>
  <c r="Q17" i="80"/>
  <c r="Z17" i="80"/>
  <c r="J17" i="80"/>
  <c r="AC17" i="80"/>
  <c r="H17" i="80"/>
  <c r="AB17" i="80"/>
  <c r="F17" i="80"/>
  <c r="AA17" i="80"/>
  <c r="C17" i="80"/>
  <c r="Q15" i="80"/>
  <c r="Z15" i="80"/>
  <c r="J15" i="80"/>
  <c r="AC15" i="80"/>
  <c r="H15" i="80"/>
  <c r="AB15" i="80"/>
  <c r="F15" i="80"/>
  <c r="AA15" i="80"/>
  <c r="C15" i="80"/>
  <c r="Q14" i="80"/>
  <c r="Z14" i="80"/>
  <c r="J14" i="80"/>
  <c r="AC14" i="80"/>
  <c r="H14" i="80"/>
  <c r="AB14" i="80"/>
  <c r="F14" i="80"/>
  <c r="AA14" i="80"/>
  <c r="Q13" i="80"/>
  <c r="Z13" i="80"/>
  <c r="J13" i="80"/>
  <c r="AC13" i="80"/>
  <c r="Q12" i="80"/>
  <c r="Z12" i="80"/>
  <c r="J12" i="80"/>
  <c r="AC12" i="80"/>
  <c r="H12" i="80"/>
  <c r="AB12" i="80"/>
  <c r="F12" i="80"/>
  <c r="AA12" i="80"/>
  <c r="Q11" i="80"/>
  <c r="Z11" i="80"/>
  <c r="H11" i="80"/>
  <c r="AB11" i="80"/>
  <c r="Q10" i="80"/>
  <c r="Z10" i="80"/>
  <c r="J10" i="80"/>
  <c r="AC10" i="80"/>
  <c r="H10" i="80"/>
  <c r="AB10" i="80"/>
  <c r="F10" i="80"/>
  <c r="AA10" i="80"/>
  <c r="Q9" i="80"/>
  <c r="Z9" i="80"/>
  <c r="J9" i="80"/>
  <c r="AC9" i="80"/>
  <c r="H9" i="80"/>
  <c r="AB9" i="80"/>
  <c r="F9" i="80"/>
  <c r="AA9" i="80"/>
  <c r="J8" i="80"/>
  <c r="AC8" i="80"/>
  <c r="H8" i="80"/>
  <c r="U8" i="80"/>
  <c r="F8" i="80"/>
  <c r="AA8" i="80"/>
  <c r="D2" i="80"/>
  <c r="F33" i="80"/>
  <c r="AA33" i="80"/>
  <c r="J44" i="80"/>
  <c r="AC44" i="80"/>
  <c r="J33" i="84"/>
  <c r="F33" i="84"/>
  <c r="H33" i="84"/>
  <c r="F37" i="80"/>
  <c r="AA37" i="80"/>
  <c r="J37" i="80"/>
  <c r="AC37" i="80"/>
  <c r="AC42" i="80"/>
  <c r="B2" i="1"/>
  <c r="C7" i="80"/>
  <c r="I7" i="80"/>
  <c r="C58" i="80"/>
  <c r="D58" i="80"/>
  <c r="E58" i="80"/>
  <c r="F58" i="80"/>
  <c r="G58" i="80"/>
  <c r="H58" i="80"/>
  <c r="I58" i="80"/>
  <c r="J58" i="80"/>
  <c r="K58" i="80"/>
  <c r="L58" i="80"/>
  <c r="M58" i="80"/>
  <c r="N58" i="80"/>
  <c r="O58" i="80"/>
  <c r="J7" i="80"/>
  <c r="AC7" i="80"/>
  <c r="H36" i="80"/>
  <c r="AB36" i="80"/>
  <c r="I89" i="80"/>
  <c r="J89" i="80"/>
  <c r="K89" i="80"/>
  <c r="L89" i="80"/>
  <c r="M89" i="80"/>
  <c r="F26" i="80"/>
  <c r="AA26" i="80"/>
  <c r="H26" i="80"/>
  <c r="AB26" i="80"/>
  <c r="J26" i="80"/>
  <c r="AC26" i="80"/>
  <c r="AC38" i="80"/>
  <c r="AC34" i="80"/>
  <c r="U28" i="80"/>
  <c r="F11" i="80"/>
  <c r="AA11" i="80"/>
  <c r="J11" i="80"/>
  <c r="AC11" i="80"/>
  <c r="F13" i="80"/>
  <c r="AA13" i="80"/>
  <c r="W46" i="80"/>
  <c r="F44" i="80"/>
  <c r="S44" i="80"/>
  <c r="F46" i="80"/>
  <c r="S46" i="80"/>
  <c r="AB41" i="80"/>
  <c r="AC30" i="80"/>
  <c r="AB37" i="80"/>
  <c r="AB33" i="80"/>
  <c r="S8" i="80"/>
  <c r="W8" i="80"/>
  <c r="AB8" i="80"/>
  <c r="S9" i="80"/>
  <c r="W9" i="80"/>
  <c r="U10" i="80"/>
  <c r="S11" i="80"/>
  <c r="W11" i="80"/>
  <c r="U12" i="80"/>
  <c r="W13" i="80"/>
  <c r="U14" i="80"/>
  <c r="U15" i="80"/>
  <c r="U19" i="80"/>
  <c r="U21" i="80"/>
  <c r="U23" i="80"/>
  <c r="S25" i="80"/>
  <c r="W25" i="80"/>
  <c r="S27" i="80"/>
  <c r="W27" i="80"/>
  <c r="U9" i="80"/>
  <c r="S10" i="80"/>
  <c r="W10" i="80"/>
  <c r="U11" i="80"/>
  <c r="S12" i="80"/>
  <c r="W12" i="80"/>
  <c r="U13" i="80"/>
  <c r="S14" i="80"/>
  <c r="W14" i="80"/>
  <c r="S15" i="80"/>
  <c r="W15" i="80"/>
  <c r="S17" i="80"/>
  <c r="W17" i="80"/>
  <c r="S19" i="80"/>
  <c r="W19" i="80"/>
  <c r="S21" i="80"/>
  <c r="W21" i="80"/>
  <c r="S23" i="80"/>
  <c r="W23" i="80"/>
  <c r="U25" i="80"/>
  <c r="U27" i="80"/>
  <c r="S28" i="80"/>
  <c r="W28" i="80"/>
  <c r="U29" i="80"/>
  <c r="S30" i="80"/>
  <c r="U31" i="80"/>
  <c r="W32" i="80"/>
  <c r="S34" i="80"/>
  <c r="U35" i="80"/>
  <c r="W36" i="80"/>
  <c r="S38" i="80"/>
  <c r="U39" i="80"/>
  <c r="W40" i="80"/>
  <c r="S42" i="80"/>
  <c r="U43" i="80"/>
  <c r="AB45" i="80"/>
  <c r="U45" i="80"/>
  <c r="AA46" i="80"/>
  <c r="U17" i="80"/>
  <c r="S29" i="80"/>
  <c r="W29" i="80"/>
  <c r="U30" i="80"/>
  <c r="S32" i="80"/>
  <c r="S36" i="80"/>
  <c r="S40" i="80"/>
  <c r="S31" i="80"/>
  <c r="W31" i="80"/>
  <c r="U32" i="80"/>
  <c r="W33" i="80"/>
  <c r="U34" i="80"/>
  <c r="S35" i="80"/>
  <c r="W35" i="80"/>
  <c r="S37" i="80"/>
  <c r="U38" i="80"/>
  <c r="S39" i="80"/>
  <c r="W39" i="80"/>
  <c r="U40" i="80"/>
  <c r="S41" i="80"/>
  <c r="W41" i="80"/>
  <c r="U42" i="80"/>
  <c r="S43" i="80"/>
  <c r="W43" i="80"/>
  <c r="AB44" i="80"/>
  <c r="U44" i="80"/>
  <c r="AB46" i="80"/>
  <c r="U46" i="80"/>
  <c r="K143" i="80"/>
  <c r="K141" i="80"/>
  <c r="K144" i="80"/>
  <c r="K145" i="80"/>
  <c r="S45" i="80"/>
  <c r="W45" i="80"/>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S33" i="80"/>
  <c r="E7" i="80"/>
  <c r="F7" i="80"/>
  <c r="AA7" i="80"/>
  <c r="G7" i="80"/>
  <c r="H7" i="80"/>
  <c r="AB7" i="80"/>
  <c r="W37" i="80"/>
  <c r="W44" i="80"/>
  <c r="AA44" i="80"/>
  <c r="W26" i="80"/>
  <c r="U33" i="84"/>
  <c r="AB33" i="84"/>
  <c r="W33" i="84"/>
  <c r="AC33" i="84"/>
  <c r="S33" i="84"/>
  <c r="AA33" i="84"/>
  <c r="U26" i="80"/>
  <c r="U36" i="80"/>
  <c r="S26" i="80"/>
  <c r="S13" i="80"/>
  <c r="P28" i="79"/>
  <c r="P26"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7" i="78"/>
  <c r="C5" i="78"/>
  <c r="C6"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B34" i="79"/>
  <c r="AA34" i="79"/>
  <c r="Z34" i="79"/>
  <c r="N34" i="79"/>
  <c r="M34" i="79"/>
  <c r="T34" i="79"/>
  <c r="W34" i="79"/>
  <c r="L34" i="79"/>
  <c r="I34" i="79"/>
  <c r="AD34" i="79"/>
  <c r="AB33" i="79"/>
  <c r="AA33" i="79"/>
  <c r="Z33" i="79"/>
  <c r="N33" i="79"/>
  <c r="U33" i="79"/>
  <c r="M33" i="79"/>
  <c r="L33" i="79"/>
  <c r="S33" i="79"/>
  <c r="I33" i="79"/>
  <c r="AB32" i="79"/>
  <c r="AA32" i="79"/>
  <c r="Z32" i="79"/>
  <c r="N32" i="79"/>
  <c r="M32" i="79"/>
  <c r="T32" i="79"/>
  <c r="W32" i="79"/>
  <c r="L32" i="79"/>
  <c r="I32" i="79"/>
  <c r="AD32" i="79"/>
  <c r="AB31" i="79"/>
  <c r="AA31" i="79"/>
  <c r="Z31" i="79"/>
  <c r="N31" i="79"/>
  <c r="U31" i="79"/>
  <c r="M31" i="79"/>
  <c r="L31" i="79"/>
  <c r="S31" i="79"/>
  <c r="I31" i="79"/>
  <c r="AB30" i="79"/>
  <c r="AA30" i="79"/>
  <c r="Z30" i="79"/>
  <c r="N30" i="79"/>
  <c r="M30" i="79"/>
  <c r="L30" i="79"/>
  <c r="I30" i="79"/>
  <c r="AD30" i="79"/>
  <c r="AB29" i="79"/>
  <c r="AA29" i="79"/>
  <c r="Z29" i="79"/>
  <c r="N29" i="79"/>
  <c r="U23" i="79"/>
  <c r="M29" i="79"/>
  <c r="L29" i="79"/>
  <c r="L23" i="79"/>
  <c r="I29" i="79"/>
  <c r="AB25" i="79"/>
  <c r="AB23" i="79"/>
  <c r="AA25" i="79"/>
  <c r="Z25" i="79"/>
  <c r="N25" i="79"/>
  <c r="M25" i="79"/>
  <c r="T25" i="79"/>
  <c r="W25" i="79"/>
  <c r="L25" i="79"/>
  <c r="I25" i="79"/>
  <c r="AD25" i="79"/>
  <c r="AA23" i="79"/>
  <c r="AD23" i="79"/>
  <c r="T23" i="79"/>
  <c r="W23" i="79"/>
  <c r="M23" i="79"/>
  <c r="P23" i="79"/>
  <c r="G23" i="79"/>
  <c r="F23" i="79"/>
  <c r="I23" i="79"/>
  <c r="E23" i="79"/>
  <c r="AC16" i="79"/>
  <c r="AB16" i="79"/>
  <c r="AA16" i="79"/>
  <c r="AD16" i="79"/>
  <c r="Z16" i="79"/>
  <c r="Y16" i="79"/>
  <c r="W16" i="79"/>
  <c r="O16" i="79"/>
  <c r="N16" i="79"/>
  <c r="M16" i="79"/>
  <c r="P16" i="79"/>
  <c r="L16" i="79"/>
  <c r="K16" i="79"/>
  <c r="I16" i="79"/>
  <c r="AC15" i="79"/>
  <c r="AB15" i="79"/>
  <c r="AA15" i="79"/>
  <c r="AD15" i="79"/>
  <c r="Z15" i="79"/>
  <c r="Y15" i="79"/>
  <c r="O15" i="79"/>
  <c r="V15" i="79"/>
  <c r="N15" i="79"/>
  <c r="U15" i="79"/>
  <c r="M15" i="79"/>
  <c r="P15" i="79"/>
  <c r="L15" i="79"/>
  <c r="S15" i="79"/>
  <c r="K15" i="79"/>
  <c r="R15" i="79"/>
  <c r="I15" i="79"/>
  <c r="AC14" i="79"/>
  <c r="AB14" i="79"/>
  <c r="AA14" i="79"/>
  <c r="AD14" i="79"/>
  <c r="Z14" i="79"/>
  <c r="Y14" i="79"/>
  <c r="O14" i="79"/>
  <c r="V14" i="79"/>
  <c r="N14" i="79"/>
  <c r="U14" i="79"/>
  <c r="M14" i="79"/>
  <c r="T14" i="79"/>
  <c r="W14" i="79"/>
  <c r="L14" i="79"/>
  <c r="S14" i="79"/>
  <c r="K14" i="79"/>
  <c r="R14" i="79"/>
  <c r="I14" i="79"/>
  <c r="AC13" i="79"/>
  <c r="AB13" i="79"/>
  <c r="AA13" i="79"/>
  <c r="AD13" i="79"/>
  <c r="Z13" i="79"/>
  <c r="Y13" i="79"/>
  <c r="O13" i="79"/>
  <c r="V13" i="79"/>
  <c r="N13" i="79"/>
  <c r="M13" i="79"/>
  <c r="P13" i="79"/>
  <c r="L13" i="79"/>
  <c r="K13" i="79"/>
  <c r="R13" i="79"/>
  <c r="I13" i="79"/>
  <c r="AD12" i="79"/>
  <c r="AC12" i="79"/>
  <c r="AB12" i="79"/>
  <c r="AA12" i="79"/>
  <c r="Z12" i="79"/>
  <c r="Y12" i="79"/>
  <c r="O12" i="79"/>
  <c r="V12" i="79"/>
  <c r="N12" i="79"/>
  <c r="M12" i="79"/>
  <c r="T12" i="79"/>
  <c r="W12" i="79"/>
  <c r="L12" i="79"/>
  <c r="K12" i="79"/>
  <c r="R12" i="79"/>
  <c r="I12" i="79"/>
  <c r="AC11" i="79"/>
  <c r="AB11" i="79"/>
  <c r="AA11" i="79"/>
  <c r="AD11" i="79"/>
  <c r="Z11" i="79"/>
  <c r="Y11" i="79"/>
  <c r="O11" i="79"/>
  <c r="N11" i="79"/>
  <c r="U11" i="79"/>
  <c r="M11" i="79"/>
  <c r="P11" i="79"/>
  <c r="L11" i="79"/>
  <c r="S11" i="79"/>
  <c r="K11" i="79"/>
  <c r="I11" i="79"/>
  <c r="AC10" i="79"/>
  <c r="AB10" i="79"/>
  <c r="AA10" i="79"/>
  <c r="AD10" i="79"/>
  <c r="Z10" i="79"/>
  <c r="Y10" i="79"/>
  <c r="O10" i="79"/>
  <c r="V10" i="79"/>
  <c r="N10" i="79"/>
  <c r="M10" i="79"/>
  <c r="T10" i="79"/>
  <c r="W10" i="79"/>
  <c r="L10" i="79"/>
  <c r="K10" i="79"/>
  <c r="R10" i="79"/>
  <c r="I10" i="79"/>
  <c r="AC9" i="79"/>
  <c r="AC3" i="79"/>
  <c r="AB9" i="79"/>
  <c r="AA9" i="79"/>
  <c r="AD9" i="79"/>
  <c r="Z9" i="79"/>
  <c r="Y9" i="79"/>
  <c r="Y3" i="79"/>
  <c r="O9" i="79"/>
  <c r="N9" i="79"/>
  <c r="M9" i="79"/>
  <c r="L9" i="79"/>
  <c r="K9" i="79"/>
  <c r="I9" i="79"/>
  <c r="AC5" i="79"/>
  <c r="AB5" i="79"/>
  <c r="AA5" i="79"/>
  <c r="AD5" i="79"/>
  <c r="Z5" i="79"/>
  <c r="Y5" i="79"/>
  <c r="P5" i="79"/>
  <c r="O5" i="79"/>
  <c r="N5" i="79"/>
  <c r="U5" i="79"/>
  <c r="M5" i="79"/>
  <c r="L5" i="79"/>
  <c r="S5" i="79"/>
  <c r="K5" i="79"/>
  <c r="I5" i="79"/>
  <c r="AB3" i="79"/>
  <c r="Z3" i="79"/>
  <c r="V3" i="79"/>
  <c r="T3" i="79"/>
  <c r="W3" i="79"/>
  <c r="O3" i="79"/>
  <c r="M3" i="79"/>
  <c r="P3" i="79"/>
  <c r="K3"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9" i="79"/>
  <c r="S7" i="79"/>
  <c r="S8" i="79"/>
  <c r="S6" i="79"/>
  <c r="U9" i="79"/>
  <c r="U8" i="79"/>
  <c r="U7" i="79"/>
  <c r="U6" i="79"/>
  <c r="L3" i="79"/>
  <c r="N3" i="79"/>
  <c r="S3" i="79"/>
  <c r="U3" i="79"/>
  <c r="AA3" i="79"/>
  <c r="AD3" i="79"/>
  <c r="R5" i="79"/>
  <c r="T5" i="79"/>
  <c r="W5" i="79"/>
  <c r="V5" i="79"/>
  <c r="R8" i="79"/>
  <c r="R7" i="79"/>
  <c r="R6" i="79"/>
  <c r="P9" i="79"/>
  <c r="T7" i="79"/>
  <c r="W7" i="79"/>
  <c r="T8" i="79"/>
  <c r="W8" i="79"/>
  <c r="T6" i="79"/>
  <c r="W6" i="79"/>
  <c r="V9" i="79"/>
  <c r="V6" i="79"/>
  <c r="V8" i="79"/>
  <c r="V7" i="79"/>
  <c r="S10" i="79"/>
  <c r="U10" i="79"/>
  <c r="R11" i="79"/>
  <c r="V11" i="79"/>
  <c r="S12" i="79"/>
  <c r="U12" i="79"/>
  <c r="S13" i="79"/>
  <c r="U13" i="79"/>
  <c r="N23" i="79"/>
  <c r="AD29" i="79"/>
  <c r="T28" i="79"/>
  <c r="W28" i="79"/>
  <c r="T26" i="79"/>
  <c r="W26" i="79"/>
  <c r="T27" i="79"/>
  <c r="W27" i="79"/>
  <c r="S30" i="79"/>
  <c r="U30" i="79"/>
  <c r="AD31" i="79"/>
  <c r="T31" i="79"/>
  <c r="W31" i="79"/>
  <c r="S32" i="79"/>
  <c r="U32" i="79"/>
  <c r="AD33" i="79"/>
  <c r="T33" i="79"/>
  <c r="W33" i="79"/>
  <c r="S34" i="79"/>
  <c r="U34" i="79"/>
  <c r="AD35" i="79"/>
  <c r="S27" i="79"/>
  <c r="S28" i="79"/>
  <c r="S26" i="79"/>
  <c r="U29" i="79"/>
  <c r="U27" i="79"/>
  <c r="U28" i="79"/>
  <c r="U2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D7" i="78"/>
  <c r="D6" i="78"/>
  <c r="D5" i="78"/>
  <c r="C18" i="78"/>
  <c r="H100" i="43"/>
  <c r="H97" i="43"/>
  <c r="H95" i="43"/>
  <c r="H94" i="43"/>
  <c r="H98" i="43"/>
  <c r="H93" i="43"/>
  <c r="H101" i="43"/>
  <c r="H99" i="43"/>
  <c r="H96" i="43"/>
  <c r="G23" i="78"/>
  <c r="G24" i="78"/>
  <c r="G25" i="78"/>
  <c r="B15" i="78"/>
  <c r="B18" i="78"/>
  <c r="G14" i="73"/>
  <c r="F14" i="73"/>
  <c r="E14" i="73"/>
  <c r="G15" i="73"/>
  <c r="F15" i="73"/>
  <c r="E15" i="73"/>
  <c r="G16" i="73"/>
  <c r="F16" i="73"/>
  <c r="E16" i="73"/>
  <c r="G13" i="73"/>
  <c r="F13" i="73"/>
  <c r="E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R11" i="77"/>
  <c r="D11" i="77"/>
  <c r="E11" i="77"/>
  <c r="E7" i="77"/>
  <c r="C27" i="77"/>
  <c r="R10" i="77"/>
  <c r="D10" i="77"/>
  <c r="R9" i="77"/>
  <c r="D9" i="77"/>
  <c r="D7" i="77"/>
  <c r="C26" i="77"/>
  <c r="R8" i="77"/>
  <c r="R7" i="77"/>
  <c r="R4" i="77"/>
  <c r="R3" i="77"/>
  <c r="R14" i="77"/>
  <c r="R24" i="77"/>
  <c r="C32" i="77"/>
  <c r="C38" i="77"/>
  <c r="C39" i="77"/>
  <c r="D29" i="77"/>
  <c r="E23" i="77"/>
  <c r="D26" i="77"/>
  <c r="D32" i="77"/>
  <c r="C29" i="77"/>
  <c r="R35" i="77"/>
  <c r="U34" i="77"/>
  <c r="AH9" i="71"/>
  <c r="AG9" i="71"/>
  <c r="AE9" i="71"/>
  <c r="AF9" i="71"/>
  <c r="AD9" i="71"/>
  <c r="Q9" i="71"/>
  <c r="P9" i="71"/>
  <c r="O9" i="71"/>
  <c r="N9" i="71"/>
  <c r="R25" i="77"/>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c r="F7" i="68"/>
  <c r="C7" i="68"/>
  <c r="C5"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E23" i="71"/>
  <c r="E22" i="71"/>
  <c r="O25" i="71"/>
  <c r="N25" i="71"/>
  <c r="B24" i="71"/>
  <c r="B23" i="71"/>
  <c r="B22" i="71"/>
  <c r="B21" i="71"/>
  <c r="B20" i="71"/>
  <c r="B19" i="71"/>
  <c r="B18" i="71"/>
  <c r="B17" i="71"/>
  <c r="V24" i="71"/>
  <c r="A2" i="53"/>
  <c r="K59" i="67"/>
  <c r="P61" i="67"/>
  <c r="K59" i="15"/>
  <c r="P74" i="15"/>
  <c r="D115" i="39"/>
  <c r="E115" i="39"/>
  <c r="F115" i="39"/>
  <c r="G115" i="39"/>
  <c r="H115" i="39"/>
  <c r="I115" i="39"/>
  <c r="J115" i="39"/>
  <c r="K115" i="39"/>
  <c r="L115" i="39"/>
  <c r="M115" i="39"/>
  <c r="C115" i="39"/>
  <c r="A21" i="62"/>
  <c r="B67" i="72"/>
  <c r="A20" i="62"/>
  <c r="B66" i="7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Y26" i="71"/>
  <c r="Z26" i="71"/>
  <c r="P27" i="71"/>
  <c r="Q27" i="71"/>
  <c r="AB25"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c r="C68" i="71"/>
  <c r="B68" i="71"/>
  <c r="S68"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C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C55"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C51" i="71"/>
  <c r="N49" i="71"/>
  <c r="B50" i="71"/>
  <c r="B51" i="71"/>
  <c r="B52" i="71"/>
  <c r="S52" i="71"/>
  <c r="D49" i="71"/>
  <c r="T48" i="71"/>
  <c r="Q48" i="71"/>
  <c r="P48" i="71"/>
  <c r="O48" i="71"/>
  <c r="N48" i="71"/>
  <c r="D48" i="71"/>
  <c r="Q47" i="71"/>
  <c r="P47" i="71"/>
  <c r="O47" i="71"/>
  <c r="N47" i="71"/>
  <c r="Q46" i="71"/>
  <c r="P46" i="71"/>
  <c r="O46" i="71"/>
  <c r="N46" i="71"/>
  <c r="F48" i="71"/>
  <c r="V48" i="71"/>
  <c r="Q45" i="71"/>
  <c r="F46" i="71"/>
  <c r="F47"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P39" i="71"/>
  <c r="AA39" i="71"/>
  <c r="O39" i="71"/>
  <c r="Y39" i="71"/>
  <c r="Z39" i="71"/>
  <c r="N39" i="71"/>
  <c r="Q38" i="71"/>
  <c r="P38" i="71"/>
  <c r="AA38" i="71"/>
  <c r="O38" i="71"/>
  <c r="Y38" i="71"/>
  <c r="Z38" i="71"/>
  <c r="N38" i="71"/>
  <c r="Q37" i="71"/>
  <c r="F38" i="71"/>
  <c r="F39" i="71"/>
  <c r="F40" i="71"/>
  <c r="V40" i="71"/>
  <c r="P37" i="71"/>
  <c r="O37" i="71"/>
  <c r="N37" i="71"/>
  <c r="D37" i="71"/>
  <c r="Q36" i="71"/>
  <c r="AB36" i="71"/>
  <c r="P36" i="71"/>
  <c r="O36" i="71"/>
  <c r="Y36" i="71"/>
  <c r="Z36" i="71"/>
  <c r="N36" i="71"/>
  <c r="Q35" i="71"/>
  <c r="AB35" i="71"/>
  <c r="P35" i="71"/>
  <c r="O35" i="71"/>
  <c r="N35" i="71"/>
  <c r="Q34" i="71"/>
  <c r="P34" i="71"/>
  <c r="O34" i="71"/>
  <c r="Y34" i="71"/>
  <c r="Z34" i="71"/>
  <c r="N34" i="71"/>
  <c r="X34" i="71"/>
  <c r="Q33" i="71"/>
  <c r="F34" i="71"/>
  <c r="F35" i="71"/>
  <c r="F36" i="71"/>
  <c r="V36" i="71"/>
  <c r="P33" i="71"/>
  <c r="E34" i="71"/>
  <c r="E35" i="71"/>
  <c r="E36" i="71"/>
  <c r="U36" i="71"/>
  <c r="O33" i="71"/>
  <c r="N33" i="71"/>
  <c r="D33" i="71"/>
  <c r="Q32" i="71"/>
  <c r="AB32" i="71"/>
  <c r="P32" i="71"/>
  <c r="O32" i="71"/>
  <c r="Y32" i="71"/>
  <c r="Z32" i="71"/>
  <c r="N32" i="71"/>
  <c r="Q31" i="71"/>
  <c r="AB31" i="71"/>
  <c r="P31" i="71"/>
  <c r="O31" i="71"/>
  <c r="Y31" i="71"/>
  <c r="Z31" i="71"/>
  <c r="N31" i="71"/>
  <c r="Q30" i="71"/>
  <c r="P30" i="71"/>
  <c r="AA30" i="71"/>
  <c r="O30" i="71"/>
  <c r="Y30" i="71"/>
  <c r="Z30" i="71"/>
  <c r="N30" i="71"/>
  <c r="Q29" i="71"/>
  <c r="F30" i="71"/>
  <c r="F31" i="71"/>
  <c r="F32" i="71"/>
  <c r="V32" i="71"/>
  <c r="P29" i="71"/>
  <c r="O29" i="71"/>
  <c r="N29" i="71"/>
  <c r="D29" i="71"/>
  <c r="O28" i="71"/>
  <c r="C28" i="71"/>
  <c r="N28" i="71"/>
  <c r="B30" i="71"/>
  <c r="B31" i="71"/>
  <c r="B32" i="71"/>
  <c r="S32" i="71"/>
  <c r="B34" i="71"/>
  <c r="B35" i="71"/>
  <c r="B36" i="71"/>
  <c r="S36" i="71"/>
  <c r="X33" i="71"/>
  <c r="E38" i="71"/>
  <c r="N68" i="71"/>
  <c r="C30" i="71"/>
  <c r="AB29" i="71"/>
  <c r="AA31" i="71"/>
  <c r="C34" i="71"/>
  <c r="C35" i="71"/>
  <c r="X35" i="71"/>
  <c r="C38" i="71"/>
  <c r="D38" i="71"/>
  <c r="Y37" i="71"/>
  <c r="Z37" i="71"/>
  <c r="F51" i="71"/>
  <c r="F52" i="71"/>
  <c r="V52" i="71"/>
  <c r="Y25" i="71"/>
  <c r="Z25" i="71"/>
  <c r="Y27" i="71"/>
  <c r="Z27" i="71"/>
  <c r="B28" i="71"/>
  <c r="B27" i="71"/>
  <c r="B26" i="71"/>
  <c r="X26" i="71"/>
  <c r="C31" i="71"/>
  <c r="D30" i="71"/>
  <c r="D34" i="71"/>
  <c r="C43" i="71"/>
  <c r="C44" i="71"/>
  <c r="C47" i="71"/>
  <c r="D47" i="71"/>
  <c r="D46" i="71"/>
  <c r="D50" i="71"/>
  <c r="P28" i="71"/>
  <c r="E55" i="71"/>
  <c r="E56" i="71"/>
  <c r="U56" i="71"/>
  <c r="E59" i="71"/>
  <c r="E60" i="71"/>
  <c r="U60" i="71"/>
  <c r="E63" i="71"/>
  <c r="E64" i="71"/>
  <c r="U64" i="71"/>
  <c r="U68" i="71"/>
  <c r="E67" i="71"/>
  <c r="Q28" i="71"/>
  <c r="D54" i="71"/>
  <c r="D58" i="71"/>
  <c r="C63" i="71"/>
  <c r="D62" i="71"/>
  <c r="N67" i="71"/>
  <c r="B66" i="71"/>
  <c r="N66" i="71"/>
  <c r="T68" i="71"/>
  <c r="O68" i="71"/>
  <c r="D68" i="71"/>
  <c r="C67" i="71"/>
  <c r="Q68" i="71"/>
  <c r="C71" i="71"/>
  <c r="E71" i="71"/>
  <c r="E70" i="71"/>
  <c r="D72" i="71"/>
  <c r="C75" i="71"/>
  <c r="E75" i="71"/>
  <c r="E74" i="71"/>
  <c r="D76" i="71"/>
  <c r="C79" i="71"/>
  <c r="E79" i="71"/>
  <c r="E78" i="71"/>
  <c r="D80" i="71"/>
  <c r="C83" i="71"/>
  <c r="C87" i="71"/>
  <c r="C86" i="71"/>
  <c r="D86" i="71"/>
  <c r="T28" i="71"/>
  <c r="C27" i="71"/>
  <c r="C26" i="71"/>
  <c r="D26" i="71"/>
  <c r="F28" i="71"/>
  <c r="F27" i="71"/>
  <c r="F26" i="71"/>
  <c r="AB26" i="71"/>
  <c r="AB28" i="71"/>
  <c r="E28" i="71"/>
  <c r="E27" i="71"/>
  <c r="E26" i="71"/>
  <c r="AA3" i="71"/>
  <c r="AA26" i="71"/>
  <c r="AA28" i="71"/>
  <c r="D28" i="71"/>
  <c r="U28" i="71"/>
  <c r="C66" i="71"/>
  <c r="O67" i="71"/>
  <c r="D67" i="71"/>
  <c r="C64" i="71"/>
  <c r="D64" i="71"/>
  <c r="D63" i="71"/>
  <c r="D83" i="71"/>
  <c r="C82" i="71"/>
  <c r="D82" i="71"/>
  <c r="D75" i="71"/>
  <c r="C74" i="71"/>
  <c r="D74" i="71"/>
  <c r="N65" i="71"/>
  <c r="D87" i="71"/>
  <c r="D79" i="71"/>
  <c r="C78" i="71"/>
  <c r="D78" i="71"/>
  <c r="D71" i="71"/>
  <c r="C70" i="71"/>
  <c r="D70" i="71"/>
  <c r="P67" i="71"/>
  <c r="E66" i="71"/>
  <c r="P65" i="71"/>
  <c r="D43" i="71"/>
  <c r="C36" i="71"/>
  <c r="D35" i="71"/>
  <c r="D31" i="71"/>
  <c r="V28" i="71"/>
  <c r="P66" i="71"/>
  <c r="O66" i="71"/>
  <c r="D66" i="71"/>
  <c r="O65" i="71"/>
  <c r="T36" i="71"/>
  <c r="D36"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84" i="34"/>
  <c r="G84" i="34"/>
  <c r="F21" i="34"/>
  <c r="AA21" i="34"/>
  <c r="C21" i="34"/>
  <c r="Z21" i="33"/>
  <c r="Q21" i="33"/>
  <c r="D83" i="33"/>
  <c r="E83" i="33"/>
  <c r="F83" i="33"/>
  <c r="G83" i="33"/>
  <c r="C21" i="33"/>
  <c r="G20" i="20"/>
  <c r="B88" i="43"/>
  <c r="C22" i="20"/>
  <c r="B100" i="43"/>
  <c r="B77" i="43"/>
  <c r="B57" i="43"/>
  <c r="B68" i="43"/>
  <c r="C25" i="40"/>
  <c r="C29" i="39"/>
  <c r="S18" i="36"/>
  <c r="S21" i="34"/>
  <c r="H25" i="40"/>
  <c r="AB25" i="40"/>
  <c r="J25" i="40"/>
  <c r="AC25" i="40"/>
  <c r="H29" i="39"/>
  <c r="AB29" i="39"/>
  <c r="J29" i="39"/>
  <c r="AC29" i="39"/>
  <c r="J18" i="36"/>
  <c r="AC18" i="36"/>
  <c r="H18" i="35"/>
  <c r="AB18" i="35"/>
  <c r="S18" i="35"/>
  <c r="J18" i="35"/>
  <c r="H21" i="37"/>
  <c r="F21" i="37"/>
  <c r="AA21" i="37"/>
  <c r="H21" i="34"/>
  <c r="AB21" i="34"/>
  <c r="H21" i="33"/>
  <c r="U21" i="33"/>
  <c r="F21" i="33"/>
  <c r="H1" i="69"/>
  <c r="W25" i="40"/>
  <c r="U25" i="40"/>
  <c r="U29" i="39"/>
  <c r="W29" i="39"/>
  <c r="W18" i="36"/>
  <c r="AB21" i="37"/>
  <c r="U21" i="37"/>
  <c r="S21" i="37"/>
  <c r="U21" i="34"/>
  <c r="AB21" i="33"/>
  <c r="AA21" i="33"/>
  <c r="S21" i="33"/>
  <c r="U18" i="35"/>
  <c r="AC18" i="35"/>
  <c r="W18" i="35"/>
  <c r="J21" i="37"/>
  <c r="W21" i="37"/>
  <c r="J21" i="34"/>
  <c r="W21" i="34"/>
  <c r="J21" i="33"/>
  <c r="W21" i="33"/>
  <c r="F38" i="69"/>
  <c r="E37" i="69"/>
  <c r="F36" i="69"/>
  <c r="F35" i="69"/>
  <c r="F21" i="69"/>
  <c r="F40" i="69"/>
  <c r="F20" i="69"/>
  <c r="F39" i="69"/>
  <c r="E10" i="69"/>
  <c r="E9" i="69"/>
  <c r="AC21" i="37"/>
  <c r="AC21" i="34"/>
  <c r="AC21" i="33"/>
  <c r="F38" i="68"/>
  <c r="E37" i="68"/>
  <c r="F36" i="68"/>
  <c r="F35" i="68"/>
  <c r="F21" i="68"/>
  <c r="F40"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A7" i="1"/>
  <c r="B7" i="1"/>
  <c r="E7" i="1"/>
  <c r="A8" i="1"/>
  <c r="B8" i="1"/>
  <c r="E8" i="1"/>
  <c r="A9" i="1"/>
  <c r="A10" i="1"/>
  <c r="B10" i="1"/>
  <c r="E10" i="1"/>
  <c r="A11" i="1"/>
  <c r="B11" i="1"/>
  <c r="E11" i="1"/>
  <c r="A12" i="1"/>
  <c r="K12" i="1"/>
  <c r="M12" i="1"/>
  <c r="A13" i="1"/>
  <c r="A6" i="1"/>
  <c r="F3" i="35"/>
  <c r="B13" i="1"/>
  <c r="E13" i="1"/>
  <c r="K13" i="1"/>
  <c r="M13" i="1"/>
  <c r="O13" i="1"/>
  <c r="P13" i="1"/>
  <c r="G79" i="36"/>
  <c r="G85" i="35"/>
  <c r="G97" i="37"/>
  <c r="G110" i="34"/>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c r="AP6" i="1"/>
  <c r="E20" i="6"/>
  <c r="E21" i="6"/>
  <c r="K8" i="1"/>
  <c r="M8" i="1"/>
  <c r="F23" i="15"/>
  <c r="D24" i="15"/>
  <c r="E22" i="6"/>
  <c r="E23" i="6"/>
  <c r="E24" i="6"/>
  <c r="E25" i="6"/>
  <c r="E26" i="6"/>
  <c r="BB13" i="3"/>
  <c r="BA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E19" i="6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G493" i="3"/>
  <c r="BB493" i="3"/>
  <c r="BC493" i="3"/>
  <c r="BD493" i="3"/>
  <c r="BE493" i="3"/>
  <c r="BF493" i="3"/>
  <c r="BG493" i="3"/>
  <c r="BH493" i="3"/>
  <c r="BI493" i="3"/>
  <c r="BJ493" i="3"/>
  <c r="BK493" i="3"/>
  <c r="BM493" i="3"/>
  <c r="BN493" i="3"/>
  <c r="BO493" i="3"/>
  <c r="BP493" i="3"/>
  <c r="BR493" i="3"/>
  <c r="BS493" i="3"/>
  <c r="BT493" i="3"/>
  <c r="H494" i="3"/>
  <c r="AC494" i="3"/>
  <c r="BB494" i="3"/>
  <c r="BA494" i="3"/>
  <c r="BC494" i="3"/>
  <c r="BD494" i="3"/>
  <c r="BE494" i="3"/>
  <c r="BF494" i="3"/>
  <c r="BG494" i="3"/>
  <c r="BH494" i="3"/>
  <c r="BI494" i="3"/>
  <c r="BJ494" i="3"/>
  <c r="BK494" i="3"/>
  <c r="BM494" i="3"/>
  <c r="BL494" i="3"/>
  <c r="BN494" i="3"/>
  <c r="BO494" i="3"/>
  <c r="BP494" i="3"/>
  <c r="BQ494" i="3"/>
  <c r="BR494" i="3"/>
  <c r="BS494" i="3"/>
  <c r="BT494" i="3"/>
  <c r="H495" i="3"/>
  <c r="AC495" i="3"/>
  <c r="BB495" i="3"/>
  <c r="BA495" i="3"/>
  <c r="BC495" i="3"/>
  <c r="BD495" i="3"/>
  <c r="BE495" i="3"/>
  <c r="BF495" i="3"/>
  <c r="BG495" i="3"/>
  <c r="BH495" i="3"/>
  <c r="BI495" i="3"/>
  <c r="BJ495" i="3"/>
  <c r="BK495" i="3"/>
  <c r="BM495" i="3"/>
  <c r="BN495" i="3"/>
  <c r="BO495" i="3"/>
  <c r="BP495" i="3"/>
  <c r="BR495" i="3"/>
  <c r="BS495" i="3"/>
  <c r="BT495" i="3"/>
  <c r="H496" i="3"/>
  <c r="AC496" i="3"/>
  <c r="G496" i="3"/>
  <c r="BB496" i="3"/>
  <c r="BC496" i="3"/>
  <c r="BD496" i="3"/>
  <c r="BE496" i="3"/>
  <c r="BF496" i="3"/>
  <c r="BG496" i="3"/>
  <c r="BH496" i="3"/>
  <c r="BI496" i="3"/>
  <c r="BJ496" i="3"/>
  <c r="BK496" i="3"/>
  <c r="BM496" i="3"/>
  <c r="BN496" i="3"/>
  <c r="BO496" i="3"/>
  <c r="BP496" i="3"/>
  <c r="BQ496" i="3"/>
  <c r="BR496" i="3"/>
  <c r="BS496" i="3"/>
  <c r="BT496" i="3"/>
  <c r="H497" i="3"/>
  <c r="AC497" i="3"/>
  <c r="G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A499" i="3"/>
  <c r="BC499" i="3"/>
  <c r="BD499" i="3"/>
  <c r="BE499" i="3"/>
  <c r="BF499" i="3"/>
  <c r="BG499" i="3"/>
  <c r="BH499" i="3"/>
  <c r="BI499" i="3"/>
  <c r="BJ499" i="3"/>
  <c r="BK499" i="3"/>
  <c r="BM499" i="3"/>
  <c r="BN499" i="3"/>
  <c r="BO499" i="3"/>
  <c r="BP499" i="3"/>
  <c r="BR499" i="3"/>
  <c r="BS499" i="3"/>
  <c r="BT499" i="3"/>
  <c r="H500" i="3"/>
  <c r="AC500" i="3"/>
  <c r="BB500" i="3"/>
  <c r="BC500" i="3"/>
  <c r="BA500" i="3"/>
  <c r="BD500" i="3"/>
  <c r="BE500" i="3"/>
  <c r="BF500" i="3"/>
  <c r="BG500" i="3"/>
  <c r="BH500" i="3"/>
  <c r="BI500" i="3"/>
  <c r="BJ500" i="3"/>
  <c r="BK500" i="3"/>
  <c r="BM500" i="3"/>
  <c r="BN500" i="3"/>
  <c r="BL500" i="3"/>
  <c r="BO500" i="3"/>
  <c r="BP500" i="3"/>
  <c r="BQ500" i="3"/>
  <c r="BR500" i="3"/>
  <c r="BS500" i="3"/>
  <c r="BT500" i="3"/>
  <c r="H501" i="3"/>
  <c r="AC501" i="3"/>
  <c r="G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c r="BN502" i="3"/>
  <c r="BO502" i="3"/>
  <c r="BP502" i="3"/>
  <c r="BQ502" i="3"/>
  <c r="BR502" i="3"/>
  <c r="BS502" i="3"/>
  <c r="BT502" i="3"/>
  <c r="H503" i="3"/>
  <c r="AC503" i="3"/>
  <c r="BB503" i="3"/>
  <c r="BA503" i="3"/>
  <c r="BC503" i="3"/>
  <c r="BD503" i="3"/>
  <c r="BE503" i="3"/>
  <c r="BF503" i="3"/>
  <c r="BG503" i="3"/>
  <c r="BH503" i="3"/>
  <c r="BI503" i="3"/>
  <c r="BJ503" i="3"/>
  <c r="BK503" i="3"/>
  <c r="BM503" i="3"/>
  <c r="BN503" i="3"/>
  <c r="BO503" i="3"/>
  <c r="BP503" i="3"/>
  <c r="BR503" i="3"/>
  <c r="BS503" i="3"/>
  <c r="BT503" i="3"/>
  <c r="H504" i="3"/>
  <c r="AC504" i="3"/>
  <c r="G504" i="3"/>
  <c r="BB504" i="3"/>
  <c r="BC504" i="3"/>
  <c r="BD504" i="3"/>
  <c r="BE504" i="3"/>
  <c r="BF504" i="3"/>
  <c r="BG504" i="3"/>
  <c r="BH504" i="3"/>
  <c r="BI504" i="3"/>
  <c r="BJ504" i="3"/>
  <c r="BK504" i="3"/>
  <c r="BM504" i="3"/>
  <c r="BN504" i="3"/>
  <c r="BO504" i="3"/>
  <c r="BP504" i="3"/>
  <c r="BQ504" i="3"/>
  <c r="BR504" i="3"/>
  <c r="BS504" i="3"/>
  <c r="BT504" i="3"/>
  <c r="H505" i="3"/>
  <c r="AC505" i="3"/>
  <c r="G505" i="3"/>
  <c r="BB505" i="3"/>
  <c r="BC505" i="3"/>
  <c r="BD505" i="3"/>
  <c r="BE505" i="3"/>
  <c r="BF505" i="3"/>
  <c r="BG505" i="3"/>
  <c r="BH505" i="3"/>
  <c r="BI505" i="3"/>
  <c r="BJ505" i="3"/>
  <c r="BK505" i="3"/>
  <c r="BM505" i="3"/>
  <c r="BN505" i="3"/>
  <c r="BO505" i="3"/>
  <c r="BP505" i="3"/>
  <c r="BR505" i="3"/>
  <c r="BS505" i="3"/>
  <c r="BT505" i="3"/>
  <c r="H506" i="3"/>
  <c r="AC506" i="3"/>
  <c r="BB506" i="3"/>
  <c r="BA506" i="3"/>
  <c r="BC506" i="3"/>
  <c r="BD506" i="3"/>
  <c r="BE506" i="3"/>
  <c r="BF506" i="3"/>
  <c r="BG506" i="3"/>
  <c r="BH506" i="3"/>
  <c r="BI506" i="3"/>
  <c r="BJ506" i="3"/>
  <c r="BK506" i="3"/>
  <c r="BM506" i="3"/>
  <c r="BN506" i="3"/>
  <c r="BO506" i="3"/>
  <c r="BP506" i="3"/>
  <c r="BQ506" i="3"/>
  <c r="BR506" i="3"/>
  <c r="BS506" i="3"/>
  <c r="BT506" i="3"/>
  <c r="H507" i="3"/>
  <c r="AC507" i="3"/>
  <c r="BB507" i="3"/>
  <c r="BA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c r="BB510" i="3"/>
  <c r="BC510" i="3"/>
  <c r="BD510" i="3"/>
  <c r="BE510" i="3"/>
  <c r="BF510" i="3"/>
  <c r="BG510" i="3"/>
  <c r="BH510" i="3"/>
  <c r="BI510" i="3"/>
  <c r="BJ510" i="3"/>
  <c r="BK510" i="3"/>
  <c r="BM510" i="3"/>
  <c r="BN510" i="3"/>
  <c r="BL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c r="BN512" i="3"/>
  <c r="BO512" i="3"/>
  <c r="BP512" i="3"/>
  <c r="BQ512" i="3"/>
  <c r="BR512" i="3"/>
  <c r="BS512" i="3"/>
  <c r="BT512" i="3"/>
  <c r="H513" i="3"/>
  <c r="G513" i="3"/>
  <c r="AC513" i="3"/>
  <c r="BB513" i="3"/>
  <c r="BA513" i="3"/>
  <c r="BC513" i="3"/>
  <c r="BD513" i="3"/>
  <c r="BE513" i="3"/>
  <c r="BF513" i="3"/>
  <c r="BG513" i="3"/>
  <c r="BH513" i="3"/>
  <c r="BI513" i="3"/>
  <c r="BJ513" i="3"/>
  <c r="BK513" i="3"/>
  <c r="BM513" i="3"/>
  <c r="BN513" i="3"/>
  <c r="BO513" i="3"/>
  <c r="BP513" i="3"/>
  <c r="BR513" i="3"/>
  <c r="BS513" i="3"/>
  <c r="BT513" i="3"/>
  <c r="H514" i="3"/>
  <c r="AC514" i="3"/>
  <c r="BB514" i="3"/>
  <c r="BC514" i="3"/>
  <c r="BA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c r="BC516" i="3"/>
  <c r="BD516" i="3"/>
  <c r="BE516" i="3"/>
  <c r="BF516" i="3"/>
  <c r="BG516" i="3"/>
  <c r="BH516" i="3"/>
  <c r="BI516" i="3"/>
  <c r="BJ516" i="3"/>
  <c r="BK516" i="3"/>
  <c r="BM516" i="3"/>
  <c r="BN516" i="3"/>
  <c r="BO516" i="3"/>
  <c r="BP516" i="3"/>
  <c r="BQ516" i="3"/>
  <c r="BR516" i="3"/>
  <c r="BS516" i="3"/>
  <c r="BT516" i="3"/>
  <c r="H517" i="3"/>
  <c r="G517" i="3"/>
  <c r="AC517" i="3"/>
  <c r="BB517" i="3"/>
  <c r="BA517" i="3"/>
  <c r="BC517" i="3"/>
  <c r="BD517" i="3"/>
  <c r="BE517" i="3"/>
  <c r="BF517" i="3"/>
  <c r="BG517" i="3"/>
  <c r="BH517" i="3"/>
  <c r="BI517" i="3"/>
  <c r="BJ517" i="3"/>
  <c r="BK517" i="3"/>
  <c r="BM517" i="3"/>
  <c r="BN517" i="3"/>
  <c r="BO517" i="3"/>
  <c r="BP517" i="3"/>
  <c r="BR517" i="3"/>
  <c r="BS517" i="3"/>
  <c r="BT517" i="3"/>
  <c r="H518" i="3"/>
  <c r="AC518" i="3"/>
  <c r="G518" i="3"/>
  <c r="BB518" i="3"/>
  <c r="BC518" i="3"/>
  <c r="BA518" i="3"/>
  <c r="BD518" i="3"/>
  <c r="BE518" i="3"/>
  <c r="BF518" i="3"/>
  <c r="BG518" i="3"/>
  <c r="BH518" i="3"/>
  <c r="BI518" i="3"/>
  <c r="BJ518" i="3"/>
  <c r="BK518" i="3"/>
  <c r="BM518" i="3"/>
  <c r="BN518" i="3"/>
  <c r="BL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c r="BC522" i="3"/>
  <c r="BD522" i="3"/>
  <c r="BE522" i="3"/>
  <c r="BF522" i="3"/>
  <c r="BG522" i="3"/>
  <c r="BH522" i="3"/>
  <c r="BI522" i="3"/>
  <c r="BJ522" i="3"/>
  <c r="BK522" i="3"/>
  <c r="BM522" i="3"/>
  <c r="BL522" i="3"/>
  <c r="BN522" i="3"/>
  <c r="BO522" i="3"/>
  <c r="BP522" i="3"/>
  <c r="BQ522" i="3"/>
  <c r="BR522" i="3"/>
  <c r="BS522" i="3"/>
  <c r="BT522" i="3"/>
  <c r="H523" i="3"/>
  <c r="AC523" i="3"/>
  <c r="BB523" i="3"/>
  <c r="BA523" i="3"/>
  <c r="BC523" i="3"/>
  <c r="BD523" i="3"/>
  <c r="BE523" i="3"/>
  <c r="BF523" i="3"/>
  <c r="BG523" i="3"/>
  <c r="BH523" i="3"/>
  <c r="BI523" i="3"/>
  <c r="BJ523" i="3"/>
  <c r="BK523" i="3"/>
  <c r="BM523" i="3"/>
  <c r="BN523" i="3"/>
  <c r="BO523" i="3"/>
  <c r="BP523" i="3"/>
  <c r="BR523" i="3"/>
  <c r="BS523" i="3"/>
  <c r="BT523" i="3"/>
  <c r="H524" i="3"/>
  <c r="AC524" i="3"/>
  <c r="BB524" i="3"/>
  <c r="BC524" i="3"/>
  <c r="BA524" i="3"/>
  <c r="BD524" i="3"/>
  <c r="BE524" i="3"/>
  <c r="BF524" i="3"/>
  <c r="BG524" i="3"/>
  <c r="BH524" i="3"/>
  <c r="BI524" i="3"/>
  <c r="BJ524" i="3"/>
  <c r="BK524" i="3"/>
  <c r="BM524" i="3"/>
  <c r="BN524" i="3"/>
  <c r="BO524" i="3"/>
  <c r="BP524" i="3"/>
  <c r="BQ524" i="3"/>
  <c r="BR524" i="3"/>
  <c r="BS524" i="3"/>
  <c r="BT524" i="3"/>
  <c r="H525" i="3"/>
  <c r="AC525" i="3"/>
  <c r="G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c r="BD526" i="3"/>
  <c r="BE526" i="3"/>
  <c r="BF526" i="3"/>
  <c r="BG526" i="3"/>
  <c r="BH526" i="3"/>
  <c r="BI526" i="3"/>
  <c r="BJ526" i="3"/>
  <c r="BK526" i="3"/>
  <c r="BM526" i="3"/>
  <c r="BN526" i="3"/>
  <c r="BO526" i="3"/>
  <c r="BP526" i="3"/>
  <c r="BQ526" i="3"/>
  <c r="BR526" i="3"/>
  <c r="BS526" i="3"/>
  <c r="BT526" i="3"/>
  <c r="H527" i="3"/>
  <c r="AC527" i="3"/>
  <c r="G527" i="3"/>
  <c r="BB527" i="3"/>
  <c r="BC527" i="3"/>
  <c r="BA527" i="3"/>
  <c r="BD527" i="3"/>
  <c r="BE527" i="3"/>
  <c r="BF527" i="3"/>
  <c r="BG527" i="3"/>
  <c r="BH527" i="3"/>
  <c r="BI527" i="3"/>
  <c r="BJ527" i="3"/>
  <c r="BK527" i="3"/>
  <c r="BM527" i="3"/>
  <c r="BN527" i="3"/>
  <c r="BO527" i="3"/>
  <c r="BP527" i="3"/>
  <c r="BR527" i="3"/>
  <c r="BS527" i="3"/>
  <c r="BT527" i="3"/>
  <c r="H528" i="3"/>
  <c r="AC528" i="3"/>
  <c r="BB528" i="3"/>
  <c r="BA528" i="3"/>
  <c r="BC528" i="3"/>
  <c r="BD528" i="3"/>
  <c r="BE528" i="3"/>
  <c r="BF528" i="3"/>
  <c r="BG528" i="3"/>
  <c r="BH528" i="3"/>
  <c r="BI528" i="3"/>
  <c r="BJ528" i="3"/>
  <c r="BK528" i="3"/>
  <c r="BM528" i="3"/>
  <c r="BN528" i="3"/>
  <c r="BO528" i="3"/>
  <c r="BP528" i="3"/>
  <c r="BQ528" i="3"/>
  <c r="BR528" i="3"/>
  <c r="BS528" i="3"/>
  <c r="BT528" i="3"/>
  <c r="H529" i="3"/>
  <c r="G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c r="AC540" i="3"/>
  <c r="BB540" i="3"/>
  <c r="BC540" i="3"/>
  <c r="BD540" i="3"/>
  <c r="BE540" i="3"/>
  <c r="BF540" i="3"/>
  <c r="BG540" i="3"/>
  <c r="BH540" i="3"/>
  <c r="BI540" i="3"/>
  <c r="BJ540" i="3"/>
  <c r="BK540" i="3"/>
  <c r="BM540" i="3"/>
  <c r="BN540" i="3"/>
  <c r="BO540" i="3"/>
  <c r="BP540" i="3"/>
  <c r="BQ540" i="3"/>
  <c r="BR540" i="3"/>
  <c r="BS540" i="3"/>
  <c r="BT540" i="3"/>
  <c r="H541" i="3"/>
  <c r="G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c r="AC564" i="3"/>
  <c r="BB564" i="3"/>
  <c r="BC564" i="3"/>
  <c r="BD564" i="3"/>
  <c r="BE564" i="3"/>
  <c r="BF564" i="3"/>
  <c r="BG564" i="3"/>
  <c r="BH564" i="3"/>
  <c r="BI564" i="3"/>
  <c r="BJ564" i="3"/>
  <c r="BK564" i="3"/>
  <c r="BM564" i="3"/>
  <c r="BN564" i="3"/>
  <c r="BO564" i="3"/>
  <c r="BP564" i="3"/>
  <c r="BQ564" i="3"/>
  <c r="BR564" i="3"/>
  <c r="BS564" i="3"/>
  <c r="BT564" i="3"/>
  <c r="H565" i="3"/>
  <c r="G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c r="AC580" i="3"/>
  <c r="BB580" i="3"/>
  <c r="BC580" i="3"/>
  <c r="BD580" i="3"/>
  <c r="BE580" i="3"/>
  <c r="BF580" i="3"/>
  <c r="BG580" i="3"/>
  <c r="BH580" i="3"/>
  <c r="BI580" i="3"/>
  <c r="BJ580" i="3"/>
  <c r="BK580" i="3"/>
  <c r="BM580" i="3"/>
  <c r="BN580" i="3"/>
  <c r="BO580" i="3"/>
  <c r="BP580" i="3"/>
  <c r="BQ580" i="3"/>
  <c r="BR580" i="3"/>
  <c r="BS580" i="3"/>
  <c r="BT580" i="3"/>
  <c r="H581" i="3"/>
  <c r="G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AC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E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F105" i="37"/>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D79" i="37"/>
  <c r="E79" i="37"/>
  <c r="D75" i="37"/>
  <c r="E75" i="37"/>
  <c r="D73" i="37"/>
  <c r="E73" i="37"/>
  <c r="F73" i="37"/>
  <c r="D71" i="37"/>
  <c r="H15" i="37"/>
  <c r="AB15" i="37"/>
  <c r="B68" i="37"/>
  <c r="H14" i="37"/>
  <c r="AB14" i="37"/>
  <c r="B66" i="37"/>
  <c r="B64" i="37"/>
  <c r="H12" i="37"/>
  <c r="AB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J12" i="36"/>
  <c r="B55" i="36"/>
  <c r="H11" i="36"/>
  <c r="U11"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J30"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H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F27"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F9" i="33"/>
  <c r="AA9" i="33"/>
  <c r="J8" i="33"/>
  <c r="AC8" i="33"/>
  <c r="H8" i="33"/>
  <c r="AB8" i="33"/>
  <c r="F8" i="33"/>
  <c r="AA8" i="33"/>
  <c r="G18" i="20"/>
  <c r="B90" i="43"/>
  <c r="G19" i="20"/>
  <c r="B87" i="43"/>
  <c r="G16" i="20"/>
  <c r="B84" i="43"/>
  <c r="G15" i="20"/>
  <c r="B83" i="43"/>
  <c r="C24" i="20"/>
  <c r="B97" i="43"/>
  <c r="B75" i="43"/>
  <c r="C21" i="20"/>
  <c r="B99" i="43"/>
  <c r="B76" i="43"/>
  <c r="C20" i="20"/>
  <c r="B101" i="43"/>
  <c r="B79" i="43"/>
  <c r="C18" i="20"/>
  <c r="B94" i="43"/>
  <c r="B73" i="43"/>
  <c r="C17" i="20"/>
  <c r="B61" i="43"/>
  <c r="C16" i="20"/>
  <c r="C17" i="39"/>
  <c r="C15" i="20"/>
  <c r="B72" i="43"/>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F16" i="36"/>
  <c r="AA16" i="36"/>
  <c r="W28" i="36"/>
  <c r="J33" i="36"/>
  <c r="AC33" i="36"/>
  <c r="H22" i="35"/>
  <c r="AB22" i="35"/>
  <c r="AC27" i="35"/>
  <c r="W28" i="35"/>
  <c r="U31" i="35"/>
  <c r="S34" i="35"/>
  <c r="W36" i="35"/>
  <c r="W22" i="35"/>
  <c r="S31" i="35"/>
  <c r="F36" i="34"/>
  <c r="J35" i="34"/>
  <c r="W9" i="34"/>
  <c r="U34" i="34"/>
  <c r="H39" i="33"/>
  <c r="AB39" i="33"/>
  <c r="F26" i="33"/>
  <c r="U33" i="33"/>
  <c r="S40" i="33"/>
  <c r="W39" i="33"/>
  <c r="H39" i="37"/>
  <c r="AB39" i="37"/>
  <c r="S27" i="35"/>
  <c r="F11" i="40"/>
  <c r="AA11" i="40"/>
  <c r="H11" i="40"/>
  <c r="AB11" i="40"/>
  <c r="W8" i="40"/>
  <c r="AB39" i="40"/>
  <c r="AC40" i="40"/>
  <c r="AA9" i="40"/>
  <c r="AC9" i="40"/>
  <c r="S34" i="40"/>
  <c r="S40" i="40"/>
  <c r="W31" i="40"/>
  <c r="U34" i="40"/>
  <c r="S38" i="40"/>
  <c r="U40" i="40"/>
  <c r="F42" i="39"/>
  <c r="AA42" i="39"/>
  <c r="F41" i="39"/>
  <c r="S41" i="39"/>
  <c r="H40" i="39"/>
  <c r="AB40" i="39"/>
  <c r="H39" i="39"/>
  <c r="U39" i="39"/>
  <c r="S38" i="39"/>
  <c r="S34" i="39"/>
  <c r="H34" i="39"/>
  <c r="U34" i="39"/>
  <c r="E108" i="39"/>
  <c r="H31" i="39"/>
  <c r="AB31" i="39"/>
  <c r="F31" i="39"/>
  <c r="AA31" i="39"/>
  <c r="H19" i="39"/>
  <c r="AB19" i="39"/>
  <c r="F19" i="39"/>
  <c r="AA19" i="39"/>
  <c r="H17" i="39"/>
  <c r="AB17" i="39"/>
  <c r="F17" i="39"/>
  <c r="AA17" i="39"/>
  <c r="J23" i="40"/>
  <c r="AC23" i="40"/>
  <c r="F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C25" i="39"/>
  <c r="C27" i="39"/>
  <c r="C21" i="39"/>
  <c r="H11" i="39"/>
  <c r="S40" i="39"/>
  <c r="C15" i="39"/>
  <c r="H32" i="33"/>
  <c r="AB32" i="33"/>
  <c r="H37" i="40"/>
  <c r="U37" i="40"/>
  <c r="H36" i="40"/>
  <c r="AB36" i="40"/>
  <c r="F35" i="40"/>
  <c r="AA35" i="40"/>
  <c r="H23" i="40"/>
  <c r="AB23" i="40"/>
  <c r="H17" i="40"/>
  <c r="U17" i="40"/>
  <c r="J15" i="40"/>
  <c r="W15" i="40"/>
  <c r="J11" i="40"/>
  <c r="W11" i="40"/>
  <c r="AB8" i="39"/>
  <c r="AA12" i="34"/>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S12" i="36"/>
  <c r="F34" i="36"/>
  <c r="S34" i="36"/>
  <c r="F14" i="35"/>
  <c r="AA14"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H40" i="34"/>
  <c r="U40" i="34"/>
  <c r="E114" i="34"/>
  <c r="F114" i="34"/>
  <c r="H36" i="34"/>
  <c r="U36" i="34"/>
  <c r="F37" i="34"/>
  <c r="AA37" i="34"/>
  <c r="S35" i="34"/>
  <c r="F28" i="34"/>
  <c r="AA28" i="34"/>
  <c r="F25" i="34"/>
  <c r="S25" i="34"/>
  <c r="H23" i="34"/>
  <c r="U23" i="34"/>
  <c r="J23" i="34"/>
  <c r="F19" i="34"/>
  <c r="H17" i="34"/>
  <c r="U17" i="34"/>
  <c r="F15" i="34"/>
  <c r="J15" i="34"/>
  <c r="AC15" i="34"/>
  <c r="H15" i="34"/>
  <c r="AB15" i="34"/>
  <c r="W8" i="34"/>
  <c r="J28" i="34"/>
  <c r="W2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AA12" i="36"/>
  <c r="AB30" i="36"/>
  <c r="U33" i="35"/>
  <c r="F29" i="35"/>
  <c r="S29" i="35"/>
  <c r="H29" i="35"/>
  <c r="AB29" i="35"/>
  <c r="H33" i="37"/>
  <c r="AB33" i="37"/>
  <c r="F33" i="37"/>
  <c r="AA33" i="37"/>
  <c r="U34" i="37"/>
  <c r="S34" i="37"/>
  <c r="AA34" i="37"/>
  <c r="J43"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A38" i="34"/>
  <c r="J37" i="34"/>
  <c r="AC37" i="34"/>
  <c r="J11" i="33"/>
  <c r="W11" i="33"/>
  <c r="S28" i="34"/>
  <c r="U23" i="40"/>
  <c r="J44" i="34"/>
  <c r="F44" i="34"/>
  <c r="AA44" i="34"/>
  <c r="J10" i="35"/>
  <c r="AC10" i="35"/>
  <c r="BL587" i="3"/>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F11" i="35"/>
  <c r="S11" i="35"/>
  <c r="J26" i="36"/>
  <c r="W26" i="36"/>
  <c r="H28" i="36"/>
  <c r="U28" i="36"/>
  <c r="H32" i="36"/>
  <c r="AB32" i="36"/>
  <c r="J32" i="36"/>
  <c r="W32" i="36"/>
  <c r="J11" i="36"/>
  <c r="AC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W12" i="40"/>
  <c r="H30" i="33"/>
  <c r="AB30" i="33"/>
  <c r="F30" i="33"/>
  <c r="H44" i="33"/>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36" i="37"/>
  <c r="AC36" i="37"/>
  <c r="G105" i="37"/>
  <c r="J10" i="36"/>
  <c r="AC10" i="36"/>
  <c r="AB26" i="33"/>
  <c r="AA14" i="37"/>
  <c r="AC13" i="36"/>
  <c r="W13" i="36"/>
  <c r="S11" i="36"/>
  <c r="AB46" i="34"/>
  <c r="AC30" i="34"/>
  <c r="AA14" i="34"/>
  <c r="S45" i="33"/>
  <c r="AB45" i="33"/>
  <c r="AB31" i="33"/>
  <c r="U31" i="33"/>
  <c r="W29" i="33"/>
  <c r="S44" i="34"/>
  <c r="BA585" i="3"/>
  <c r="J41" i="39"/>
  <c r="W41" i="39"/>
  <c r="W44" i="39"/>
  <c r="W36" i="39"/>
  <c r="W35" i="39"/>
  <c r="U36" i="39"/>
  <c r="S35" i="39"/>
  <c r="G544" i="3"/>
  <c r="G536" i="3"/>
  <c r="G532" i="3"/>
  <c r="G528" i="3"/>
  <c r="G523" i="3"/>
  <c r="G514" i="3"/>
  <c r="G508" i="3"/>
  <c r="G500" i="3"/>
  <c r="G584" i="3"/>
  <c r="G576" i="3"/>
  <c r="G572" i="3"/>
  <c r="G568" i="3"/>
  <c r="G560" i="3"/>
  <c r="G554" i="3"/>
  <c r="G550" i="3"/>
  <c r="BL584" i="3"/>
  <c r="BL580" i="3"/>
  <c r="BL572" i="3"/>
  <c r="BL568" i="3"/>
  <c r="BL564" i="3"/>
  <c r="BL554" i="3"/>
  <c r="BL546" i="3"/>
  <c r="BL542" i="3"/>
  <c r="BL534" i="3"/>
  <c r="BL526" i="3"/>
  <c r="BL516" i="3"/>
  <c r="BL506" i="3"/>
  <c r="BL498" i="3"/>
  <c r="BL582" i="3"/>
  <c r="BL574" i="3"/>
  <c r="BL570" i="3"/>
  <c r="BL566" i="3"/>
  <c r="BL556" i="3"/>
  <c r="BL552" i="3"/>
  <c r="BL544" i="3"/>
  <c r="BL536" i="3"/>
  <c r="BL532" i="3"/>
  <c r="BL528" i="3"/>
  <c r="BL524" i="3"/>
  <c r="AZ524" i="3"/>
  <c r="BL514" i="3"/>
  <c r="BL504" i="3"/>
  <c r="BL496" i="3"/>
  <c r="BA584" i="3"/>
  <c r="AZ584" i="3"/>
  <c r="BA582" i="3"/>
  <c r="AZ582" i="3"/>
  <c r="BA572" i="3"/>
  <c r="AZ572" i="3"/>
  <c r="BA570" i="3"/>
  <c r="AZ570" i="3"/>
  <c r="BA568" i="3"/>
  <c r="AZ568" i="3"/>
  <c r="BA566" i="3"/>
  <c r="AZ566" i="3"/>
  <c r="BA558" i="3"/>
  <c r="BA556" i="3"/>
  <c r="AZ556" i="3"/>
  <c r="BA554" i="3"/>
  <c r="BA552" i="3"/>
  <c r="AZ552" i="3"/>
  <c r="BA548" i="3"/>
  <c r="BA546" i="3"/>
  <c r="BA544" i="3"/>
  <c r="BA542" i="3"/>
  <c r="AZ542" i="3"/>
  <c r="BA540" i="3"/>
  <c r="BA538" i="3"/>
  <c r="BA536" i="3"/>
  <c r="AZ536" i="3"/>
  <c r="BA534" i="3"/>
  <c r="AZ534" i="3"/>
  <c r="BA532" i="3"/>
  <c r="BA530" i="3"/>
  <c r="AZ528" i="3"/>
  <c r="AZ526" i="3"/>
  <c r="BA520" i="3"/>
  <c r="AZ520" i="3"/>
  <c r="AZ518" i="3"/>
  <c r="AZ516" i="3"/>
  <c r="BA512" i="3"/>
  <c r="AZ512" i="3"/>
  <c r="BA510" i="3"/>
  <c r="AZ510" i="3"/>
  <c r="BA508" i="3"/>
  <c r="BA504" i="3"/>
  <c r="AZ504" i="3"/>
  <c r="BA502" i="3"/>
  <c r="BA498" i="3"/>
  <c r="AZ498" i="3"/>
  <c r="BA496" i="3"/>
  <c r="BA587" i="3"/>
  <c r="AZ587" i="3"/>
  <c r="BA583" i="3"/>
  <c r="BA577" i="3"/>
  <c r="BA573" i="3"/>
  <c r="AZ573" i="3"/>
  <c r="BA571" i="3"/>
  <c r="BA569" i="3"/>
  <c r="AZ569" i="3"/>
  <c r="BA567" i="3"/>
  <c r="BA565" i="3"/>
  <c r="AZ565" i="3"/>
  <c r="BA561" i="3"/>
  <c r="BA555" i="3"/>
  <c r="AZ555" i="3"/>
  <c r="BA553" i="3"/>
  <c r="BA549" i="3"/>
  <c r="BA547" i="3"/>
  <c r="BA545" i="3"/>
  <c r="AZ545" i="3"/>
  <c r="BA543" i="3"/>
  <c r="BA541" i="3"/>
  <c r="BA537" i="3"/>
  <c r="BA533" i="3"/>
  <c r="BA529" i="3"/>
  <c r="BA525" i="3"/>
  <c r="BA519" i="3"/>
  <c r="BA515" i="3"/>
  <c r="BA511" i="3"/>
  <c r="BA505" i="3"/>
  <c r="BA501" i="3"/>
  <c r="BA497" i="3"/>
  <c r="BA493" i="3"/>
  <c r="G583" i="3"/>
  <c r="G579" i="3"/>
  <c r="G575" i="3"/>
  <c r="G573" i="3"/>
  <c r="G571" i="3"/>
  <c r="G569" i="3"/>
  <c r="G567" i="3"/>
  <c r="G563" i="3"/>
  <c r="BL558" i="3"/>
  <c r="BA557" i="3"/>
  <c r="AC557" i="3"/>
  <c r="G557" i="3"/>
  <c r="BQ557" i="3"/>
  <c r="BL557" i="3"/>
  <c r="AZ557" i="3"/>
  <c r="BQ583" i="3"/>
  <c r="BL583" i="3"/>
  <c r="BQ581" i="3"/>
  <c r="BQ579" i="3"/>
  <c r="BQ577" i="3"/>
  <c r="BL577" i="3"/>
  <c r="BQ575" i="3"/>
  <c r="BQ573" i="3"/>
  <c r="BL573" i="3"/>
  <c r="BQ571" i="3"/>
  <c r="BL571" i="3"/>
  <c r="AZ571" i="3"/>
  <c r="BQ569" i="3"/>
  <c r="BL569" i="3"/>
  <c r="BQ567" i="3"/>
  <c r="BL567" i="3"/>
  <c r="AZ567" i="3"/>
  <c r="BQ565" i="3"/>
  <c r="BL565" i="3"/>
  <c r="BQ563" i="3"/>
  <c r="BQ561" i="3"/>
  <c r="BQ559" i="3"/>
  <c r="BL559" i="3"/>
  <c r="G559" i="3"/>
  <c r="G555" i="3"/>
  <c r="G553" i="3"/>
  <c r="G547" i="3"/>
  <c r="G545" i="3"/>
  <c r="G543" i="3"/>
  <c r="G539" i="3"/>
  <c r="BQ555" i="3"/>
  <c r="BL555" i="3"/>
  <c r="BQ553" i="3"/>
  <c r="BL553" i="3"/>
  <c r="AZ553" i="3"/>
  <c r="BQ551" i="3"/>
  <c r="BQ549" i="3"/>
  <c r="BQ547" i="3"/>
  <c r="BL547" i="3"/>
  <c r="AZ547" i="3"/>
  <c r="BQ545" i="3"/>
  <c r="BL545" i="3"/>
  <c r="BQ543" i="3"/>
  <c r="BL543" i="3"/>
  <c r="AZ543" i="3"/>
  <c r="BQ541" i="3"/>
  <c r="BQ539" i="3"/>
  <c r="BL539" i="3"/>
  <c r="BQ537" i="3"/>
  <c r="BQ535" i="3"/>
  <c r="BL535" i="3"/>
  <c r="BQ533" i="3"/>
  <c r="BQ531" i="3"/>
  <c r="BL531" i="3"/>
  <c r="BQ529" i="3"/>
  <c r="BQ527" i="3"/>
  <c r="BL527" i="3"/>
  <c r="BQ525" i="3"/>
  <c r="BQ523" i="3"/>
  <c r="BL523" i="3"/>
  <c r="BA521" i="3"/>
  <c r="AC521" i="3"/>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AB43" i="33"/>
  <c r="H17" i="37"/>
  <c r="U17" i="37"/>
  <c r="U32" i="33"/>
  <c r="AA36" i="39"/>
  <c r="F39" i="33"/>
  <c r="AA39" i="33"/>
  <c r="E123" i="33"/>
  <c r="F123" i="33"/>
  <c r="G123" i="33"/>
  <c r="H123" i="33"/>
  <c r="I123" i="33"/>
  <c r="J123" i="33"/>
  <c r="K123" i="33"/>
  <c r="L123" i="33"/>
  <c r="M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A12" i="35"/>
  <c r="W14" i="37"/>
  <c r="AB28" i="37"/>
  <c r="U33" i="37"/>
  <c r="U39" i="37"/>
  <c r="W26" i="37"/>
  <c r="AC36" i="34"/>
  <c r="AA13" i="33"/>
  <c r="AC31" i="33"/>
  <c r="AC45" i="33"/>
  <c r="U11" i="33"/>
  <c r="F43" i="33"/>
  <c r="AA43" i="33"/>
  <c r="W15" i="34"/>
  <c r="W16" i="35"/>
  <c r="G107" i="37"/>
  <c r="H107" i="37"/>
  <c r="I107" i="37"/>
  <c r="J107" i="37"/>
  <c r="K107" i="37"/>
  <c r="L107" i="37"/>
  <c r="M107" i="37"/>
  <c r="H19" i="34"/>
  <c r="AB19" i="34"/>
  <c r="F36" i="35"/>
  <c r="S36" i="35"/>
  <c r="H9" i="37"/>
  <c r="U9" i="37"/>
  <c r="J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H5" i="3"/>
  <c r="H19" i="40"/>
  <c r="U19" i="40"/>
  <c r="F88" i="40"/>
  <c r="G88" i="40"/>
  <c r="F19" i="40"/>
  <c r="S19" i="40"/>
  <c r="S14" i="40"/>
  <c r="AC13" i="40"/>
  <c r="AB33" i="40"/>
  <c r="W2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BL549" i="3"/>
  <c r="AZ494" i="3"/>
  <c r="AZ502" i="3"/>
  <c r="AZ514" i="3"/>
  <c r="AZ522"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AZ343" i="3"/>
  <c r="BA345" i="3"/>
  <c r="BL355" i="3"/>
  <c r="G356" i="3"/>
  <c r="BL357" i="3"/>
  <c r="BA359" i="3"/>
  <c r="AZ359" i="3"/>
  <c r="BA360" i="3"/>
  <c r="BL360" i="3"/>
  <c r="AZ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c r="BB5" i="3"/>
  <c r="E5" i="6"/>
  <c r="BR5" i="3"/>
  <c r="AZ380" i="3"/>
  <c r="AZ388" i="3"/>
  <c r="AZ396" i="3"/>
  <c r="AZ394" i="3"/>
  <c r="G509" i="3"/>
  <c r="BL493" i="3"/>
  <c r="AZ491" i="3"/>
  <c r="AZ376" i="3"/>
  <c r="AZ390" i="3"/>
  <c r="AZ493" i="3"/>
  <c r="U36" i="40"/>
  <c r="F83" i="43"/>
  <c r="H85" i="43"/>
  <c r="F50" i="43"/>
  <c r="H54" i="43"/>
  <c r="F72" i="43"/>
  <c r="H75" i="43"/>
  <c r="U17" i="39"/>
  <c r="S14" i="35"/>
  <c r="G8" i="1"/>
  <c r="G10" i="1"/>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G29" i="6"/>
  <c r="AC26" i="33"/>
  <c r="W26" i="33"/>
  <c r="AB34" i="36"/>
  <c r="U34" i="36"/>
  <c r="AB33" i="36"/>
  <c r="U33" i="36"/>
  <c r="AC12" i="39"/>
  <c r="W12" i="39"/>
  <c r="AC39" i="40"/>
  <c r="W39" i="40"/>
  <c r="AZ401" i="3"/>
  <c r="AZ412" i="3"/>
  <c r="AZ417" i="3"/>
  <c r="AZ428" i="3"/>
  <c r="AZ433" i="3"/>
  <c r="AZ465" i="3"/>
  <c r="AA32" i="36"/>
  <c r="S32" i="36"/>
  <c r="AZ550" i="3"/>
  <c r="AZ408" i="3"/>
  <c r="AZ437" i="3"/>
  <c r="AZ441" i="3"/>
  <c r="AZ457" i="3"/>
  <c r="AZ473" i="3"/>
  <c r="AZ490" i="3"/>
  <c r="AA39" i="34"/>
  <c r="F28" i="6"/>
  <c r="BL14" i="3"/>
  <c r="AZ266" i="3"/>
  <c r="U30" i="33"/>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AZ80" i="3"/>
  <c r="AZ84" i="3"/>
  <c r="AZ88" i="3"/>
  <c r="AZ107"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6" i="35"/>
  <c r="U32" i="35"/>
  <c r="AA33" i="35"/>
  <c r="AC30" i="35"/>
  <c r="S32" i="35"/>
  <c r="AA36" i="35"/>
  <c r="S28" i="35"/>
  <c r="AB16" i="35"/>
  <c r="U22" i="35"/>
  <c r="S20" i="35"/>
  <c r="AC20" i="35"/>
  <c r="S22" i="35"/>
  <c r="U14" i="35"/>
  <c r="AA11" i="35"/>
  <c r="AC9" i="35"/>
  <c r="W9" i="35"/>
  <c r="AC12" i="35"/>
  <c r="F9" i="35"/>
  <c r="S9" i="35"/>
  <c r="H9" i="35"/>
  <c r="U9" i="35"/>
  <c r="S25"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W25" i="34"/>
  <c r="AB8" i="34"/>
  <c r="AA33" i="34"/>
  <c r="U44" i="34"/>
  <c r="U43" i="34"/>
  <c r="AC39" i="34"/>
  <c r="W41" i="34"/>
  <c r="AC42" i="34"/>
  <c r="AB35" i="34"/>
  <c r="U39" i="34"/>
  <c r="S43" i="34"/>
  <c r="AB41" i="34"/>
  <c r="AA25" i="34"/>
  <c r="U28" i="34"/>
  <c r="S17" i="34"/>
  <c r="S23" i="34"/>
  <c r="U15"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W43" i="33"/>
  <c r="S43" i="33"/>
  <c r="F91" i="33"/>
  <c r="H27" i="33"/>
  <c r="F87" i="33"/>
  <c r="H25" i="33"/>
  <c r="F25" i="33"/>
  <c r="J23" i="33"/>
  <c r="F85" i="33"/>
  <c r="H23" i="33"/>
  <c r="F81" i="33"/>
  <c r="F19" i="33"/>
  <c r="S19" i="33"/>
  <c r="W19" i="33"/>
  <c r="J17" i="33"/>
  <c r="F79" i="33"/>
  <c r="S15" i="33"/>
  <c r="W15" i="33"/>
  <c r="U9" i="33"/>
  <c r="J10" i="33"/>
  <c r="W10" i="33"/>
  <c r="H10" i="33"/>
  <c r="U10" i="33"/>
  <c r="AC11" i="33"/>
  <c r="D120" i="9"/>
  <c r="D121" i="9"/>
  <c r="D7" i="52"/>
  <c r="C18" i="9"/>
  <c r="D18" i="9"/>
  <c r="F34" i="15"/>
  <c r="F62" i="15"/>
  <c r="G13" i="3"/>
  <c r="BL17" i="3"/>
  <c r="AZ17" i="3"/>
  <c r="BL13" i="3"/>
  <c r="J56" i="9"/>
  <c r="J57" i="9"/>
  <c r="J59" i="9"/>
  <c r="J61" i="9"/>
  <c r="A24" i="51"/>
  <c r="B18" i="72"/>
  <c r="K1" i="12"/>
  <c r="E19" i="68"/>
  <c r="E1" i="73"/>
  <c r="G22" i="69"/>
  <c r="G22" i="68"/>
  <c r="G26" i="12"/>
  <c r="G22" i="11"/>
  <c r="C6" i="43"/>
  <c r="B19" i="53"/>
  <c r="B37" i="72"/>
  <c r="C7" i="39"/>
  <c r="C67" i="39"/>
  <c r="C7" i="35"/>
  <c r="C48" i="35"/>
  <c r="D48" i="35"/>
  <c r="C7" i="33"/>
  <c r="C7" i="40"/>
  <c r="C63" i="40"/>
  <c r="M47" i="9"/>
  <c r="G23" i="43"/>
  <c r="A4" i="51"/>
  <c r="B6" i="72"/>
  <c r="H67" i="43"/>
  <c r="L20" i="6"/>
  <c r="B6" i="1"/>
  <c r="E6" i="1"/>
  <c r="K11" i="1"/>
  <c r="M11" i="1"/>
  <c r="O11" i="1"/>
  <c r="B9" i="1"/>
  <c r="E9" i="1"/>
  <c r="K7"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B39" i="39"/>
  <c r="W34" i="39"/>
  <c r="U38" i="39"/>
  <c r="S8" i="39"/>
  <c r="S20" i="36"/>
  <c r="AC25" i="36"/>
  <c r="U32" i="36"/>
  <c r="W29" i="36"/>
  <c r="AC20" i="36"/>
  <c r="U25" i="36"/>
  <c r="AB28" i="36"/>
  <c r="AA13" i="36"/>
  <c r="W9" i="36"/>
  <c r="W22" i="36"/>
  <c r="W23" i="36"/>
  <c r="S9" i="36"/>
  <c r="AB20" i="35"/>
  <c r="S24" i="35"/>
  <c r="U24" i="35"/>
  <c r="AA16" i="35"/>
  <c r="AA35" i="37"/>
  <c r="W36" i="37"/>
  <c r="S27" i="37"/>
  <c r="S28" i="37"/>
  <c r="W32" i="37"/>
  <c r="U36" i="37"/>
  <c r="U38" i="37"/>
  <c r="AB37" i="37"/>
  <c r="AC34" i="37"/>
  <c r="AB35" i="37"/>
  <c r="AA31" i="37"/>
  <c r="U19" i="37"/>
  <c r="AA29"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W30" i="40"/>
  <c r="C19" i="39"/>
  <c r="C15" i="40"/>
  <c r="C17" i="40"/>
  <c r="C23" i="40"/>
  <c r="C21" i="40"/>
  <c r="U30" i="40"/>
  <c r="B56" i="43"/>
  <c r="B67" i="43"/>
  <c r="B51" i="43"/>
  <c r="B54" i="43"/>
  <c r="B58" i="43"/>
  <c r="B62" i="43"/>
  <c r="B65" i="43"/>
  <c r="B69" i="43"/>
  <c r="D23" i="15"/>
  <c r="D22" i="15"/>
  <c r="E4" i="4"/>
  <c r="B5" i="62"/>
  <c r="B73" i="72"/>
  <c r="C4" i="4"/>
  <c r="F30" i="11"/>
  <c r="C48" i="11"/>
  <c r="F31" i="12"/>
  <c r="M18" i="67"/>
  <c r="F30" i="69"/>
  <c r="F48" i="69"/>
  <c r="M18" i="15"/>
  <c r="AA39" i="40"/>
  <c r="S39" i="40"/>
  <c r="S12" i="33"/>
  <c r="AA12" i="33"/>
  <c r="D68"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D6" i="52"/>
  <c r="AP7" i="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H109" i="9"/>
  <c r="M49" i="9"/>
  <c r="D16" i="53"/>
  <c r="B34" i="72"/>
  <c r="H112" i="9"/>
  <c r="D21" i="53"/>
  <c r="B39" i="72"/>
  <c r="H111" i="9"/>
  <c r="D126" i="9"/>
  <c r="D19" i="53"/>
  <c r="B38" i="72"/>
  <c r="AD3" i="71"/>
  <c r="J1" i="73"/>
  <c r="H69" i="43"/>
  <c r="H50" i="4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9" i="71"/>
  <c r="E18" i="71"/>
  <c r="E17" i="71"/>
  <c r="E16" i="71"/>
  <c r="C20" i="71"/>
  <c r="C19" i="71"/>
  <c r="C18" i="71"/>
  <c r="C17" i="71"/>
  <c r="D18" i="71"/>
  <c r="D19" i="71"/>
  <c r="F6" i="15"/>
  <c r="B9" i="76"/>
  <c r="M24" i="15"/>
  <c r="F9" i="67"/>
  <c r="C76" i="15"/>
  <c r="F37" i="67"/>
  <c r="M22" i="67"/>
  <c r="B8" i="76"/>
  <c r="F26" i="67"/>
  <c r="F6" i="73"/>
  <c r="E2" i="69"/>
  <c r="E11" i="76"/>
  <c r="F7" i="15"/>
  <c r="F16" i="15"/>
  <c r="B11" i="76"/>
  <c r="M24" i="67"/>
  <c r="M9" i="67"/>
  <c r="L47" i="15"/>
  <c r="F36" i="67"/>
  <c r="F5" i="73"/>
  <c r="E2" i="68"/>
  <c r="L48" i="67"/>
  <c r="F8" i="15"/>
  <c r="F13" i="15"/>
  <c r="E9" i="76"/>
  <c r="M8" i="15"/>
  <c r="L48" i="15"/>
  <c r="M22" i="15"/>
  <c r="B12" i="76"/>
  <c r="D34" i="9"/>
  <c r="M26" i="67"/>
  <c r="D6" i="73"/>
  <c r="E10" i="76"/>
  <c r="J15" i="67"/>
  <c r="M29" i="67"/>
  <c r="B10" i="76"/>
  <c r="F42" i="67"/>
  <c r="F43" i="15"/>
  <c r="M9" i="15"/>
  <c r="M8" i="67"/>
  <c r="F9" i="15"/>
  <c r="F42" i="15"/>
  <c r="M28" i="15"/>
  <c r="F8" i="67"/>
  <c r="F4" i="73"/>
  <c r="D7" i="73"/>
  <c r="M23" i="67"/>
  <c r="L47" i="67"/>
  <c r="J15" i="15"/>
  <c r="F43" i="67"/>
  <c r="C76" i="67"/>
  <c r="F40" i="67"/>
  <c r="E13" i="76"/>
  <c r="B7" i="76"/>
  <c r="E8" i="76"/>
  <c r="F16" i="67"/>
  <c r="E7" i="76"/>
  <c r="F26" i="15"/>
  <c r="F38" i="15"/>
  <c r="F6" i="67"/>
  <c r="AO13" i="1"/>
  <c r="F7" i="67"/>
  <c r="M23" i="15"/>
  <c r="D35" i="9"/>
  <c r="M6" i="67"/>
  <c r="M6" i="15"/>
  <c r="F36" i="15"/>
  <c r="B13" i="76"/>
  <c r="D3" i="73"/>
  <c r="F7" i="73"/>
  <c r="F37" i="15"/>
  <c r="E12" i="76"/>
  <c r="F38" i="67"/>
  <c r="M26" i="15"/>
  <c r="F13" i="67"/>
  <c r="F3" i="73"/>
  <c r="F20" i="31"/>
  <c r="F40" i="15"/>
  <c r="M29" i="15"/>
  <c r="M28" i="67"/>
  <c r="E32" i="6"/>
  <c r="F6" i="1"/>
  <c r="G6" i="1"/>
  <c r="C7" i="84"/>
  <c r="D3" i="84"/>
  <c r="AH6" i="1"/>
  <c r="F34" i="67"/>
  <c r="F62" i="67"/>
  <c r="C40" i="68"/>
  <c r="C40" i="69"/>
  <c r="E19" i="11"/>
  <c r="F54" i="9"/>
  <c r="F28" i="15"/>
  <c r="C28" i="15"/>
  <c r="F32" i="15"/>
  <c r="F60" i="15"/>
  <c r="F32" i="67"/>
  <c r="F60" i="67"/>
  <c r="F52" i="9"/>
  <c r="F28" i="67"/>
  <c r="C28" i="67"/>
  <c r="F30" i="68"/>
  <c r="F48" i="68"/>
  <c r="G1" i="69"/>
  <c r="G1" i="68"/>
  <c r="M20" i="67"/>
  <c r="D93" i="9"/>
  <c r="K10" i="1"/>
  <c r="M10" i="1"/>
  <c r="O10" i="1"/>
  <c r="P10" i="1"/>
  <c r="C21" i="68"/>
  <c r="E15" i="71"/>
  <c r="E14" i="71"/>
  <c r="E13" i="71"/>
  <c r="E12" i="71"/>
  <c r="V16" i="71"/>
  <c r="G28" i="6"/>
  <c r="F29" i="6"/>
  <c r="W12" i="37"/>
  <c r="AC12" i="37"/>
  <c r="AZ515" i="3"/>
  <c r="AA26" i="33"/>
  <c r="S26" i="33"/>
  <c r="BL585" i="3"/>
  <c r="AZ585" i="3"/>
  <c r="AB35" i="33"/>
  <c r="U35" i="33"/>
  <c r="J27" i="34"/>
  <c r="F27" i="34"/>
  <c r="H27" i="34"/>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AB26" i="37"/>
  <c r="U26" i="37"/>
  <c r="J9" i="37"/>
  <c r="W9" i="37"/>
  <c r="F9" i="37"/>
  <c r="S9" i="37"/>
  <c r="J43" i="39"/>
  <c r="F43" i="39"/>
  <c r="H43" i="39"/>
  <c r="H45" i="39"/>
  <c r="F45" i="39"/>
  <c r="J45" i="39"/>
  <c r="AB9" i="40"/>
  <c r="U9" i="40"/>
  <c r="AB38" i="40"/>
  <c r="U38" i="40"/>
  <c r="AC32" i="40"/>
  <c r="W32" i="40"/>
  <c r="W38" i="34"/>
  <c r="AC38" i="34"/>
  <c r="U42" i="34"/>
  <c r="AB42" i="34"/>
  <c r="BL581" i="3"/>
  <c r="BA581" i="3"/>
  <c r="AZ581" i="3"/>
  <c r="BA580" i="3"/>
  <c r="AZ580" i="3"/>
  <c r="BL579" i="3"/>
  <c r="BA579" i="3"/>
  <c r="AZ579" i="3"/>
  <c r="BL578" i="3"/>
  <c r="BA578" i="3"/>
  <c r="AZ578" i="3"/>
  <c r="BL576" i="3"/>
  <c r="BA576" i="3"/>
  <c r="AZ576" i="3"/>
  <c r="BL575" i="3"/>
  <c r="BA575" i="3"/>
  <c r="AZ575" i="3"/>
  <c r="BA574" i="3"/>
  <c r="AZ574" i="3"/>
  <c r="BA564" i="3"/>
  <c r="AZ564" i="3"/>
  <c r="BL563" i="3"/>
  <c r="BA563" i="3"/>
  <c r="AZ563" i="3"/>
  <c r="BL562" i="3"/>
  <c r="BA562" i="3"/>
  <c r="AZ562" i="3"/>
  <c r="BL561" i="3"/>
  <c r="AZ561" i="3"/>
  <c r="BL560" i="3"/>
  <c r="BA560" i="3"/>
  <c r="BA559" i="3"/>
  <c r="AZ559" i="3"/>
  <c r="BL551" i="3"/>
  <c r="AZ551" i="3"/>
  <c r="D17" i="71"/>
  <c r="C16" i="71"/>
  <c r="D20" i="71"/>
  <c r="U20" i="71"/>
  <c r="T20" i="71"/>
  <c r="V20" i="71"/>
  <c r="AZ511" i="3"/>
  <c r="AZ519" i="3"/>
  <c r="AZ577" i="3"/>
  <c r="AZ583" i="3"/>
  <c r="AZ508" i="3"/>
  <c r="AZ532" i="3"/>
  <c r="AZ544" i="3"/>
  <c r="AZ554" i="3"/>
  <c r="AZ558" i="3"/>
  <c r="W11" i="35"/>
  <c r="AC11" i="35"/>
  <c r="AA21" i="40"/>
  <c r="S21" i="40"/>
  <c r="BL586" i="3"/>
  <c r="BA586" i="3"/>
  <c r="AZ586" i="3"/>
  <c r="AC33" i="33"/>
  <c r="W33" i="33"/>
  <c r="W12" i="34"/>
  <c r="AC12" i="34"/>
  <c r="U12" i="35"/>
  <c r="AB12" i="35"/>
  <c r="AB34" i="35"/>
  <c r="U34" i="35"/>
  <c r="H23" i="35"/>
  <c r="J23" i="35"/>
  <c r="F23" i="35"/>
  <c r="AB9" i="36"/>
  <c r="U9" i="36"/>
  <c r="J24" i="36"/>
  <c r="F24" i="36"/>
  <c r="AB31" i="36"/>
  <c r="U31" i="36"/>
  <c r="H27" i="37"/>
  <c r="J27" i="37"/>
  <c r="H40" i="37"/>
  <c r="J40" i="37"/>
  <c r="F40" i="37"/>
  <c r="AB9" i="39"/>
  <c r="U9" i="39"/>
  <c r="BL541" i="3"/>
  <c r="AZ541" i="3"/>
  <c r="BL540" i="3"/>
  <c r="AZ540" i="3"/>
  <c r="BA539" i="3"/>
  <c r="AZ539" i="3"/>
  <c r="BL538" i="3"/>
  <c r="AZ538" i="3"/>
  <c r="BL537" i="3"/>
  <c r="AZ537" i="3"/>
  <c r="BA535" i="3"/>
  <c r="AZ535" i="3"/>
  <c r="BL533" i="3"/>
  <c r="AZ533" i="3"/>
  <c r="BA531" i="3"/>
  <c r="AZ531" i="3"/>
  <c r="BL530" i="3"/>
  <c r="AZ530" i="3"/>
  <c r="BL529" i="3"/>
  <c r="AZ529" i="3"/>
  <c r="AZ527" i="3"/>
  <c r="BL525" i="3"/>
  <c r="AZ525" i="3"/>
  <c r="AZ523" i="3"/>
  <c r="BL521" i="3"/>
  <c r="AZ521" i="3"/>
  <c r="G521" i="3"/>
  <c r="G5" i="3"/>
  <c r="B3" i="3"/>
  <c r="BL517" i="3"/>
  <c r="AZ517" i="3"/>
  <c r="BL513" i="3"/>
  <c r="AZ513" i="3"/>
  <c r="BL509" i="3"/>
  <c r="AZ509" i="3"/>
  <c r="AZ507" i="3"/>
  <c r="BL505" i="3"/>
  <c r="AZ505" i="3"/>
  <c r="AZ503" i="3"/>
  <c r="BL501" i="3"/>
  <c r="AZ501" i="3"/>
  <c r="BL499" i="3"/>
  <c r="AZ499" i="3"/>
  <c r="BL497" i="3"/>
  <c r="AZ497" i="3"/>
  <c r="BL495" i="3"/>
  <c r="AZ495" i="3"/>
  <c r="G551" i="3"/>
  <c r="BL548" i="3"/>
  <c r="AZ548" i="3"/>
  <c r="AZ409" i="3"/>
  <c r="AZ416" i="3"/>
  <c r="AZ425" i="3"/>
  <c r="AZ432" i="3"/>
  <c r="AZ445" i="3"/>
  <c r="AZ447" i="3"/>
  <c r="AZ464" i="3"/>
  <c r="AZ467" i="3"/>
  <c r="AZ474" i="3"/>
  <c r="AZ480" i="3"/>
  <c r="AZ482" i="3"/>
  <c r="AZ486" i="3"/>
  <c r="AZ488" i="3"/>
  <c r="AZ316" i="3"/>
  <c r="AZ332" i="3"/>
  <c r="AZ397" i="3"/>
  <c r="AZ212" i="3"/>
  <c r="AZ217" i="3"/>
  <c r="AZ220" i="3"/>
  <c r="AZ228" i="3"/>
  <c r="AZ231" i="3"/>
  <c r="AZ244" i="3"/>
  <c r="AZ247" i="3"/>
  <c r="AZ260" i="3"/>
  <c r="AZ264" i="3"/>
  <c r="AZ267" i="3"/>
  <c r="AZ272" i="3"/>
  <c r="AZ284" i="3"/>
  <c r="AZ289" i="3"/>
  <c r="AZ292" i="3"/>
  <c r="AZ294" i="3"/>
  <c r="AZ300" i="3"/>
  <c r="AZ118" i="3"/>
  <c r="AZ121" i="3"/>
  <c r="AZ134" i="3"/>
  <c r="AZ137" i="3"/>
  <c r="AZ145" i="3"/>
  <c r="AZ161" i="3"/>
  <c r="AZ177" i="3"/>
  <c r="AZ193" i="3"/>
  <c r="AZ44" i="3"/>
  <c r="AZ48" i="3"/>
  <c r="AZ60" i="3"/>
  <c r="AZ64" i="3"/>
  <c r="AZ78" i="3"/>
  <c r="AZ91" i="3"/>
  <c r="AZ18" i="3"/>
  <c r="AZ23" i="3"/>
  <c r="AZ27" i="3"/>
  <c r="AZ56" i="3"/>
  <c r="AZ73" i="3"/>
  <c r="AZ108" i="3"/>
  <c r="D44" i="71"/>
  <c r="T44" i="71"/>
  <c r="C52" i="71"/>
  <c r="D51" i="71"/>
  <c r="C56" i="71"/>
  <c r="D55" i="71"/>
  <c r="C60" i="71"/>
  <c r="D59" i="71"/>
  <c r="X31" i="71"/>
  <c r="X32" i="71"/>
  <c r="AB34" i="71"/>
  <c r="AB33" i="71"/>
  <c r="AA35" i="71"/>
  <c r="AA36" i="71"/>
  <c r="X9" i="71"/>
  <c r="X10" i="71"/>
  <c r="X39" i="71"/>
  <c r="AB24" i="71"/>
  <c r="AA22" i="71"/>
  <c r="X21" i="71"/>
  <c r="AA21" i="71"/>
  <c r="X18" i="71"/>
  <c r="AA18" i="71"/>
  <c r="Y14" i="71"/>
  <c r="Z14" i="71"/>
  <c r="AA17" i="71"/>
  <c r="U18" i="36"/>
  <c r="S25" i="40"/>
  <c r="D27" i="71"/>
  <c r="C32" i="71"/>
  <c r="AA27" i="71"/>
  <c r="AA25" i="71"/>
  <c r="AB27" i="71"/>
  <c r="S28" i="71"/>
  <c r="C39" i="71"/>
  <c r="X28" i="71"/>
  <c r="Y28" i="71"/>
  <c r="Z28" i="71"/>
  <c r="X38" i="71"/>
  <c r="X36" i="71"/>
  <c r="AA32" i="71"/>
  <c r="Y29" i="71"/>
  <c r="Z29" i="71"/>
  <c r="AA33" i="71"/>
  <c r="AA37" i="71"/>
  <c r="E39" i="71"/>
  <c r="E40" i="71"/>
  <c r="U40" i="71"/>
  <c r="X29" i="71"/>
  <c r="X25" i="71"/>
  <c r="X27" i="71"/>
  <c r="E30" i="71"/>
  <c r="E31" i="71"/>
  <c r="E32" i="71"/>
  <c r="U32" i="71"/>
  <c r="AA29" i="71"/>
  <c r="X30" i="71"/>
  <c r="AB30" i="71"/>
  <c r="AA34" i="71"/>
  <c r="Y35" i="71"/>
  <c r="Z35" i="71"/>
  <c r="Y33" i="71"/>
  <c r="Z33" i="71"/>
  <c r="B38" i="71"/>
  <c r="B39" i="71"/>
  <c r="B40" i="71"/>
  <c r="S40" i="71"/>
  <c r="X37" i="71"/>
  <c r="AB38" i="71"/>
  <c r="AB37" i="71"/>
  <c r="AB9" i="71"/>
  <c r="AB10" i="71"/>
  <c r="AB39" i="71"/>
  <c r="Y9" i="71"/>
  <c r="Z9" i="71"/>
  <c r="Y10" i="71"/>
  <c r="Z10" i="71"/>
  <c r="AA9" i="71"/>
  <c r="AA10" i="71"/>
  <c r="V68" i="71"/>
  <c r="F67" i="71"/>
  <c r="X22" i="71"/>
  <c r="AA24" i="71"/>
  <c r="Y21" i="71"/>
  <c r="Z21" i="71"/>
  <c r="AB23" i="71"/>
  <c r="AB21" i="71"/>
  <c r="Y18" i="71"/>
  <c r="Z18" i="71"/>
  <c r="X17" i="71"/>
  <c r="AB18" i="71"/>
  <c r="X13" i="71"/>
  <c r="AA14" i="71"/>
  <c r="Y17" i="71"/>
  <c r="Z17" i="71"/>
  <c r="AB17" i="71"/>
  <c r="X24" i="71"/>
  <c r="Y24" i="71"/>
  <c r="Z24" i="71"/>
  <c r="AB15" i="71"/>
  <c r="AB11" i="71"/>
  <c r="AB14" i="71"/>
  <c r="Y12" i="71"/>
  <c r="Z12" i="71"/>
  <c r="Y13" i="71"/>
  <c r="Z13" i="71"/>
  <c r="AA11" i="71"/>
  <c r="AA13" i="71"/>
  <c r="X12" i="71"/>
  <c r="Y23" i="71"/>
  <c r="Z23" i="71"/>
  <c r="Y22" i="71"/>
  <c r="Z22" i="71"/>
  <c r="AA23" i="71"/>
  <c r="X15" i="71"/>
  <c r="AA15" i="71"/>
  <c r="AB12" i="71"/>
  <c r="AB13" i="71"/>
  <c r="Y11" i="71"/>
  <c r="Z11" i="71"/>
  <c r="AA12" i="71"/>
  <c r="X11" i="71"/>
  <c r="X14" i="7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C30" i="69"/>
  <c r="F53" i="9"/>
  <c r="C5" i="11"/>
  <c r="C4" i="12"/>
  <c r="E14" i="6"/>
  <c r="E63" i="39"/>
  <c r="I4" i="6"/>
  <c r="G3" i="43"/>
  <c r="H26" i="43"/>
  <c r="E29" i="6"/>
  <c r="K15" i="1"/>
  <c r="F30" i="6"/>
  <c r="G30" i="6"/>
  <c r="G31" i="6"/>
  <c r="E28" i="6"/>
  <c r="K14" i="1"/>
  <c r="K16" i="1"/>
  <c r="L19" i="6"/>
  <c r="L27" i="6"/>
  <c r="M6" i="1"/>
  <c r="O6" i="1"/>
  <c r="T13" i="1"/>
  <c r="C58" i="33"/>
  <c r="C59" i="34"/>
  <c r="D59" i="34"/>
  <c r="E59" i="34"/>
  <c r="F59" i="34"/>
  <c r="G59" i="34"/>
  <c r="H59" i="34"/>
  <c r="I59" i="34"/>
  <c r="J59" i="34"/>
  <c r="F31" i="15"/>
  <c r="F31" i="67"/>
  <c r="W10" i="36"/>
  <c r="U10" i="36"/>
  <c r="S10" i="36"/>
  <c r="AA10" i="35"/>
  <c r="W10" i="35"/>
  <c r="U10" i="37"/>
  <c r="S10" i="37"/>
  <c r="AC10" i="37"/>
  <c r="W10" i="34"/>
  <c r="U10" i="34"/>
  <c r="S10" i="34"/>
  <c r="AA10" i="33"/>
  <c r="AC10" i="33"/>
  <c r="AB10" i="33"/>
  <c r="AB27" i="36"/>
  <c r="S27" i="36"/>
  <c r="AC27" i="36"/>
  <c r="AC8" i="35"/>
  <c r="U8" i="35"/>
  <c r="H26" i="35"/>
  <c r="F26" i="35"/>
  <c r="J26" i="35"/>
  <c r="W33" i="37"/>
  <c r="AA11" i="37"/>
  <c r="W34" i="34"/>
  <c r="W37" i="34"/>
  <c r="S34" i="34"/>
  <c r="AB11" i="34"/>
  <c r="AA11" i="34"/>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11" i="1"/>
  <c r="E59" i="40"/>
  <c r="D9" i="11"/>
  <c r="C9" i="11"/>
  <c r="D19" i="12"/>
  <c r="C19" i="12"/>
  <c r="AZ13" i="3"/>
  <c r="O9" i="1"/>
  <c r="P9" i="1"/>
  <c r="O12" i="1"/>
  <c r="P12" i="1"/>
  <c r="O8" i="1"/>
  <c r="P8" i="1"/>
  <c r="H73" i="43"/>
  <c r="H90" i="43"/>
  <c r="C23" i="43"/>
  <c r="O23" i="43"/>
  <c r="I18" i="43"/>
  <c r="E17" i="43"/>
  <c r="C17" i="43"/>
  <c r="C24" i="43"/>
  <c r="F26" i="43"/>
  <c r="A1" i="79"/>
  <c r="H55" i="43"/>
  <c r="H86" i="43"/>
  <c r="H87" i="43"/>
  <c r="N370"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D16" i="71"/>
  <c r="U16" i="71"/>
  <c r="F16" i="71"/>
  <c r="F15" i="71"/>
  <c r="F14" i="71"/>
  <c r="F13" i="71"/>
  <c r="F12" i="71"/>
  <c r="F11" i="71"/>
  <c r="F10" i="71"/>
  <c r="F9" i="71"/>
  <c r="F8" i="71"/>
  <c r="F7" i="71"/>
  <c r="F6" i="71"/>
  <c r="F5" i="71"/>
  <c r="AF3" i="71"/>
  <c r="P26" i="43"/>
  <c r="C6" i="67"/>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C27" i="67"/>
  <c r="F71" i="67"/>
  <c r="C27" i="15"/>
  <c r="F65" i="15"/>
  <c r="N59" i="67"/>
  <c r="L59" i="67"/>
  <c r="L58" i="67"/>
  <c r="M59" i="67"/>
  <c r="B13" i="70"/>
  <c r="M7" i="67"/>
  <c r="J6" i="67"/>
  <c r="F50" i="67"/>
  <c r="F68" i="67"/>
  <c r="F64" i="67"/>
  <c r="F68" i="15"/>
  <c r="D9" i="69"/>
  <c r="C36" i="69"/>
  <c r="D9" i="68"/>
  <c r="D4" i="73"/>
  <c r="C16" i="15"/>
  <c r="D5" i="73"/>
  <c r="C16" i="67"/>
  <c r="G26" i="43"/>
  <c r="I7" i="84"/>
  <c r="E7" i="84"/>
  <c r="C58" i="84"/>
  <c r="D58" i="84"/>
  <c r="E58" i="84"/>
  <c r="F58" i="84"/>
  <c r="G58" i="84"/>
  <c r="H58" i="84"/>
  <c r="I58" i="84"/>
  <c r="J58" i="84"/>
  <c r="K58" i="84"/>
  <c r="L58" i="84"/>
  <c r="M58" i="84"/>
  <c r="N58" i="84"/>
  <c r="O58" i="84"/>
  <c r="G7" i="84"/>
  <c r="C36" i="68"/>
  <c r="Q16" i="1"/>
  <c r="F27" i="69"/>
  <c r="C47" i="69"/>
  <c r="D45" i="69"/>
  <c r="U7" i="80"/>
  <c r="N94" i="46"/>
  <c r="E26" i="43"/>
  <c r="J26" i="43"/>
  <c r="P6" i="1"/>
  <c r="C13" i="12"/>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6" i="3"/>
  <c r="E87" i="3"/>
  <c r="E127" i="3"/>
  <c r="E250" i="3"/>
  <c r="E284" i="3"/>
  <c r="E341" i="3"/>
  <c r="Y6" i="3"/>
  <c r="E68" i="3"/>
  <c r="E63" i="3"/>
  <c r="E81" i="3"/>
  <c r="E118" i="3"/>
  <c r="E264" i="3"/>
  <c r="E283" i="3"/>
  <c r="E309" i="3"/>
  <c r="E513" i="3"/>
  <c r="E21"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84" i="3"/>
  <c r="E24" i="3"/>
  <c r="E67" i="3"/>
  <c r="E48" i="3"/>
  <c r="E33" i="3"/>
  <c r="E144" i="3"/>
  <c r="E184" i="3"/>
  <c r="E233" i="3"/>
  <c r="E355" i="3"/>
  <c r="E381" i="3"/>
  <c r="E51" i="3"/>
  <c r="E19" i="3"/>
  <c r="E154" i="3"/>
  <c r="E179" i="3"/>
  <c r="E222" i="3"/>
  <c r="E323" i="3"/>
  <c r="E373" i="3"/>
  <c r="E82"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D32" i="71"/>
  <c r="T32" i="71"/>
  <c r="AA40" i="37"/>
  <c r="S40" i="37"/>
  <c r="U40" i="37"/>
  <c r="AB40" i="37"/>
  <c r="U27" i="37"/>
  <c r="AB27" i="37"/>
  <c r="AC24" i="36"/>
  <c r="W24" i="36"/>
  <c r="W23" i="35"/>
  <c r="AC23" i="35"/>
  <c r="S45" i="39"/>
  <c r="AA45" i="39"/>
  <c r="AB43" i="39"/>
  <c r="U43" i="39"/>
  <c r="AC43" i="39"/>
  <c r="W43" i="39"/>
  <c r="S35" i="35"/>
  <c r="AA35" i="35"/>
  <c r="AB25" i="35"/>
  <c r="U25" i="35"/>
  <c r="AC25" i="35"/>
  <c r="W25" i="35"/>
  <c r="AC13" i="35"/>
  <c r="W13" i="35"/>
  <c r="W47" i="34"/>
  <c r="AC47" i="34"/>
  <c r="U47" i="34"/>
  <c r="AB47" i="34"/>
  <c r="W45" i="34"/>
  <c r="AC45" i="34"/>
  <c r="AA31" i="34"/>
  <c r="S31" i="34"/>
  <c r="W31" i="34"/>
  <c r="AC31" i="34"/>
  <c r="S29" i="34"/>
  <c r="AA29" i="34"/>
  <c r="W13" i="34"/>
  <c r="AC13" i="34"/>
  <c r="AB46" i="33"/>
  <c r="U46" i="33"/>
  <c r="AC46" i="33"/>
  <c r="W46" i="33"/>
  <c r="AC44" i="33"/>
  <c r="W44" i="33"/>
  <c r="AA14" i="33"/>
  <c r="S14" i="33"/>
  <c r="U12" i="33"/>
  <c r="AB12" i="33"/>
  <c r="AB27" i="34"/>
  <c r="U27" i="34"/>
  <c r="AC27" i="34"/>
  <c r="W27" i="34"/>
  <c r="B15" i="71"/>
  <c r="B14" i="71"/>
  <c r="B13" i="71"/>
  <c r="B12" i="71"/>
  <c r="S16" i="71"/>
  <c r="F7" i="36"/>
  <c r="AA7" i="36"/>
  <c r="R36" i="36"/>
  <c r="J7" i="37"/>
  <c r="AC7" i="37"/>
  <c r="V42" i="37"/>
  <c r="I42" i="37"/>
  <c r="H7" i="36"/>
  <c r="AB7" i="36"/>
  <c r="T36" i="36"/>
  <c r="G36" i="36"/>
  <c r="AZ5" i="3"/>
  <c r="AY6" i="3"/>
  <c r="F66" i="71"/>
  <c r="Q67" i="71"/>
  <c r="C40" i="71"/>
  <c r="D39" i="71"/>
  <c r="D60" i="71"/>
  <c r="T60" i="71"/>
  <c r="D56" i="71"/>
  <c r="T56" i="71"/>
  <c r="D52" i="71"/>
  <c r="T52" i="71"/>
  <c r="E521" i="3"/>
  <c r="W40" i="37"/>
  <c r="AC40" i="37"/>
  <c r="W27" i="37"/>
  <c r="AC27" i="37"/>
  <c r="AA24" i="36"/>
  <c r="S24" i="36"/>
  <c r="S23" i="35"/>
  <c r="AA23" i="35"/>
  <c r="AB23" i="35"/>
  <c r="U23" i="35"/>
  <c r="BL5" i="3"/>
  <c r="C15" i="71"/>
  <c r="T16" i="71"/>
  <c r="AZ560" i="3"/>
  <c r="W45" i="39"/>
  <c r="AC45" i="39"/>
  <c r="U45" i="39"/>
  <c r="AB45" i="39"/>
  <c r="AA43" i="39"/>
  <c r="S43" i="39"/>
  <c r="U35" i="35"/>
  <c r="AB35" i="35"/>
  <c r="AC35" i="35"/>
  <c r="W35" i="35"/>
  <c r="S25" i="35"/>
  <c r="AA25" i="35"/>
  <c r="U13" i="35"/>
  <c r="AB13" i="35"/>
  <c r="S13" i="35"/>
  <c r="AA13" i="35"/>
  <c r="S47" i="34"/>
  <c r="AA47" i="34"/>
  <c r="S45" i="34"/>
  <c r="AA45" i="34"/>
  <c r="U45" i="34"/>
  <c r="AB45" i="34"/>
  <c r="U31" i="34"/>
  <c r="AB31" i="34"/>
  <c r="AB29" i="34"/>
  <c r="U29" i="34"/>
  <c r="AA13" i="34"/>
  <c r="S13" i="34"/>
  <c r="AB13" i="34"/>
  <c r="U13" i="34"/>
  <c r="AA46" i="33"/>
  <c r="S46" i="33"/>
  <c r="AA44" i="33"/>
  <c r="S44" i="33"/>
  <c r="AC14" i="33"/>
  <c r="W14" i="33"/>
  <c r="U14" i="33"/>
  <c r="AB14" i="33"/>
  <c r="W12" i="33"/>
  <c r="AC12" i="33"/>
  <c r="S27" i="34"/>
  <c r="AA27" i="34"/>
  <c r="BA5" i="3"/>
  <c r="E27" i="6"/>
  <c r="K26" i="6"/>
  <c r="M26" i="6"/>
  <c r="I26" i="6"/>
  <c r="S26" i="6"/>
  <c r="E11" i="71"/>
  <c r="E10" i="71"/>
  <c r="E9" i="71"/>
  <c r="E8" i="71"/>
  <c r="E7" i="71"/>
  <c r="E6" i="71"/>
  <c r="E5" i="71"/>
  <c r="V12" i="71"/>
  <c r="E61" i="43"/>
  <c r="B59" i="43"/>
  <c r="C28" i="43"/>
  <c r="B116" i="43"/>
  <c r="Z7" i="43"/>
  <c r="E30" i="6"/>
  <c r="E56" i="39"/>
  <c r="H7" i="34"/>
  <c r="AB7" i="34"/>
  <c r="T49" i="34"/>
  <c r="G49" i="34"/>
  <c r="E67" i="39"/>
  <c r="E69" i="39"/>
  <c r="J7" i="34"/>
  <c r="W7" i="34"/>
  <c r="F7" i="34"/>
  <c r="S7" i="34"/>
  <c r="AA26" i="35"/>
  <c r="S26" i="35"/>
  <c r="AC26" i="35"/>
  <c r="W26" i="35"/>
  <c r="AB26" i="35"/>
  <c r="U26" i="35"/>
  <c r="E61" i="39"/>
  <c r="E56" i="40"/>
  <c r="C9" i="69"/>
  <c r="C9" i="68"/>
  <c r="E72" i="43"/>
  <c r="B70" i="43"/>
  <c r="F28" i="12"/>
  <c r="C29" i="12"/>
  <c r="D28" i="12"/>
  <c r="E60" i="40"/>
  <c r="F31" i="6"/>
  <c r="E51" i="40"/>
  <c r="E16" i="6"/>
  <c r="E58" i="40"/>
  <c r="E62" i="39"/>
  <c r="E3" i="6"/>
  <c r="M14" i="1"/>
  <c r="D5" i="43"/>
  <c r="J10" i="40"/>
  <c r="AC10" i="40"/>
  <c r="H10" i="39"/>
  <c r="U10" i="39"/>
  <c r="F10" i="40"/>
  <c r="S10" i="40"/>
  <c r="J10" i="39"/>
  <c r="W10" i="39"/>
  <c r="H10" i="40"/>
  <c r="AB10" i="40"/>
  <c r="D26" i="43"/>
  <c r="C25" i="43"/>
  <c r="C7" i="43"/>
  <c r="C5" i="43"/>
  <c r="D10" i="52"/>
  <c r="D125" i="9"/>
  <c r="D11" i="52"/>
  <c r="B7" i="74"/>
  <c r="C7" i="74"/>
  <c r="F59" i="67"/>
  <c r="H7" i="37"/>
  <c r="AB7" i="37"/>
  <c r="T42" i="37"/>
  <c r="G42" i="37"/>
  <c r="S10" i="39"/>
  <c r="AA10" i="39"/>
  <c r="H7" i="33"/>
  <c r="J7" i="33"/>
  <c r="D65" i="40"/>
  <c r="E63" i="40"/>
  <c r="F48" i="35"/>
  <c r="S7" i="36"/>
  <c r="U7" i="36"/>
  <c r="F7" i="33"/>
  <c r="AC7" i="36"/>
  <c r="V36" i="36"/>
  <c r="I36" i="36"/>
  <c r="W7" i="36"/>
  <c r="F7" i="37"/>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9" i="1"/>
  <c r="AE7" i="1"/>
  <c r="AE8" i="1"/>
  <c r="AE12" i="1"/>
  <c r="AE10" i="1"/>
  <c r="AE6" i="1"/>
  <c r="G1" i="73"/>
  <c r="F41" i="67"/>
  <c r="H6" i="3"/>
  <c r="B40" i="1"/>
  <c r="L36" i="43"/>
  <c r="L37" i="43"/>
  <c r="AC6" i="3"/>
  <c r="E6" i="3"/>
  <c r="F45" i="69"/>
  <c r="W7" i="37"/>
  <c r="W7" i="80"/>
  <c r="S7" i="80"/>
  <c r="I48" i="80"/>
  <c r="I52" i="80"/>
  <c r="J52" i="80"/>
  <c r="H7" i="84"/>
  <c r="F7" i="84"/>
  <c r="J7" i="84"/>
  <c r="D3" i="80"/>
  <c r="I3" i="83"/>
  <c r="F27" i="68"/>
  <c r="F45" i="68"/>
  <c r="F67" i="39"/>
  <c r="F69" i="39"/>
  <c r="F27" i="11"/>
  <c r="C29" i="11"/>
  <c r="D27" i="11"/>
  <c r="C29" i="69"/>
  <c r="D27" i="69"/>
  <c r="C14" i="71"/>
  <c r="D15" i="71"/>
  <c r="D40" i="71"/>
  <c r="T40" i="71"/>
  <c r="Q66" i="71"/>
  <c r="Q65" i="71"/>
  <c r="B11" i="71"/>
  <c r="B10" i="71"/>
  <c r="B9" i="71"/>
  <c r="B8" i="71"/>
  <c r="B7" i="71"/>
  <c r="B6" i="71"/>
  <c r="B5" i="71"/>
  <c r="S12" i="71"/>
  <c r="E65" i="39"/>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M18" i="9"/>
  <c r="B118" i="9"/>
  <c r="B1" i="74"/>
  <c r="D3" i="34"/>
  <c r="D19" i="11"/>
  <c r="C19" i="11"/>
  <c r="C17" i="4"/>
  <c r="B4" i="52"/>
  <c r="B43" i="72"/>
  <c r="D3" i="33"/>
  <c r="D3" i="37"/>
  <c r="C39" i="43"/>
  <c r="C42" i="43"/>
  <c r="E42" i="43"/>
  <c r="C38" i="43"/>
  <c r="AB10" i="39"/>
  <c r="AA10" i="40"/>
  <c r="U10" i="40"/>
  <c r="W10" i="40"/>
  <c r="AC10" i="39"/>
  <c r="U7" i="37"/>
  <c r="G67" i="39"/>
  <c r="I53" i="34"/>
  <c r="J53" i="34"/>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M27" i="15"/>
  <c r="F41" i="15"/>
  <c r="M27" i="67"/>
  <c r="F22" i="68"/>
  <c r="C23" i="68"/>
  <c r="F25" i="12"/>
  <c r="C26" i="12"/>
  <c r="D25" i="12"/>
  <c r="F24" i="67"/>
  <c r="C24" i="67"/>
  <c r="F24" i="15"/>
  <c r="C24" i="15"/>
  <c r="F22" i="11"/>
  <c r="C23" i="11"/>
  <c r="F22" i="69"/>
  <c r="F41" i="69"/>
  <c r="Q36" i="43"/>
  <c r="M36" i="43"/>
  <c r="P36" i="43"/>
  <c r="O36" i="43"/>
  <c r="N36" i="43"/>
  <c r="G48" i="80"/>
  <c r="S7" i="84"/>
  <c r="AA7" i="84"/>
  <c r="R48" i="84"/>
  <c r="W7" i="84"/>
  <c r="AC7" i="84"/>
  <c r="V48" i="84"/>
  <c r="I48" i="84"/>
  <c r="I52" i="84"/>
  <c r="J52" i="84"/>
  <c r="AB7" i="84"/>
  <c r="T48" i="84"/>
  <c r="G48" i="84"/>
  <c r="U7" i="84"/>
  <c r="C11" i="83"/>
  <c r="C8" i="83"/>
  <c r="C47" i="68"/>
  <c r="D45" i="68"/>
  <c r="C47" i="11"/>
  <c r="D45" i="11"/>
  <c r="C29" i="68"/>
  <c r="D27" i="68"/>
  <c r="D116" i="43"/>
  <c r="E48" i="80"/>
  <c r="D14" i="71"/>
  <c r="C13"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D26" i="6"/>
  <c r="D8" i="6"/>
  <c r="D14" i="6"/>
  <c r="D6" i="6"/>
  <c r="D9" i="6"/>
  <c r="D10" i="6"/>
  <c r="D29" i="6"/>
  <c r="H25" i="6"/>
  <c r="H22" i="6"/>
  <c r="H21" i="6"/>
  <c r="H24" i="6"/>
  <c r="D19" i="6"/>
  <c r="M19" i="9"/>
  <c r="C118" i="9"/>
  <c r="B2" i="74"/>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F41" i="68"/>
  <c r="C60" i="15"/>
  <c r="C44" i="68"/>
  <c r="D41" i="68"/>
  <c r="C66" i="67"/>
  <c r="C60" i="67"/>
  <c r="D10" i="69"/>
  <c r="C34" i="69"/>
  <c r="D10" i="68"/>
  <c r="C17" i="15"/>
  <c r="C14" i="67"/>
  <c r="C17" i="67"/>
  <c r="C44" i="11"/>
  <c r="D41" i="11"/>
  <c r="C26" i="68"/>
  <c r="D22" i="68"/>
  <c r="C24" i="11"/>
  <c r="C26" i="11"/>
  <c r="D22" i="11"/>
  <c r="C44" i="69"/>
  <c r="D41" i="69"/>
  <c r="C26" i="69"/>
  <c r="D22" i="69"/>
  <c r="G52" i="80"/>
  <c r="H52" i="80"/>
  <c r="G53" i="80"/>
  <c r="H53" i="80"/>
  <c r="E48" i="84"/>
  <c r="R49" i="84"/>
  <c r="G53" i="84"/>
  <c r="H53" i="84"/>
  <c r="G52" i="84"/>
  <c r="H52" i="84"/>
  <c r="C9" i="83"/>
  <c r="C13" i="83"/>
  <c r="C10" i="83"/>
  <c r="C12" i="83"/>
  <c r="C25" i="11"/>
  <c r="E52" i="80"/>
  <c r="F52" i="80"/>
  <c r="E53" i="80"/>
  <c r="F53" i="80"/>
  <c r="I53" i="80"/>
  <c r="J53" i="80"/>
  <c r="C12" i="71"/>
  <c r="D13"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L18" i="9"/>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R25" i="6"/>
  <c r="R12" i="1"/>
  <c r="C10" i="68"/>
  <c r="D19" i="68"/>
  <c r="B2" i="43"/>
  <c r="B3" i="43"/>
  <c r="H69" i="39"/>
  <c r="I67" i="39"/>
  <c r="G65" i="40"/>
  <c r="H63" i="40"/>
  <c r="C43" i="37"/>
  <c r="C42" i="37"/>
  <c r="I48" i="35"/>
  <c r="C48" i="33"/>
  <c r="C49" i="33"/>
  <c r="E47" i="37"/>
  <c r="F47" i="37"/>
  <c r="E46" i="37"/>
  <c r="F46" i="37"/>
  <c r="I47" i="37"/>
  <c r="J47" i="37"/>
  <c r="E53" i="33"/>
  <c r="F53" i="33"/>
  <c r="E52" i="33"/>
  <c r="F52" i="33"/>
  <c r="C33" i="15"/>
  <c r="C33" i="67"/>
  <c r="J19" i="67"/>
  <c r="C34" i="68"/>
  <c r="B6" i="76"/>
  <c r="E6" i="76"/>
  <c r="C14" i="15"/>
  <c r="C48" i="80"/>
  <c r="C22" i="11"/>
  <c r="C31" i="11"/>
  <c r="C48" i="84"/>
  <c r="C3" i="83"/>
  <c r="C49" i="84"/>
  <c r="I53" i="84"/>
  <c r="J53" i="84"/>
  <c r="E53" i="84"/>
  <c r="F53" i="84"/>
  <c r="E52" i="84"/>
  <c r="F52" i="84"/>
  <c r="C14" i="83"/>
  <c r="B2" i="80"/>
  <c r="B3" i="80"/>
  <c r="C11" i="71"/>
  <c r="T12" i="71"/>
  <c r="D12" i="71"/>
  <c r="U12" i="71"/>
  <c r="C19" i="67"/>
  <c r="C20" i="67"/>
  <c r="C26" i="67"/>
  <c r="T16" i="1"/>
  <c r="C18" i="15"/>
  <c r="C15" i="15"/>
  <c r="C38" i="68"/>
  <c r="C35" i="68"/>
  <c r="C36" i="11"/>
  <c r="C37" i="11"/>
  <c r="C34" i="11"/>
  <c r="C23" i="12"/>
  <c r="C14" i="12"/>
  <c r="C16" i="12"/>
  <c r="C21" i="12"/>
  <c r="C22" i="12"/>
  <c r="H19" i="6"/>
  <c r="L19" i="9"/>
  <c r="S19" i="6"/>
  <c r="S27" i="6"/>
  <c r="I27" i="6"/>
  <c r="C19" i="68"/>
  <c r="D37" i="68"/>
  <c r="C37" i="68"/>
  <c r="C19" i="69"/>
  <c r="C24" i="69"/>
  <c r="D37" i="69"/>
  <c r="C37" i="69"/>
  <c r="C33" i="69"/>
  <c r="I5" i="6"/>
  <c r="I6" i="6"/>
  <c r="C23" i="69"/>
  <c r="E2" i="76"/>
  <c r="B2" i="76"/>
  <c r="I69" i="39"/>
  <c r="J67" i="39"/>
  <c r="I63" i="40"/>
  <c r="H65" i="40"/>
  <c r="J48" i="35"/>
  <c r="B3" i="84"/>
  <c r="B2" i="84"/>
  <c r="C17" i="83"/>
  <c r="C20" i="83"/>
  <c r="C19" i="83"/>
  <c r="J8" i="83"/>
  <c r="C10" i="71"/>
  <c r="D11" i="7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J63" i="40"/>
  <c r="I65" i="40"/>
  <c r="K48" i="35"/>
  <c r="L48" i="35"/>
  <c r="M48" i="35"/>
  <c r="N48" i="35"/>
  <c r="O48" i="35"/>
  <c r="H7" i="35"/>
  <c r="C19" i="9"/>
  <c r="C20" i="9"/>
  <c r="C102" i="9"/>
  <c r="C21" i="9"/>
  <c r="C103" i="9"/>
  <c r="C16" i="83"/>
  <c r="C23" i="83"/>
  <c r="J7" i="35"/>
  <c r="W7" i="35"/>
  <c r="D10" i="71"/>
  <c r="C9" i="71"/>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M21" i="67"/>
  <c r="M21" i="15"/>
  <c r="F35" i="67"/>
  <c r="AC7" i="35"/>
  <c r="V38" i="35"/>
  <c r="I38" i="35"/>
  <c r="C27" i="83"/>
  <c r="C7" i="83"/>
  <c r="C28" i="83"/>
  <c r="C8" i="71"/>
  <c r="D9"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G43" i="35"/>
  <c r="H43" i="35"/>
  <c r="K65" i="40"/>
  <c r="L63" i="40"/>
  <c r="I42" i="35"/>
  <c r="J42" i="35"/>
  <c r="C24" i="83"/>
  <c r="C7" i="71"/>
  <c r="D8"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L51" i="67"/>
  <c r="G36" i="83"/>
  <c r="C6" i="71"/>
  <c r="D7" i="71"/>
  <c r="L57" i="67"/>
  <c r="L60" i="67"/>
  <c r="L46" i="67"/>
  <c r="Q67" i="67"/>
  <c r="C80" i="67"/>
  <c r="C79" i="67"/>
  <c r="C40" i="67"/>
  <c r="C45" i="67"/>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41" i="83"/>
  <c r="I37" i="83"/>
  <c r="I41" i="83"/>
  <c r="J9" i="83"/>
  <c r="H37" i="83"/>
  <c r="H41" i="83"/>
  <c r="H44" i="83"/>
  <c r="D6" i="71"/>
  <c r="C5" i="71"/>
  <c r="D5" i="71"/>
  <c r="M24" i="43"/>
  <c r="Q65" i="67"/>
  <c r="Q66" i="67"/>
  <c r="Q57" i="67"/>
  <c r="B2" i="33"/>
  <c r="B3" i="33"/>
  <c r="C83" i="67"/>
  <c r="C82" i="67"/>
  <c r="Q47" i="67"/>
  <c r="Q53" i="67"/>
  <c r="C46" i="67"/>
  <c r="Q56" i="67"/>
  <c r="C43" i="67"/>
  <c r="D2" i="67"/>
  <c r="B2" i="67"/>
  <c r="C80" i="15"/>
  <c r="C79" i="15"/>
  <c r="C40" i="15"/>
  <c r="C46" i="15"/>
  <c r="H7" i="39"/>
  <c r="J7" i="39"/>
  <c r="S7" i="39"/>
  <c r="AA7" i="39"/>
  <c r="R47" i="39"/>
  <c r="O63" i="40"/>
  <c r="O65" i="40"/>
  <c r="N65" i="40"/>
  <c r="D2" i="36"/>
  <c r="D19" i="9"/>
  <c r="D2" i="35"/>
  <c r="D2" i="34"/>
  <c r="L51" i="15"/>
  <c r="D2" i="37"/>
  <c r="C39" i="83"/>
  <c r="C40" i="83"/>
  <c r="E39" i="83"/>
  <c r="E40" i="83"/>
  <c r="J10" i="83"/>
  <c r="D22" i="9"/>
  <c r="D102" i="9"/>
  <c r="G19" i="9"/>
  <c r="G21" i="9"/>
  <c r="D21" i="9"/>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8" i="1"/>
  <c r="AO7" i="1"/>
  <c r="AO9" i="1"/>
  <c r="AO6" i="1"/>
  <c r="AO12" i="1"/>
  <c r="AO10" i="1"/>
  <c r="AO11" i="1"/>
  <c r="D20" i="9"/>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D52" i="9"/>
  <c r="D53" i="9"/>
  <c r="C5" i="74"/>
  <c r="C104" i="9"/>
  <c r="H4" i="52"/>
  <c r="D8" i="52"/>
  <c r="C81" i="9"/>
  <c r="B22" i="72"/>
  <c r="D6" i="53"/>
  <c r="B51" i="72"/>
  <c r="F4" i="52"/>
  <c r="D122" i="9"/>
  <c r="D123" i="9"/>
  <c r="D9" i="52"/>
  <c r="N60" i="9"/>
  <c r="N59" i="9"/>
  <c r="N61" i="9"/>
  <c r="M48" i="9"/>
  <c r="M54" i="9"/>
  <c r="D56" i="9"/>
  <c r="D58" i="9"/>
  <c r="C97" i="9"/>
  <c r="C6" i="74"/>
  <c r="I4" i="52"/>
  <c r="C105" i="9"/>
  <c r="N58" i="9"/>
  <c r="D55" i="9"/>
  <c r="M53" i="9"/>
  <c r="N57" i="9"/>
  <c r="P57" i="9"/>
  <c r="B32" i="72"/>
  <c r="D14" i="53"/>
  <c r="E97" i="9"/>
  <c r="E96" i="9"/>
  <c r="C85" i="9"/>
  <c r="C95" i="9"/>
  <c r="C96" i="9"/>
  <c r="B52" i="72"/>
  <c r="G4" i="52"/>
  <c r="C93" i="9"/>
  <c r="C86" i="9"/>
  <c r="D59" i="9"/>
  <c r="M55" i="9"/>
  <c r="H102" i="9"/>
  <c r="D7" i="53"/>
  <c r="B21" i="72"/>
  <c r="H119" i="9"/>
  <c r="H5" i="52"/>
  <c r="C64" i="9"/>
  <c r="C63" i="9"/>
  <c r="C67" i="9"/>
  <c r="C68" i="9"/>
  <c r="D54" i="9"/>
  <c r="E81" i="9"/>
  <c r="E80" i="9"/>
  <c r="C72" i="9"/>
  <c r="C79" i="9"/>
  <c r="C80" i="9"/>
  <c r="D5" i="53"/>
  <c r="B20" i="72"/>
  <c r="G118" i="9"/>
  <c r="F118" i="9"/>
  <c r="F119" i="9"/>
  <c r="F5" i="52"/>
  <c r="B53" i="72"/>
  <c r="D13" i="53"/>
  <c r="B30" i="72"/>
  <c r="D4" i="52"/>
  <c r="B47" i="72"/>
  <c r="H107" i="9"/>
  <c r="H108" i="9"/>
  <c r="D15" i="53"/>
  <c r="B31" i="72"/>
  <c r="H101" i="9"/>
  <c r="D45" i="9"/>
  <c r="C78" i="9"/>
  <c r="C73" i="9"/>
  <c r="E4" i="52"/>
  <c r="B48" i="72"/>
  <c r="H118" i="9"/>
  <c r="I118" i="9"/>
  <c r="E118" i="9"/>
  <c r="D118" i="9"/>
  <c r="D119" i="9"/>
  <c r="D5" i="52"/>
  <c r="B4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6AA13D8-47DE-4C71-B83C-4309E44BCB51}">
      <text>
        <r>
          <rPr>
            <b/>
            <sz val="9"/>
            <color indexed="81"/>
            <rFont val="宋体"/>
            <family val="3"/>
            <charset val="134"/>
          </rPr>
          <t>权重验证</t>
        </r>
        <r>
          <rPr>
            <sz val="9"/>
            <color indexed="81"/>
            <rFont val="宋体"/>
            <family val="3"/>
            <charset val="134"/>
          </rPr>
          <t xml:space="preserve">
</t>
        </r>
      </text>
    </comment>
    <comment ref="C58" authorId="1" shapeId="0" xr:uid="{B1BC37B0-F7D9-4FE9-9AF9-00B1F7F041CC}">
      <text>
        <r>
          <rPr>
            <b/>
            <sz val="12"/>
            <color indexed="81"/>
            <rFont val="宋体"/>
            <family val="3"/>
            <charset val="134"/>
          </rPr>
          <t>价值时点所在月度</t>
        </r>
        <r>
          <rPr>
            <sz val="12"/>
            <color indexed="81"/>
            <rFont val="宋体"/>
            <family val="3"/>
            <charset val="134"/>
          </rPr>
          <t xml:space="preserve">
</t>
        </r>
      </text>
    </comment>
    <comment ref="B102" authorId="1" shapeId="0" xr:uid="{54299561-CA69-44AB-B52C-1C1382EB6B3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9DA1D7BC-E867-4C73-A3BF-4BF14935E1BB}">
      <text>
        <r>
          <rPr>
            <b/>
            <sz val="9"/>
            <color indexed="81"/>
            <rFont val="宋体"/>
            <family val="3"/>
            <charset val="134"/>
          </rPr>
          <t>权重验证</t>
        </r>
        <r>
          <rPr>
            <sz val="9"/>
            <color indexed="81"/>
            <rFont val="宋体"/>
            <family val="3"/>
            <charset val="134"/>
          </rPr>
          <t xml:space="preserve">
</t>
        </r>
      </text>
    </comment>
    <comment ref="C58" authorId="1" shapeId="0" xr:uid="{EB4BAD99-1B59-40A3-B09D-C9021F0B7DFC}">
      <text>
        <r>
          <rPr>
            <b/>
            <sz val="12"/>
            <color indexed="81"/>
            <rFont val="宋体"/>
            <family val="3"/>
            <charset val="134"/>
          </rPr>
          <t>价值时点所在月度</t>
        </r>
        <r>
          <rPr>
            <sz val="12"/>
            <color indexed="81"/>
            <rFont val="宋体"/>
            <family val="3"/>
            <charset val="134"/>
          </rPr>
          <t xml:space="preserve">
</t>
        </r>
      </text>
    </comment>
    <comment ref="B102" authorId="1" shapeId="0" xr:uid="{EC41A6AF-A57B-4771-898C-4B719B4847B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<sst xmlns="http://schemas.openxmlformats.org/spreadsheetml/2006/main" count="8491" uniqueCount="3606">
  <si>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</si>
  <si>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</si>
  <si>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</si>
  <si>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</si>
  <si>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</si>
  <si>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</si>
  <si>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</si>
  <si>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</si>
  <si>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</si>
  <si>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</si>
  <si>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</si>
  <si>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</si>
  <si>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</si>
  <si>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</si>
  <si>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</si>
  <si>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</si>
  <si>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16"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</si>
  <si>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</si>
  <si>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</si>
  <si>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</si>
  <si>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</si>
  <si>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</si>
  <si>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</si>
  <si>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</si>
  <si>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</si>
  <si>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</si>
  <si>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</si>
  <si>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</si>
  <si>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</si>
  <si>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</si>
  <si>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</si>
  <si>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</si>
  <si>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</si>
  <si>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</si>
  <si>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</si>
  <si>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</si>
  <si>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</si>
  <si>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</si>
  <si>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</si>
  <si>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</si>
  <si>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</si>
  <si>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</si>
  <si>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</si>
  <si>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</si>
  <si>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</si>
  <si>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</si>
  <si>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</si>
  <si>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</si>
  <si>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</si>
  <si>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</si>
  <si>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</si>
  <si>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</si>
  <si>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</si>
  <si>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</si>
  <si>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</si>
  <si>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</si>
  <si>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</si>
  <si>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</si>
  <si>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</si>
  <si>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</si>
  <si>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</si>
  <si>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</si>
  <si>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</si>
  <si>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</si>
  <si>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</si>
  <si>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</si>
  <si>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</si>
  <si>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</si>
  <si>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</si>
  <si>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</si>
  <si>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</si>
  <si>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</si>
  <si>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</si>
  <si>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</si>
  <si>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</si>
  <si>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</si>
  <si>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</si>
  <si>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</si>
  <si>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</si>
  <si>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</si>
  <si>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</si>
  <si>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</si>
  <si>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</si>
  <si>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</si>
  <si>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</si>
  <si>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</si>
  <si>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</si>
  <si>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</si>
  <si>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</si>
  <si>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</si>
  <si>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</si>
  <si>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</si>
  <si>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</si>
  <si>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</si>
  <si>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</si>
  <si>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</si>
  <si>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</si>
  <si>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</si>
  <si>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</si>
  <si>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</si>
  <si>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</si>
  <si>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</si>
  <si>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</si>
  <si>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</si>
  <si>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</si>
  <si>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</si>
  <si>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</si>
  <si>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</si>
  <si>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</si>
  <si>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</si>
  <si>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</si>
  <si>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</si>
  <si>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</si>
  <si>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</si>
  <si>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</si>
  <si>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</si>
  <si>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</si>
  <si>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</si>
  <si>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</si>
  <si>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</si>
  <si>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</si>
  <si>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</si>
  <si>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</si>
  <si>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</si>
  <si>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</si>
  <si>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</si>
  <si>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</si>
  <si>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</si>
  <si>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</si>
  <si>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</si>
  <si>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</si>
  <si>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</si>
  <si>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</si>
  <si>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</si>
  <si>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</si>
  <si>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</si>
  <si>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</si>
  <si>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</si>
  <si>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</si>
  <si>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</si>
  <si>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</si>
  <si>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</si>
  <si>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</si>
  <si>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</si>
  <si>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</si>
  <si>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</si>
  <si>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</si>
  <si>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</si>
  <si>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</si>
  <si>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</si>
  <si>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</si>
  <si>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</si>
  <si>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</si>
  <si>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</si>
  <si>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</si>
  <si>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</si>
  <si>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</si>
  <si>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</si>
  <si>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</si>
  <si>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</si>
  <si>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</si>
  <si>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</si>
  <si>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</si>
  <si>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</si>
  <si>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</si>
  <si>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</si>
  <si>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</si>
  <si>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</si>
  <si>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</si>
  <si>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</si>
  <si>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</si>
  <si>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</si>
  <si>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</si>
  <si>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</si>
  <si>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</si>
  <si>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</si>
  <si>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</si>
  <si>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</si>
  <si>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</si>
  <si>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</si>
  <si>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</si>
  <si>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</si>
  <si>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</si>
  <si>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</si>
  <si>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</si>
  <si>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</si>
  <si>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</si>
  <si>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</si>
  <si>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</si>
  <si>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</si>
  <si>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</si>
  <si>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</si>
  <si>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</si>
  <si>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</si>
  <si>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</si>
  <si>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</si>
  <si>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</si>
  <si>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</si>
  <si>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</si>
  <si>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</si>
  <si>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</si>
  <si>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</si>
  <si>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</si>
  <si>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</si>
  <si>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</si>
  <si>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</si>
  <si>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</si>
  <si>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</si>
  <si>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</si>
  <si>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</si>
  <si>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</si>
  <si>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</si>
  <si>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</si>
  <si>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</si>
  <si>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</si>
  <si>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</si>
  <si>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</si>
  <si>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</si>
  <si>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</si>
  <si>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</si>
  <si>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</si>
  <si>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</si>
  <si>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</si>
  <si>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</si>
  <si>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</si>
  <si>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</si>
  <si>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</si>
  <si>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</si>
  <si>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</si>
  <si>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</si>
  <si>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</si>
  <si>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</si>
  <si>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</si>
  <si>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</si>
  <si>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</si>
  <si>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</si>
  <si>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</si>
  <si>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</si>
  <si>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</si>
  <si>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</si>
  <si>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</si>
  <si>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</si>
  <si>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</si>
  <si>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</si>
  <si>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</si>
  <si>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</si>
  <si>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</si>
  <si>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</si>
  <si>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</si>
  <si>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</si>
  <si>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</si>
  <si>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</si>
  <si>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</si>
  <si>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</si>
  <si>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</si>
  <si>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</si>
  <si>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</si>
  <si>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</si>
  <si>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</si>
  <si>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</si>
  <si>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</si>
  <si>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</si>
  <si>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</si>
  <si>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</si>
  <si>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</si>
  <si>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</si>
  <si>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</si>
  <si>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</si>
  <si>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</si>
  <si>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</si>
  <si>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</si>
  <si>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</si>
  <si>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</si>
  <si>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</si>
  <si>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</si>
  <si>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</si>
  <si>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</si>
  <si>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</si>
  <si>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</si>
  <si>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</si>
  <si>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</si>
  <si>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</si>
  <si>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</si>
  <si>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</si>
  <si>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</si>
  <si>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</si>
  <si>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</si>
  <si>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</si>
  <si>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</si>
  <si>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</si>
  <si>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</si>
  <si>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</si>
  <si>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</si>
  <si>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</si>
  <si>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</si>
  <si>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</si>
  <si>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</si>
  <si>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</si>
  <si>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</si>
  <si>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</si>
  <si>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</si>
  <si>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</si>
  <si>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</si>
  <si>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</si>
  <si>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</si>
  <si>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</si>
  <si>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</si>
  <si>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</si>
  <si>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</si>
  <si>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</si>
  <si>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</si>
  <si>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</si>
  <si>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</si>
  <si>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</si>
  <si>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</si>
  <si>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</si>
  <si>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</si>
  <si>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</si>
  <si>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</si>
  <si>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</si>
  <si>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</si>
  <si>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</si>
  <si>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</si>
  <si>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</si>
  <si>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</si>
  <si>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</si>
  <si>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</si>
  <si>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</si>
  <si>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</si>
  <si>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</si>
  <si>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</si>
  <si>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</si>
  <si>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</si>
  <si>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</si>
  <si>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</si>
  <si>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</si>
  <si>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</si>
  <si>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</si>
  <si>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</si>
  <si>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</si>
  <si>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</si>
  <si>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</si>
  <si>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</si>
  <si>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</si>
  <si>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</si>
  <si>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</si>
  <si>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</si>
  <si>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</si>
  <si>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</si>
  <si>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</si>
  <si>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</si>
  <si>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</si>
  <si>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</si>
  <si>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</si>
  <si>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</si>
  <si>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</si>
  <si>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</si>
  <si>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</si>
  <si>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</si>
  <si>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</si>
  <si>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</si>
  <si>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</si>
  <si>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</si>
  <si>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</si>
  <si>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</si>
  <si>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</si>
  <si>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</si>
  <si>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</si>
  <si>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</si>
  <si>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</si>
  <si>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</si>
  <si>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</si>
  <si>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</si>
  <si>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</si>
  <si>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</si>
  <si>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</si>
  <si>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</si>
  <si>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</si>
  <si>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</si>
  <si>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</si>
  <si>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</si>
  <si>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</si>
  <si>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</si>
  <si>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</si>
  <si>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</si>
  <si>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</si>
  <si>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</si>
  <si>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</si>
  <si>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</si>
  <si>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</si>
  <si>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</si>
  <si>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</si>
  <si>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</si>
  <si>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</si>
  <si>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</si>
  <si>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</si>
  <si>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</si>
  <si>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</si>
  <si>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</si>
  <si>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</si>
  <si>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</si>
  <si>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</si>
  <si>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</si>
  <si>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</si>
  <si>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</si>
  <si>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</si>
  <si>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</si>
  <si>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</si>
  <si>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</si>
  <si>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</si>
  <si>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</si>
  <si>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</si>
  <si>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</si>
  <si>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</si>
  <si>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</si>
  <si>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</si>
  <si>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</si>
  <si>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</si>
  <si>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</si>
  <si>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</si>
  <si>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</si>
  <si>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</si>
  <si>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</si>
  <si>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</si>
  <si>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</si>
  <si>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</si>
  <si>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</si>
  <si>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</si>
  <si>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</si>
  <si>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</si>
  <si>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</si>
  <si>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</si>
  <si>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</si>
  <si>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</si>
  <si>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</si>
  <si>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</si>
  <si>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</si>
  <si>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</si>
  <si>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</si>
  <si>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</si>
  <si>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</si>
  <si>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</si>
  <si>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</si>
  <si>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</si>
  <si>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</si>
  <si>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</si>
  <si>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</si>
  <si>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</si>
  <si>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</si>
  <si>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</si>
  <si>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</si>
  <si>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</si>
  <si>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</si>
  <si>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</si>
  <si>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</si>
  <si>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</si>
  <si>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</si>
  <si>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</si>
  <si>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</si>
  <si>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</si>
  <si>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</si>
  <si>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</si>
  <si>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</si>
  <si>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</si>
  <si>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</si>
  <si>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</si>
  <si>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</si>
  <si>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</si>
  <si>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</si>
  <si>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</si>
  <si>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</si>
  <si>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</si>
  <si>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</si>
  <si>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</si>
  <si>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</si>
  <si>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</si>
  <si>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</si>
  <si>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</si>
  <si>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</si>
  <si>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</si>
  <si>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</si>
  <si>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</si>
  <si>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</si>
  <si>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</si>
  <si>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</si>
  <si>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</si>
  <si>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</si>
  <si>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</si>
  <si>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</si>
  <si>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</si>
  <si>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</si>
  <si>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</si>
  <si>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</si>
  <si>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</si>
  <si>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</si>
  <si>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</si>
  <si>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</si>
  <si>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</si>
  <si>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</si>
  <si>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</si>
  <si>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</si>
  <si>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</si>
  <si>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</si>
  <si>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</si>
  <si>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</si>
  <si>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</si>
  <si>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</si>
  <si>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</si>
  <si>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</si>
  <si>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</si>
  <si>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</si>
  <si>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</si>
  <si>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</si>
  <si>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</si>
  <si>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</si>
  <si>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</si>
  <si>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</si>
  <si>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</si>
  <si>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</si>
  <si>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</si>
  <si>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</si>
  <si>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</si>
  <si>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</si>
  <si>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</si>
  <si>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</si>
  <si>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</si>
  <si>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</si>
  <si>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</si>
  <si>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</si>
  <si>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</si>
  <si>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</si>
  <si>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</si>
  <si>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</si>
  <si>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</si>
  <si>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</si>
  <si>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</si>
  <si>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</si>
  <si>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</si>
  <si>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</si>
  <si>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</si>
  <si>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</si>
  <si>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</si>
  <si>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</si>
  <si>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</si>
  <si>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</si>
  <si>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</si>
  <si>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</si>
  <si>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</si>
  <si>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</si>
  <si>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</si>
  <si>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</si>
  <si>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</si>
  <si>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</si>
  <si>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</si>
  <si>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</si>
  <si>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</si>
  <si>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</si>
  <si>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</si>
  <si>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</si>
  <si>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</si>
  <si>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</si>
  <si>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</si>
  <si>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</si>
  <si>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</si>
  <si>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</si>
  <si>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</si>
  <si>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</si>
  <si>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</si>
  <si>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</si>
  <si>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</si>
  <si>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</si>
  <si>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</si>
  <si>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</si>
  <si>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</si>
  <si>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</si>
  <si>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</si>
  <si>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</si>
  <si>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</si>
  <si>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</si>
  <si>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</si>
  <si>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</si>
  <si>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</si>
  <si>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</si>
  <si>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</si>
  <si>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</si>
  <si>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</si>
  <si>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</si>
  <si>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</si>
  <si>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</si>
  <si>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</si>
  <si>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</si>
  <si>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</si>
  <si>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</si>
  <si>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</si>
  <si>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</si>
  <si>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</si>
  <si>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</si>
  <si>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</si>
  <si>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</si>
  <si>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</si>
  <si>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</si>
  <si>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</si>
  <si>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</si>
  <si>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</si>
  <si>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</si>
  <si>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</si>
  <si>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</si>
  <si>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</si>
  <si>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</si>
  <si>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</si>
  <si>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</si>
  <si>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</si>
  <si>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</si>
  <si>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</si>
  <si>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</si>
  <si>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</si>
  <si>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</si>
  <si>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</si>
  <si>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</si>
  <si>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</si>
  <si>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</si>
  <si>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</si>
  <si>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</si>
  <si>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</si>
  <si>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</si>
  <si>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</si>
  <si>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</si>
  <si>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</si>
  <si>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</si>
  <si>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</si>
  <si>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</si>
  <si>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</si>
  <si>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</si>
  <si>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</si>
  <si>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</si>
  <si>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</si>
  <si>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</si>
  <si>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</si>
  <si>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</si>
  <si>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</si>
  <si>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</si>
  <si>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</si>
  <si>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</si>
  <si>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</si>
  <si>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</si>
  <si>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</si>
  <si>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</si>
  <si>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</si>
  <si>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</si>
  <si>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</si>
  <si>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</si>
  <si>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</si>
  <si>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</si>
  <si>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</si>
  <si>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</si>
  <si>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</si>
  <si>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</si>
  <si>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</si>
  <si>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</si>
  <si>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</si>
  <si>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</si>
  <si>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</si>
  <si>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</si>
  <si>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</si>
  <si>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</si>
  <si>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</si>
  <si>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</si>
  <si>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</si>
  <si>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</si>
  <si>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</si>
  <si>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</si>
  <si>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</si>
  <si>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</si>
  <si>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</si>
  <si>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</si>
  <si>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</si>
  <si>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</si>
  <si>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</si>
  <si>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</si>
  <si>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</si>
  <si>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</si>
  <si>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</si>
  <si>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</si>
  <si>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</si>
  <si>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</si>
  <si>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</si>
  <si>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</si>
  <si>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</si>
  <si>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</si>
  <si>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</si>
  <si>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</si>
  <si>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</si>
  <si>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</si>
  <si>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</si>
  <si>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</si>
  <si>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</si>
  <si>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</si>
  <si>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</si>
  <si>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</si>
  <si>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</si>
  <si>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</si>
  <si>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</si>
  <si>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</si>
  <si>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</si>
  <si>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</si>
  <si>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</si>
  <si>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</si>
  <si>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</si>
  <si>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</si>
  <si>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</si>
  <si>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</si>
  <si>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</si>
  <si>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</si>
  <si>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</si>
  <si>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</si>
  <si>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</si>
  <si>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</si>
  <si>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</si>
  <si>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</si>
  <si>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</si>
  <si>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</si>
  <si>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</si>
  <si>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</si>
  <si>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</si>
  <si>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</si>
  <si>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</si>
  <si>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</si>
  <si>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</si>
  <si>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</si>
  <si>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</si>
  <si>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</si>
  <si>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</si>
  <si>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</si>
  <si>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</si>
  <si>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</si>
  <si>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</si>
  <si>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</si>
  <si>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</si>
  <si>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</si>
  <si>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</si>
  <si>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</si>
  <si>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</si>
  <si>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</si>
  <si>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</si>
  <si>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</si>
  <si>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</si>
  <si>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</si>
  <si>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</si>
  <si>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</si>
  <si>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</si>
  <si>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</si>
  <si>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</si>
  <si>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</si>
  <si>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</si>
  <si>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</si>
  <si>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</si>
  <si>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</si>
  <si>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</si>
  <si>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</si>
  <si>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</si>
  <si>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</si>
  <si>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</si>
  <si>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</si>
  <si>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</si>
  <si>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</si>
  <si>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</si>
  <si>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</si>
  <si>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</si>
  <si>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</si>
  <si>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</si>
  <si>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</si>
  <si>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</si>
  <si>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</si>
  <si>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</si>
  <si>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</si>
  <si>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</si>
  <si>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</si>
  <si>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</si>
  <si>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</si>
  <si>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</si>
  <si>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</si>
  <si>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</si>
  <si>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</si>
  <si>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</si>
  <si>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</si>
  <si>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</si>
  <si>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</si>
  <si>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</si>
  <si>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</si>
  <si>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</si>
  <si>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</si>
  <si>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</si>
  <si>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</si>
  <si>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</si>
  <si>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</si>
  <si>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</si>
  <si>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</si>
  <si>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</si>
  <si>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</si>
  <si>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</si>
  <si>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</si>
  <si>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</si>
  <si>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</si>
  <si>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</si>
  <si>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</si>
  <si>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</si>
  <si>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</si>
  <si>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</si>
  <si>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</si>
  <si>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</si>
  <si>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</si>
  <si>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</si>
  <si>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</si>
  <si>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</si>
  <si>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</si>
  <si>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</si>
  <si>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</si>
  <si>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</si>
  <si>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</si>
  <si>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</si>
  <si>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</si>
  <si>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</si>
  <si>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</si>
  <si>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</si>
  <si>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</si>
  <si>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</si>
  <si>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</si>
  <si>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</si>
  <si>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</si>
  <si>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</si>
  <si>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</si>
  <si>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</si>
  <si>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</si>
  <si>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</si>
  <si>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</si>
  <si>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</si>
  <si>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</si>
  <si>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</si>
  <si>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</si>
  <si>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</si>
  <si>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</si>
  <si>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</si>
  <si>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</si>
  <si>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</si>
  <si>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</si>
  <si>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</si>
  <si>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</si>
  <si>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</si>
  <si>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</si>
  <si>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</si>
  <si>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</si>
  <si>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</si>
  <si>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</si>
  <si>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</si>
  <si>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</si>
  <si>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</si>
  <si>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</si>
  <si>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</si>
  <si>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</si>
  <si>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</si>
  <si>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</si>
  <si>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</si>
  <si>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</si>
  <si>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</si>
  <si>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</si>
  <si>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</si>
  <si>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</si>
  <si>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</si>
  <si>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</si>
  <si>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</si>
  <si>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</si>
  <si>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</si>
  <si>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</si>
  <si>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</si>
  <si>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</si>
  <si>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</si>
  <si>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</si>
  <si>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</si>
  <si>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</si>
  <si>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</si>
  <si>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</si>
  <si>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</si>
  <si>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</si>
  <si>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</si>
  <si>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</si>
  <si>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</si>
  <si>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</si>
  <si>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</si>
  <si>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</si>
  <si>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</si>
  <si>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</si>
  <si>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</si>
  <si>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</si>
  <si>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</si>
  <si>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</si>
  <si>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</si>
  <si>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</si>
  <si>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</si>
  <si>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</si>
  <si>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</si>
  <si>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</si>
  <si>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</si>
  <si>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</si>
  <si>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</si>
  <si>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</si>
  <si>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</si>
  <si>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</si>
  <si>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</si>
  <si>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</si>
  <si>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</si>
  <si>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</si>
  <si>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</si>
  <si>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</si>
  <si>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</si>
  <si>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</si>
  <si>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</si>
  <si>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</si>
  <si>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</si>
  <si>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</si>
  <si>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</si>
  <si>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</si>
  <si>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</si>
  <si>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</si>
  <si>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</si>
  <si>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</si>
  <si>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</si>
  <si>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</si>
  <si>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</si>
  <si>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</si>
  <si>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</si>
  <si>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</si>
  <si>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</si>
  <si>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</si>
  <si>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</si>
  <si>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</si>
  <si>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</si>
  <si>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</si>
  <si>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</si>
  <si>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</si>
  <si>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</si>
  <si>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</si>
  <si>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</si>
  <si>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</si>
  <si>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</si>
  <si>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</si>
  <si>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</si>
  <si>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</si>
  <si>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</si>
  <si>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</si>
  <si>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</si>
  <si>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</si>
  <si>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</si>
  <si>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</si>
  <si>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</si>
  <si>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</si>
  <si>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</si>
  <si>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</si>
  <si>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</si>
  <si>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</si>
  <si>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</si>
  <si>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</si>
  <si>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</si>
  <si>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</si>
  <si>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</si>
  <si>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</si>
  <si>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</si>
  <si>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</si>
  <si>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</si>
  <si>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</si>
  <si>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</si>
  <si>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</si>
  <si>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</si>
  <si>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</si>
  <si>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</si>
  <si>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</si>
  <si>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</si>
  <si>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</si>
  <si>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</si>
  <si>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</si>
  <si>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</si>
  <si>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</si>
  <si>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</si>
  <si>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</si>
  <si>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</si>
  <si>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</si>
  <si>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</si>
  <si>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</si>
  <si>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</si>
  <si>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</si>
  <si>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</si>
  <si>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</si>
  <si>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</si>
  <si>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</si>
  <si>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</si>
  <si>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</si>
  <si>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</si>
  <si>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</si>
  <si>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</si>
  <si>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</si>
  <si>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</si>
  <si>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</si>
  <si>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</si>
  <si>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</si>
  <si>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</si>
  <si>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</si>
  <si>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</si>
  <si>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</si>
  <si>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</si>
  <si>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</si>
  <si>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</si>
  <si>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</si>
  <si>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</si>
  <si>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</si>
  <si>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</si>
  <si>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</si>
  <si>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</si>
  <si>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</si>
  <si>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</si>
  <si>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</si>
  <si>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</si>
  <si>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</si>
  <si>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</si>
  <si>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</si>
  <si>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</si>
  <si>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</si>
  <si>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</si>
  <si>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</si>
  <si>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</si>
  <si>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</si>
  <si>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</si>
  <si>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</si>
  <si>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</si>
  <si>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</si>
  <si>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</si>
  <si>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</si>
  <si>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</si>
  <si>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</si>
  <si>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</si>
  <si>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</si>
  <si>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</si>
  <si>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</si>
  <si>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</si>
  <si>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</si>
  <si>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</si>
  <si>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</si>
  <si>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</si>
  <si>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</si>
  <si>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</si>
  <si>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</si>
  <si>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</si>
  <si>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</si>
  <si>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</si>
  <si>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</si>
  <si>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</si>
  <si>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</si>
  <si>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</si>
  <si>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</si>
  <si>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</si>
  <si>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</si>
  <si>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</si>
  <si>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</si>
  <si>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</si>
  <si>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</si>
  <si>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</si>
  <si>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</si>
  <si>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</si>
  <si>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</si>
  <si>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</si>
  <si>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</si>
  <si>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</si>
  <si>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</si>
  <si>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</si>
  <si>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</si>
  <si>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</si>
  <si>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</si>
  <si>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</si>
  <si>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</si>
  <si>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</si>
  <si>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</si>
  <si>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</si>
  <si>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</si>
  <si>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</si>
  <si>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</si>
  <si>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</si>
  <si>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</si>
  <si>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</si>
  <si>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</si>
  <si>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</si>
  <si>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</si>
  <si>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</si>
  <si>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</si>
  <si>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</si>
  <si>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</si>
  <si>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</si>
  <si>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</si>
  <si>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</si>
  <si>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</si>
  <si>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</si>
  <si>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</si>
  <si>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</si>
  <si>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</si>
  <si>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</si>
  <si>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</si>
  <si>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</si>
  <si>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</si>
  <si>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</si>
  <si>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</si>
  <si>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</si>
  <si>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</si>
  <si>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</si>
  <si>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</si>
  <si>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</si>
  <si>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</si>
  <si>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</si>
  <si>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</si>
  <si>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</si>
  <si>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</si>
  <si>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</si>
  <si>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</si>
  <si>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</si>
  <si>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</si>
  <si>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</si>
  <si>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</si>
  <si>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</si>
  <si>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</si>
  <si>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</si>
  <si>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</si>
  <si>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</si>
  <si>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</si>
  <si>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</si>
  <si>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</si>
  <si>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</si>
  <si>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</si>
  <si>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</si>
  <si>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</si>
  <si>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</si>
  <si>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</si>
  <si>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</si>
  <si>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</si>
  <si>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</si>
  <si>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</si>
  <si>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</si>
  <si>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</si>
  <si>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</si>
  <si>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</si>
  <si>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</si>
  <si>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</si>
  <si>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</si>
  <si>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</si>
  <si>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</si>
  <si>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</si>
  <si>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</si>
  <si>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</si>
  <si>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</si>
  <si>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</si>
  <si>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</si>
  <si>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</si>
  <si>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</si>
  <si>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</si>
  <si>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</si>
  <si>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</si>
  <si>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</si>
  <si>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</si>
  <si>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</si>
  <si>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</si>
  <si>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</si>
  <si>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</si>
  <si>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</si>
  <si>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</si>
  <si>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</si>
  <si>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</si>
  <si>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</si>
  <si>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</si>
  <si>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</si>
  <si>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</si>
  <si>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</si>
  <si>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</si>
  <si>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</si>
  <si>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</si>
  <si>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</si>
  <si>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</si>
  <si>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</si>
  <si>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</si>
  <si>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</si>
  <si>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</si>
  <si>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</si>
  <si>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</si>
  <si>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</si>
  <si>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</si>
  <si>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</si>
  <si>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</si>
  <si>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</si>
  <si>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</si>
  <si>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</si>
  <si>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</si>
  <si>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</si>
  <si>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</si>
  <si>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</si>
  <si>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</si>
  <si>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</si>
  <si>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</si>
  <si>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</si>
  <si>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</si>
  <si>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</si>
  <si>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</si>
  <si>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</si>
  <si>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</si>
  <si>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</si>
  <si>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</si>
  <si>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</si>
  <si>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</si>
  <si>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</si>
  <si>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</si>
  <si>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</si>
  <si>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</si>
  <si>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</si>
  <si>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</si>
  <si>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</si>
  <si>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</si>
  <si>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</si>
  <si>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</si>
  <si>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</si>
  <si>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</si>
  <si>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</si>
  <si>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</si>
  <si>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</si>
  <si>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</si>
  <si>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</si>
  <si>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</si>
  <si>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</si>
  <si>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</si>
  <si>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</si>
  <si>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</si>
  <si>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</si>
  <si>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</si>
  <si>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</si>
  <si>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</si>
  <si>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</si>
  <si>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</si>
  <si>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</si>
  <si>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</si>
  <si>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</si>
  <si>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</si>
  <si>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</si>
  <si>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</si>
  <si>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</si>
  <si>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</si>
  <si>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</si>
  <si>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</si>
  <si>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</si>
  <si>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</si>
  <si>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</si>
  <si>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</si>
  <si>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</si>
  <si>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</si>
  <si>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</si>
  <si>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</si>
  <si>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</si>
  <si>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</si>
  <si>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</si>
  <si>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</si>
  <si>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</si>
  <si>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</si>
  <si>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</si>
  <si>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</si>
  <si>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</si>
  <si>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</si>
  <si>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</si>
  <si>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</si>
  <si>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</si>
  <si>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</si>
  <si>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</si>
  <si>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</si>
  <si>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</si>
  <si>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</si>
  <si>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</si>
  <si>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</si>
  <si>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</si>
  <si>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</si>
  <si>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</si>
  <si>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</si>
  <si>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</si>
  <si>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</si>
  <si>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</si>
  <si>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</si>
  <si>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</si>
  <si>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</si>
  <si>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</si>
  <si>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</si>
  <si>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</si>
  <si>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</si>
  <si>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</si>
  <si>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</si>
  <si>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</si>
  <si>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</si>
  <si>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</si>
  <si>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</si>
  <si>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</si>
  <si>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</si>
  <si>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</si>
  <si>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</si>
  <si>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</si>
  <si>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</si>
  <si>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</si>
  <si>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</si>
  <si>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</si>
  <si>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</si>
  <si>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</si>
  <si>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</si>
  <si>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</si>
  <si>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</si>
  <si>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</si>
  <si>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</si>
  <si>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</si>
  <si>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</si>
  <si>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</si>
  <si>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</si>
  <si>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</si>
  <si>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</si>
  <si>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</si>
  <si>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</si>
  <si>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</si>
  <si>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</si>
  <si>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</si>
  <si>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</si>
  <si>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</si>
  <si>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</si>
  <si>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</si>
  <si>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</si>
  <si>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</si>
  <si>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</si>
  <si>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</si>
  <si>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</si>
  <si>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</si>
  <si>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</si>
  <si>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</si>
  <si>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</si>
  <si>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</si>
  <si>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</si>
  <si>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</si>
  <si>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</si>
  <si>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</si>
  <si>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</si>
  <si>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</si>
  <si>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</si>
  <si>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</si>
  <si>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</si>
  <si>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</si>
  <si>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</si>
  <si>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</si>
  <si>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</si>
  <si>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</si>
  <si>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</si>
  <si>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</si>
  <si>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</si>
  <si>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</si>
  <si>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</si>
  <si>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</si>
  <si>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</si>
  <si>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</si>
  <si>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</si>
  <si>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</si>
  <si>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</si>
  <si>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</si>
  <si>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</si>
  <si>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</si>
  <si>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</si>
  <si>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</si>
  <si>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</si>
  <si>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</si>
  <si>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</si>
  <si>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</si>
  <si>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</si>
  <si>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</si>
  <si>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</si>
  <si>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</si>
  <si>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</si>
  <si>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</si>
  <si>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</si>
  <si>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</si>
  <si>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</si>
  <si>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</si>
  <si>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</si>
  <si>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</si>
  <si>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</si>
  <si>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</si>
  <si>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</si>
  <si>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</si>
  <si>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</si>
  <si>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</si>
  <si>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</si>
  <si>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</si>
  <si>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</si>
  <si>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</si>
  <si>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</si>
  <si>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</si>
  <si>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</si>
  <si>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</si>
  <si>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</si>
  <si>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</si>
  <si>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</si>
  <si>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</si>
  <si>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</si>
  <si>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</si>
  <si>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</si>
  <si>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</si>
  <si>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</si>
  <si>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</si>
  <si>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</si>
  <si>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</si>
  <si>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</si>
  <si>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</si>
  <si>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</si>
  <si>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</si>
  <si>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</si>
  <si>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</si>
  <si>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</si>
  <si>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</si>
  <si>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</si>
  <si>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</si>
  <si>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</si>
  <si>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</si>
  <si>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</si>
  <si>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</si>
  <si>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</si>
  <si>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</si>
  <si>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</si>
  <si>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</si>
  <si>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</si>
  <si>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</si>
  <si>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</si>
  <si>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</si>
  <si>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</si>
  <si>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</si>
  <si>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</si>
  <si>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</si>
  <si>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</si>
  <si>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</si>
  <si>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</si>
  <si>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</si>
  <si>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</si>
  <si>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</si>
  <si>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</si>
  <si>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</si>
  <si>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</si>
  <si>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</si>
  <si>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</si>
  <si>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</si>
  <si>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</si>
  <si>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</si>
  <si>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</si>
  <si>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</si>
  <si>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</si>
  <si>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</si>
  <si>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</si>
  <si>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</si>
  <si>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</si>
  <si>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</si>
  <si>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</si>
  <si>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</si>
  <si>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</si>
  <si>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</si>
  <si>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</si>
  <si>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</si>
  <si>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</si>
  <si>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</si>
  <si>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</si>
  <si>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</si>
  <si>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</si>
  <si>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</si>
  <si>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</si>
  <si>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</si>
  <si>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</si>
  <si>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</si>
  <si>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</si>
  <si>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</si>
  <si>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</si>
  <si>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</si>
  <si>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</si>
  <si>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</si>
  <si>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</si>
  <si>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</si>
  <si>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</si>
  <si>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</si>
  <si>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</si>
  <si>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</si>
  <si>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</si>
  <si>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</si>
  <si>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</si>
  <si>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</si>
  <si>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</si>
  <si>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</si>
  <si>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</si>
  <si>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</si>
  <si>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</si>
  <si>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</si>
  <si>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</si>
  <si>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</si>
  <si>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</si>
  <si>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</si>
  <si>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</si>
  <si>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</si>
  <si>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</si>
  <si>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</si>
  <si>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</si>
  <si>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</si>
  <si>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</si>
  <si>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</si>
  <si>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</si>
  <si>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</si>
  <si>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</si>
  <si>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</si>
  <si>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</si>
  <si>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</si>
  <si>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</si>
  <si>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</si>
  <si>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</si>
  <si>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</si>
  <si>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</si>
  <si>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</si>
  <si>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</si>
  <si>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</si>
  <si>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</si>
  <si>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</si>
  <si>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</si>
  <si>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</si>
  <si>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</si>
  <si>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</si>
  <si>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</si>
  <si>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</si>
  <si>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</si>
  <si>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</si>
  <si>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</si>
  <si>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</si>
  <si>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</si>
  <si>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</si>
  <si>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</si>
  <si>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</si>
  <si>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</si>
  <si>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</si>
  <si>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</si>
  <si>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</si>
  <si>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</si>
  <si>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</si>
  <si>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</si>
  <si>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</si>
  <si>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</si>
  <si>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</si>
  <si>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</si>
  <si>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</si>
  <si>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</si>
  <si>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</si>
  <si>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</si>
  <si>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</si>
  <si>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</si>
  <si>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</si>
  <si>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</si>
  <si>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</si>
  <si>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</si>
  <si>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</si>
  <si>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</si>
  <si>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</si>
  <si>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</si>
  <si>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</si>
  <si>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</si>
  <si>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</si>
  <si>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</si>
  <si>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</si>
  <si>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</si>
  <si>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</si>
  <si>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</si>
  <si>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</si>
  <si>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</si>
  <si>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</si>
  <si>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</si>
  <si>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</si>
  <si>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</si>
  <si>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</si>
  <si>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</si>
  <si>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</si>
  <si>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</si>
  <si>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</si>
  <si>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</si>
  <si>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</si>
  <si>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</si>
  <si>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</si>
  <si>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</si>
  <si>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</si>
  <si>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</si>
  <si>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</si>
  <si>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</si>
  <si>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</si>
  <si>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</si>
  <si>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</si>
  <si>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</si>
  <si>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</si>
  <si>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</si>
  <si>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</si>
  <si>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</si>
  <si>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</si>
  <si>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</si>
  <si>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</si>
  <si>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</si>
  <si>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</si>
  <si>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</si>
  <si>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</si>
  <si>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</si>
  <si>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</si>
  <si>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</si>
  <si>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</si>
  <si>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</si>
  <si>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</si>
  <si>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</si>
  <si>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</si>
  <si>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</si>
  <si>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</si>
  <si>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</si>
  <si>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</si>
  <si>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</si>
  <si>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</si>
  <si>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</si>
  <si>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</si>
  <si>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</si>
  <si>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</si>
  <si>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</si>
  <si>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</si>
  <si>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</si>
  <si>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</si>
  <si>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</si>
  <si>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</si>
  <si>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</si>
  <si>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</si>
  <si>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</si>
  <si>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</si>
  <si>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</si>
  <si>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</si>
  <si>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</si>
  <si>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</si>
  <si>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</si>
  <si>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</si>
  <si>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</si>
  <si>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</si>
  <si>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</si>
  <si>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</si>
  <si>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</si>
  <si>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</si>
  <si>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</si>
  <si>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</si>
  <si>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</si>
  <si>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</si>
  <si>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</si>
  <si>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</si>
  <si>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</si>
  <si>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</si>
  <si>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</si>
  <si>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</si>
  <si>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</si>
  <si>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</si>
  <si>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</si>
  <si>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</si>
  <si>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</si>
  <si>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</si>
  <si>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</si>
  <si>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</si>
  <si>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</si>
  <si>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</si>
  <si>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</si>
  <si>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</si>
  <si>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</si>
  <si>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</si>
  <si>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</si>
  <si>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</si>
  <si>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</si>
  <si>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</si>
  <si>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</si>
  <si>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</si>
  <si>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</si>
  <si>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</si>
  <si>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</si>
  <si>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</si>
  <si>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</si>
  <si>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</si>
  <si>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</si>
  <si>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</si>
  <si>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</si>
  <si>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</si>
  <si>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</si>
  <si>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</si>
  <si>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</si>
  <si>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</si>
  <si>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</si>
  <si>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</si>
  <si>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</si>
  <si>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</si>
  <si>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</si>
  <si>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</si>
  <si>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</si>
  <si>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</si>
  <si>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</si>
  <si>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</si>
  <si>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</si>
  <si>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</si>
  <si>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</si>
  <si>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</si>
  <si>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</si>
  <si>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</si>
  <si>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</si>
  <si>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</si>
  <si>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</si>
  <si>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</si>
  <si>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</si>
  <si>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</si>
  <si>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</si>
  <si>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</si>
  <si>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</si>
  <si>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</si>
  <si>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</si>
  <si>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</si>
  <si>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</si>
  <si>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</si>
  <si>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</si>
  <si>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</si>
  <si>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</si>
  <si>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</si>
  <si>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</si>
  <si>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</si>
  <si>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</si>
  <si>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</si>
  <si>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</si>
  <si>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</si>
  <si>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</si>
  <si>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</si>
  <si>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</si>
  <si>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</si>
  <si>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</si>
  <si>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</si>
  <si>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</si>
  <si>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</si>
  <si>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</si>
  <si>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</si>
  <si>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</si>
  <si>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</si>
  <si>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</si>
  <si>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</si>
  <si>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</si>
  <si>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</si>
  <si>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</si>
  <si>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</si>
  <si>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</si>
  <si>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</si>
  <si>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</si>
  <si>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</si>
  <si>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</si>
  <si>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</si>
  <si>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</si>
  <si>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</si>
  <si>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</si>
  <si>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</si>
  <si>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</si>
  <si>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</si>
  <si>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</si>
  <si>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</si>
  <si>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</si>
  <si>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</si>
  <si>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</si>
  <si>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</si>
  <si>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</si>
  <si>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</si>
  <si>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</si>
  <si>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</si>
  <si>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</si>
  <si>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</si>
  <si>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</si>
  <si>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</si>
  <si>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</si>
  <si>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</si>
  <si>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</si>
  <si>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</si>
  <si>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</si>
  <si>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</si>
  <si>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</si>
  <si>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</si>
  <si>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</si>
  <si>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</si>
  <si>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</si>
  <si>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</si>
  <si>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</si>
  <si>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</si>
  <si>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</si>
  <si>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</si>
  <si>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</si>
  <si>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</si>
  <si>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</si>
  <si>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</si>
  <si>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</si>
  <si>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</si>
  <si>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</si>
  <si>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</si>
  <si>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</si>
  <si>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</si>
  <si>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</si>
  <si>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</si>
  <si>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</si>
  <si>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</si>
  <si>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</si>
  <si>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</si>
  <si>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</si>
  <si>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</si>
  <si>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</si>
  <si>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</si>
  <si>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</si>
  <si>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</si>
  <si>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</si>
  <si>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</si>
  <si>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</si>
  <si>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</si>
  <si>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</si>
  <si>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</si>
  <si>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</si>
  <si>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</si>
  <si>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</si>
  <si>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</si>
  <si>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</si>
  <si>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</si>
  <si>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</si>
  <si>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</si>
  <si>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</si>
  <si>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</si>
  <si>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</si>
  <si>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</si>
  <si>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</si>
  <si>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</si>
  <si>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</si>
  <si>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</si>
  <si>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</si>
  <si>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</si>
  <si>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</si>
  <si>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</si>
  <si>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</si>
  <si>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</si>
  <si>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</si>
  <si>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</si>
  <si>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</si>
  <si>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</si>
  <si>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</si>
  <si>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</si>
  <si>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</si>
  <si>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</si>
  <si>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</si>
  <si>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</si>
  <si>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</si>
  <si>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</si>
  <si>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</si>
  <si>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</si>
  <si>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</si>
  <si>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</si>
  <si>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</si>
  <si>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</si>
  <si>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</si>
  <si>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</si>
  <si>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</si>
  <si>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</si>
  <si>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</si>
  <si>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</si>
  <si>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</si>
  <si>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</si>
  <si>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</si>
  <si>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</si>
  <si>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</si>
  <si>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</si>
  <si>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</si>
  <si>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</si>
  <si>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</si>
  <si>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</si>
  <si>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</si>
  <si>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</si>
  <si>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</si>
  <si>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</si>
  <si>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</si>
  <si>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</si>
  <si>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</si>
  <si>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</si>
  <si>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</si>
  <si>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</si>
  <si>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</si>
  <si>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</si>
  <si>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</si>
  <si>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</si>
  <si>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</si>
  <si>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</si>
  <si>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</si>
  <si>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</si>
  <si>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</si>
  <si>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</si>
  <si>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</si>
  <si>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</si>
  <si>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</si>
  <si>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</si>
  <si>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</si>
  <si>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</si>
  <si>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</si>
  <si>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</si>
  <si>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</si>
  <si>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</si>
  <si>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</si>
  <si>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</si>
  <si>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</si>
  <si>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</si>
  <si>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</si>
  <si>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</si>
  <si>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</si>
  <si>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</si>
  <si>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</si>
  <si>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</si>
  <si>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</si>
  <si>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</si>
  <si>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</si>
  <si>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</si>
  <si>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</si>
  <si>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</si>
  <si>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</si>
  <si>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</si>
  <si>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</si>
  <si>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</si>
  <si>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</si>
  <si>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</si>
  <si>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</si>
  <si>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</si>
  <si>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</si>
  <si>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</si>
  <si>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</si>
  <si>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</si>
  <si>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</si>
  <si>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</si>
  <si>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</si>
  <si>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</si>
  <si>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</si>
  <si>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</si>
  <si>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</si>
  <si>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</si>
  <si>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</si>
  <si>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</si>
  <si>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</si>
  <si>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</si>
  <si>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</si>
  <si>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</si>
  <si>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</si>
  <si>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</si>
  <si>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</si>
  <si>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</si>
  <si>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</si>
  <si>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</si>
  <si>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</si>
  <si>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</si>
  <si>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</si>
  <si>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</si>
  <si>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</si>
  <si>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</si>
  <si>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</si>
  <si>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</si>
  <si>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</si>
  <si>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</si>
  <si>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</si>
  <si>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</si>
  <si>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</si>
  <si>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</si>
  <si>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</si>
  <si>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</si>
  <si>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</si>
  <si>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</si>
  <si>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</si>
  <si>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</si>
  <si>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</si>
  <si>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</si>
  <si>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</si>
  <si>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</si>
  <si>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</si>
  <si>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</si>
  <si>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</si>
  <si>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</si>
  <si>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</si>
  <si>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</si>
  <si>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</si>
  <si>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</si>
  <si>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</si>
  <si>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</si>
  <si>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</si>
  <si>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</si>
  <si>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</si>
  <si>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</si>
  <si>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</si>
  <si>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</si>
  <si>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</si>
  <si>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</si>
  <si>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</si>
  <si>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</si>
  <si>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</si>
  <si>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</si>
  <si>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</si>
  <si>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</si>
  <si>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</si>
  <si>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</si>
  <si>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</si>
  <si>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</si>
  <si>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</si>
  <si>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</si>
  <si>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</si>
  <si>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</si>
  <si>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</si>
  <si>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</si>
  <si>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</si>
  <si>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</si>
  <si>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</si>
  <si>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</si>
  <si>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</si>
  <si>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</si>
  <si>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</si>
  <si>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</si>
  <si>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</si>
  <si>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</si>
  <si>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</si>
  <si>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</si>
  <si>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</si>
  <si>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</si>
  <si>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</si>
  <si>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</si>
  <si>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</si>
  <si>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</si>
  <si>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</si>
  <si>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</si>
  <si>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</si>
  <si>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</si>
  <si>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</si>
  <si>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</si>
  <si>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</si>
  <si>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</si>
  <si>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</si>
  <si>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</si>
  <si>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</si>
  <si>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</si>
  <si>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</si>
  <si>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</si>
  <si>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</si>
  <si>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</si>
  <si>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</si>
  <si>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</si>
  <si>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</si>
  <si>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</si>
  <si>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</si>
  <si>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</si>
  <si>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</si>
  <si>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</si>
  <si>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</si>
  <si>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</si>
  <si>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</si>
  <si>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</si>
  <si>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</si>
  <si>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</si>
  <si>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</si>
  <si>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</si>
  <si>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</si>
  <si>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</si>
  <si>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</si>
  <si>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</si>
  <si>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</si>
  <si>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</si>
  <si>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</si>
  <si>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</si>
  <si>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</si>
  <si>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</si>
  <si>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</si>
  <si>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</si>
  <si>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</si>
  <si>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</si>
  <si>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</si>
  <si>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</si>
  <si>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</si>
  <si>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</si>
  <si>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</si>
  <si>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</si>
  <si>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</si>
  <si>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</si>
  <si>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</si>
  <si>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</si>
  <si>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</si>
  <si>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</si>
  <si>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</si>
  <si>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</si>
  <si>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</si>
  <si>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</si>
  <si>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</si>
  <si>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</si>
  <si>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</si>
  <si>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</si>
  <si>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</si>
  <si>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</si>
  <si>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</si>
  <si>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</si>
  <si>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</si>
  <si>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</si>
  <si>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</si>
  <si>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</si>
  <si>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</si>
  <si>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</si>
  <si>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</si>
  <si>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</si>
  <si>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</si>
  <si>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</si>
  <si>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</si>
  <si>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</si>
  <si>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</si>
  <si>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</si>
  <si>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</si>
  <si>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</si>
  <si>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</si>
  <si>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</si>
  <si>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</si>
  <si>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</si>
  <si>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</si>
  <si>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</si>
  <si>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</si>
  <si>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</si>
  <si>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</si>
  <si>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</si>
  <si>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</si>
  <si>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</si>
  <si>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</si>
  <si>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</si>
  <si>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</si>
  <si>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</si>
  <si>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</si>
  <si>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</si>
  <si>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</si>
  <si>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</si>
  <si>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</si>
  <si>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</si>
  <si>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</si>
  <si>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</si>
  <si>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</si>
  <si>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</si>
  <si>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</si>
  <si>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</si>
  <si>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</si>
  <si>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</si>
  <si>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</si>
  <si>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</si>
  <si>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</si>
  <si>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</si>
  <si>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</si>
  <si>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</si>
  <si>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</si>
  <si>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</si>
  <si>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</si>
  <si>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</si>
  <si>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</si>
  <si>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</si>
  <si>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</si>
  <si>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</si>
  <si>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</si>
  <si>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</si>
  <si>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</si>
  <si>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</si>
  <si>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</si>
  <si>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</si>
  <si>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</si>
  <si>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</si>
  <si>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</si>
  <si>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</si>
  <si>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</si>
  <si>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</si>
  <si>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</si>
  <si>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</si>
  <si>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</si>
  <si>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</si>
  <si>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</si>
  <si>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</si>
  <si>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</si>
  <si>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</si>
  <si>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</si>
  <si>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</si>
  <si>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</si>
  <si>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</si>
  <si>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</si>
  <si>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</si>
  <si>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</si>
  <si>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</si>
  <si>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</si>
  <si>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</si>
  <si>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</si>
  <si>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</si>
  <si>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</si>
  <si>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</si>
  <si>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</si>
  <si>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</si>
  <si>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</si>
  <si>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</si>
  <si>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</si>
  <si>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</si>
  <si>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</si>
  <si>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</si>
  <si>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</si>
  <si>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</si>
  <si>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</si>
  <si>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</si>
  <si>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</si>
  <si>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</si>
  <si>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</si>
  <si>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</si>
  <si>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</si>
  <si>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</si>
  <si>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</si>
  <si>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</si>
  <si>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</si>
  <si>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</si>
  <si>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</si>
  <si>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</si>
  <si>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</si>
  <si>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</si>
  <si>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</si>
  <si>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</si>
  <si>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</si>
  <si>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</si>
  <si>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</si>
  <si>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</si>
  <si>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</si>
  <si>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</si>
  <si>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</si>
  <si>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</si>
  <si>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</si>
  <si>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</si>
  <si>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</si>
  <si>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</si>
  <si>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</si>
  <si>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</si>
  <si>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</si>
  <si>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</si>
  <si>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</si>
  <si>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</si>
  <si>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</si>
  <si>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</si>
  <si>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</si>
  <si>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</si>
  <si>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</si>
  <si>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</si>
  <si>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</si>
  <si>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</si>
  <si>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</si>
  <si>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</si>
  <si>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</si>
  <si>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</si>
  <si>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</si>
  <si>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</si>
  <si>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</si>
  <si>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</si>
  <si>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</si>
  <si>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</si>
  <si>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</si>
  <si>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</si>
  <si>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</si>
  <si>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</si>
  <si>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</si>
  <si>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</si>
  <si>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</si>
  <si>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</si>
  <si>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</si>
  <si>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</si>
  <si>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</si>
  <si>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</si>
  <si>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</si>
  <si>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</si>
  <si>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</si>
  <si>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</si>
  <si>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</si>
  <si>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</si>
  <si>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</si>
  <si>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</si>
  <si>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</si>
  <si>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</si>
  <si>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</si>
  <si>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</si>
  <si>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</si>
  <si>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</si>
  <si>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</si>
  <si>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</si>
  <si>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</si>
  <si>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</si>
  <si>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</si>
  <si>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</si>
  <si>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</si>
  <si>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</si>
  <si>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</si>
  <si>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</si>
  <si>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</si>
  <si>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</si>
  <si>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</si>
  <si>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</si>
  <si>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</si>
  <si>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</si>
  <si>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</si>
  <si>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</si>
  <si>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</si>
  <si>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</si>
  <si>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</si>
  <si>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</si>
  <si>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</si>
  <si>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</si>
  <si>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</si>
  <si>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</si>
  <si>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</si>
  <si>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</si>
  <si>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</si>
  <si>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</si>
  <si>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</si>
  <si>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</si>
  <si>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</si>
  <si>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</si>
  <si>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</si>
  <si>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</si>
  <si>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</si>
  <si>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</si>
  <si>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</si>
  <si>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</si>
  <si>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</si>
  <si>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</si>
  <si>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</si>
  <si>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</si>
  <si>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</si>
  <si>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</si>
  <si>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</si>
  <si>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</si>
  <si>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</si>
  <si>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</si>
  <si>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</si>
  <si>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</si>
  <si>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</si>
  <si>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</si>
  <si>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</si>
  <si>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</si>
  <si>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</si>
  <si>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</si>
  <si>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</si>
  <si>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</si>
  <si>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</si>
  <si>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</si>
  <si>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</si>
  <si>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</si>
  <si>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</si>
  <si>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</si>
  <si>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</si>
  <si>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</si>
  <si>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</si>
  <si>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</si>
  <si>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</si>
  <si>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</si>
  <si>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</si>
  <si>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</si>
  <si>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</si>
  <si>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</si>
  <si>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</si>
  <si>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</si>
  <si>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</si>
  <si>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</si>
  <si>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</si>
  <si>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</si>
  <si>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</si>
  <si>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</si>
  <si>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</si>
  <si>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</si>
  <si>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</si>
  <si>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</si>
  <si>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</si>
  <si>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</si>
  <si>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</si>
  <si>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</si>
  <si>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</si>
  <si>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</si>
  <si>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</si>
  <si>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</si>
  <si>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</si>
  <si>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</si>
  <si>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</si>
  <si>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</si>
  <si>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</si>
  <si>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</si>
  <si>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</si>
  <si>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</si>
  <si>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</si>
  <si>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</si>
  <si>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</si>
  <si>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</si>
  <si>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</si>
  <si>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</si>
  <si>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</si>
  <si>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</si>
  <si>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</si>
  <si>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</si>
  <si>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</si>
  <si>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</si>
  <si>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</si>
  <si>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</si>
  <si>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</si>
  <si>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</si>
  <si>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</si>
  <si>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</si>
  <si>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</si>
  <si>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</si>
  <si>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</si>
  <si>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</si>
  <si>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</si>
  <si>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</si>
  <si>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</si>
  <si>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</si>
  <si>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</si>
  <si>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</si>
  <si>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</si>
  <si>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</si>
  <si>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</si>
  <si>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</si>
  <si>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</si>
  <si>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</si>
  <si>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</si>
  <si>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</si>
  <si>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</si>
  <si>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</si>
  <si>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</si>
  <si>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</si>
  <si>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</si>
  <si>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</si>
  <si>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</si>
  <si>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</si>
  <si>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</si>
  <si>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</si>
  <si>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</si>
  <si>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</si>
  <si>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</si>
  <si>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</si>
  <si>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</si>
  <si>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</si>
  <si>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</si>
  <si>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</si>
  <si>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</si>
  <si>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</si>
  <si>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</si>
  <si>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</si>
  <si>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</si>
  <si>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</si>
  <si>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</si>
  <si>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</si>
  <si>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</si>
  <si>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</si>
  <si>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</si>
  <si>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</si>
  <si>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</si>
  <si>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</si>
  <si>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</si>
  <si>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</si>
  <si>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</si>
  <si>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</si>
  <si>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</si>
  <si>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</si>
  <si>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</si>
  <si>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</si>
  <si>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</si>
  <si>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</si>
  <si>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</si>
  <si>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</si>
  <si>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</si>
  <si>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</si>
  <si>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</si>
  <si>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</si>
  <si>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</si>
  <si>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</si>
  <si>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</si>
  <si>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</si>
  <si>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</si>
  <si>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</si>
  <si>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</si>
  <si>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</si>
  <si>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</si>
  <si>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</si>
  <si>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</si>
  <si>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</si>
  <si>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</si>
  <si>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</si>
  <si>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</si>
  <si>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</si>
  <si>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</si>
  <si>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</si>
  <si>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</si>
  <si>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</si>
  <si>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</si>
  <si>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</si>
  <si>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</si>
  <si>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</si>
  <si>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</si>
  <si>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</si>
  <si>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</si>
  <si>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</si>
  <si>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</si>
  <si>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</si>
  <si>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</si>
  <si>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</si>
  <si>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</si>
  <si>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</si>
  <si>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</si>
  <si>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</si>
  <si>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</si>
  <si>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</si>
  <si>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</si>
  <si>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</si>
  <si>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</si>
  <si>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</si>
  <si>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</si>
  <si>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</si>
  <si>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</si>
  <si>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</si>
  <si>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</si>
  <si>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</si>
  <si>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</si>
  <si>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</si>
  <si>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</si>
  <si>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</si>
  <si>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</si>
  <si>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</si>
  <si>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</si>
  <si>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</si>
  <si>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</si>
  <si>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</si>
  <si>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</si>
  <si>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</si>
  <si>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</si>
  <si>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</si>
  <si>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</si>
  <si>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</si>
  <si>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</si>
  <si>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</si>
  <si>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</si>
  <si>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</si>
  <si>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</si>
  <si>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</si>
  <si>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</si>
  <si>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</si>
  <si>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</si>
  <si>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</si>
  <si>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</si>
  <si>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</si>
  <si>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</si>
  <si>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</si>
  <si>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</si>
  <si>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</si>
  <si>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</si>
  <si>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</si>
  <si>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</si>
  <si>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</si>
  <si>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</si>
  <si>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</si>
  <si>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</si>
  <si>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</si>
  <si>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</si>
  <si>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</si>
  <si>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</si>
  <si>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</si>
  <si>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</si>
  <si>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</si>
  <si>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</si>
  <si>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</si>
  <si>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</si>
  <si>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</si>
  <si>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</si>
  <si>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</si>
  <si>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</si>
  <si>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</si>
  <si>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</si>
  <si>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</si>
  <si>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</si>
  <si>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</si>
  <si>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</si>
  <si>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</si>
  <si>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</si>
  <si>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</si>
  <si>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</si>
  <si>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</si>
  <si>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</si>
  <si>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</si>
  <si>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</si>
  <si>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</si>
  <si>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</si>
  <si>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</si>
  <si>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</si>
  <si>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</si>
  <si>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</si>
  <si>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</si>
  <si>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</si>
  <si>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</si>
  <si>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</si>
  <si>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</si>
  <si>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</si>
  <si>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</si>
  <si>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</si>
  <si>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</si>
  <si>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</si>
  <si>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</si>
  <si>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</si>
  <si>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</si>
  <si>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</si>
  <si>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</si>
  <si>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</si>
  <si>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</si>
  <si>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</si>
  <si>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</si>
  <si>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</si>
  <si>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</si>
  <si>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</si>
  <si>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</si>
  <si>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</si>
  <si>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</si>
  <si>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</si>
  <si>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</si>
  <si>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</si>
  <si>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</si>
  <si>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</si>
  <si>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</si>
  <si>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</si>
  <si>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</si>
  <si>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</si>
  <si>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</si>
  <si>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</si>
  <si>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</si>
  <si>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</si>
  <si>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</si>
  <si>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</si>
  <si>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</si>
  <si>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</si>
  <si>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</si>
  <si>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</si>
  <si>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</si>
  <si>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</si>
  <si>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</si>
  <si>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</si>
  <si>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</si>
  <si>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</si>
  <si>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</si>
  <si>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</si>
  <si>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</si>
  <si>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</si>
  <si>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</si>
  <si>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</si>
  <si>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</si>
  <si>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</si>
  <si>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</si>
  <si>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</si>
  <si>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</si>
  <si>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</si>
  <si>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</si>
  <si>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</si>
  <si>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</si>
  <si>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</si>
  <si>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</si>
  <si>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</si>
  <si>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</si>
  <si>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</si>
  <si>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</si>
  <si>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</si>
  <si>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</si>
  <si>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</si>
  <si>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</si>
  <si>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</si>
  <si>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</si>
  <si>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</si>
  <si>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</si>
  <si>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</si>
  <si>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</si>
  <si>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</si>
  <si>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</si>
  <si>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</si>
  <si>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</si>
  <si>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</si>
  <si>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</si>
  <si>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</si>
  <si>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</si>
  <si>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</si>
  <si>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</si>
  <si>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</si>
  <si>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</si>
  <si>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</si>
  <si>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</si>
  <si>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</si>
  <si>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</si>
  <si>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</si>
  <si>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</si>
  <si>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</si>
  <si>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</si>
  <si>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</si>
  <si>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</si>
  <si>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</si>
  <si>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</si>
  <si>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</si>
  <si>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</si>
  <si>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</si>
  <si>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</si>
  <si>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</si>
  <si>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</si>
  <si>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</si>
  <si>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</si>
  <si>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</si>
  <si>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</si>
  <si>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</si>
  <si>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</si>
  <si>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</si>
  <si>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</si>
  <si>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</si>
  <si>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</si>
  <si>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</si>
  <si>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</si>
  <si>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</si>
  <si>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</si>
  <si>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</si>
  <si>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</si>
  <si>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</si>
  <si>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</si>
  <si>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</si>
  <si>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</si>
  <si>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</si>
  <si>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</si>
  <si>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</si>
  <si>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</si>
  <si>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</si>
  <si>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</si>
  <si>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</si>
  <si>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</si>
  <si>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</si>
  <si>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</si>
  <si>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</si>
  <si>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</si>
  <si>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</si>
  <si>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</si>
  <si>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</si>
  <si>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</si>
  <si>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</si>
  <si>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</si>
  <si>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</si>
  <si>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</si>
  <si>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</si>
  <si>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</si>
  <si>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</si>
  <si>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</si>
  <si>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</si>
  <si>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</si>
  <si>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</si>
  <si>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</si>
  <si>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</si>
  <si>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</si>
  <si>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</si>
  <si>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</si>
  <si>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</si>
  <si>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</si>
  <si>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</si>
  <si>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</si>
  <si>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</si>
  <si>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</si>
  <si>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</si>
  <si>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</si>
  <si>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</si>
  <si>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</si>
  <si>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</si>
  <si>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</si>
  <si>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</si>
  <si>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</si>
  <si>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</si>
  <si>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</si>
  <si>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</si>
  <si>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</si>
  <si>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</si>
  <si>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</si>
  <si>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</si>
  <si>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</si>
  <si>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</si>
  <si>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</si>
  <si>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</si>
  <si>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</si>
  <si>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</si>
  <si>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</si>
  <si>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</si>
  <si>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</si>
  <si>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</si>
  <si>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</si>
  <si>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</si>
  <si>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</si>
  <si>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</si>
  <si>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</si>
  <si>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</si>
  <si>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</si>
  <si>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</si>
  <si>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</si>
  <si>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</si>
  <si>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</si>
  <si>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</si>
  <si>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</si>
  <si>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</si>
  <si>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</si>
  <si>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</si>
  <si>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</si>
  <si>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</si>
  <si>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</si>
  <si>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</si>
  <si>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</si>
  <si>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</si>
  <si>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</si>
  <si>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</si>
  <si>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</si>
  <si>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</si>
  <si>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</si>
  <si>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</si>
  <si>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</si>
  <si>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</si>
  <si>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</si>
  <si>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</si>
  <si>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</si>
  <si>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</si>
  <si>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</si>
  <si>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</si>
  <si>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</si>
  <si>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</si>
  <si>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</si>
  <si>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</si>
  <si>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</si>
  <si>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</si>
  <si>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</si>
  <si>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</si>
  <si>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</si>
  <si>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</si>
  <si>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</si>
  <si>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</si>
  <si>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</si>
  <si>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</si>
  <si>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</si>
  <si>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</si>
  <si>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</si>
  <si>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</si>
  <si>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</si>
  <si>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</si>
  <si>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</si>
  <si>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</si>
  <si>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</si>
  <si>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</si>
  <si>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</si>
  <si>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</si>
  <si>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</si>
  <si>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</si>
  <si>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</si>
  <si>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</si>
  <si>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</si>
  <si>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</si>
  <si>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</si>
  <si>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</si>
  <si>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</si>
  <si>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</si>
  <si>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</si>
  <si>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</si>
  <si>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</si>
  <si>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</si>
  <si>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</si>
  <si>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</si>
  <si>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</si>
  <si>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</si>
  <si>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</si>
  <si>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</si>
  <si>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</si>
  <si>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</si>
  <si>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</si>
  <si>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</si>
  <si>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</si>
  <si>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</si>
  <si>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</si>
  <si>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</si>
  <si>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</si>
  <si>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</si>
  <si>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</si>
  <si>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</si>
  <si>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</si>
  <si>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</si>
  <si>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</si>
  <si>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</si>
  <si>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</si>
  <si>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</si>
  <si>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</si>
  <si>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</si>
  <si>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</si>
  <si>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</si>
  <si>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</si>
  <si>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</si>
  <si>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</si>
  <si>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</si>
  <si>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</si>
  <si>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</si>
  <si>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</si>
  <si>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</si>
  <si>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</si>
  <si>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</si>
  <si>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</si>
  <si>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</si>
  <si>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</si>
  <si>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</si>
  <si>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</si>
  <si>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</si>
  <si>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</si>
  <si>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</si>
  <si>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</si>
  <si>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</si>
  <si>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</si>
  <si>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</si>
  <si>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</si>
  <si>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</si>
  <si>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</si>
  <si>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</si>
  <si>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</si>
  <si>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</si>
  <si>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</si>
  <si>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</si>
  <si>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</si>
  <si>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</si>
  <si>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</si>
  <si>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</si>
  <si>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</si>
  <si>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</si>
  <si>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</si>
  <si>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</si>
  <si>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</si>
  <si>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</si>
  <si>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</si>
  <si>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</si>
  <si>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</si>
  <si>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</si>
  <si>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</si>
  <si>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</si>
  <si>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</si>
  <si>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</si>
  <si>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</si>
  <si>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</si>
  <si>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</si>
  <si>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</si>
  <si>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</si>
  <si>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</si>
  <si>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</si>
  <si>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</si>
  <si>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</si>
  <si>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</si>
  <si>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</si>
  <si>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</si>
  <si>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</si>
  <si>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</si>
  <si>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</si>
  <si>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</si>
  <si>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</si>
  <si>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</si>
  <si>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</si>
  <si>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</si>
  <si>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</si>
  <si>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</si>
  <si>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</si>
  <si>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</si>
  <si>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</si>
  <si>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</si>
  <si>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</si>
  <si>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</si>
  <si>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</si>
  <si>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</si>
  <si>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</si>
  <si>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</si>
  <si>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</si>
  <si>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</si>
  <si>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</si>
  <si>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</si>
  <si>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</si>
  <si>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</si>
  <si>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</si>
  <si>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</si>
  <si>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</si>
  <si>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</si>
  <si>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</si>
  <si>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</si>
  <si>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</si>
  <si>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</si>
  <si>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</si>
  <si>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</si>
  <si>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</si>
  <si>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</si>
  <si>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</si>
  <si>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</si>
  <si>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</si>
  <si>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</si>
  <si>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</si>
  <si>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</si>
  <si>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</si>
  <si>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</si>
  <si>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</si>
  <si>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</si>
  <si>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</si>
  <si>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</si>
  <si>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</si>
  <si>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</si>
  <si>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</si>
  <si>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</si>
  <si>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</si>
  <si>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</si>
  <si>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</si>
  <si>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</si>
  <si>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</si>
  <si>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</si>
  <si>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</si>
  <si>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</si>
  <si>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</si>
  <si>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</si>
  <si>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</si>
  <si>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</si>
  <si>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</si>
  <si>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</si>
  <si>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</si>
  <si>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</si>
  <si>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</si>
  <si>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</si>
  <si>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</si>
  <si>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</si>
  <si>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</si>
  <si>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</si>
  <si>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</si>
  <si>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</si>
  <si>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</si>
  <si>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</si>
  <si>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</si>
  <si>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</si>
  <si>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</si>
  <si>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</si>
  <si>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</si>
  <si>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</si>
  <si>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</si>
  <si>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</si>
  <si>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</si>
  <si>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</si>
  <si>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</si>
  <si>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</si>
  <si>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</si>
  <si>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</si>
  <si>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</si>
  <si>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</si>
  <si>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</si>
  <si>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</si>
  <si>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</si>
  <si>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</si>
  <si>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</si>
  <si>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</si>
  <si>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</si>
  <si>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</si>
  <si>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</si>
  <si>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</si>
  <si>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</si>
  <si>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</si>
  <si>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</si>
  <si>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</si>
  <si>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</si>
  <si>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</si>
  <si>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</si>
  <si>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</si>
  <si>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</si>
  <si>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</si>
  <si>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</si>
  <si>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</si>
  <si>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</si>
  <si>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</si>
  <si>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</si>
  <si>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</si>
  <si>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</si>
  <si>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</si>
  <si>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</si>
  <si>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</si>
  <si>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</si>
  <si>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</si>
  <si>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</si>
  <si>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</si>
  <si>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</si>
  <si>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</si>
  <si>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</si>
  <si>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</si>
  <si>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</si>
  <si>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</si>
  <si>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</si>
  <si>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</si>
  <si>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</si>
  <si>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</si>
  <si>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</si>
  <si>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</si>
  <si>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</si>
  <si>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</si>
  <si>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</si>
  <si>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</si>
  <si>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</si>
  <si>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</si>
  <si>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</si>
  <si>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</si>
  <si>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</si>
  <si>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</si>
  <si>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</si>
  <si>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</si>
  <si>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</si>
  <si>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</si>
  <si>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</si>
  <si>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</si>
  <si>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</si>
  <si>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</si>
  <si>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</si>
  <si>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</si>
  <si>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</si>
  <si>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</si>
  <si>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</si>
  <si>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</si>
  <si>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</si>
  <si>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</si>
  <si>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</si>
  <si>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</si>
  <si>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</si>
  <si>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</si>
  <si>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</si>
  <si>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</si>
  <si>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</si>
  <si>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</si>
  <si>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</si>
  <si>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</si>
  <si>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</si>
  <si>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</si>
  <si>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</si>
  <si>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</si>
  <si>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</si>
  <si>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</si>
  <si>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</si>
  <si>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</si>
  <si>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</si>
  <si>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</si>
  <si>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</si>
  <si>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</si>
  <si>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</si>
  <si>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</si>
  <si>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</si>
  <si>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</si>
  <si>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</si>
  <si>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</si>
  <si>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</si>
  <si>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</si>
  <si>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</si>
  <si>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</si>
  <si>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</si>
  <si>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</si>
  <si>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</si>
  <si>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</si>
  <si>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</si>
  <si>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</si>
  <si>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</si>
  <si>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</si>
  <si>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</si>
  <si>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</si>
  <si>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</si>
  <si>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</si>
  <si>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</si>
  <si>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</si>
  <si>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</si>
  <si>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</si>
  <si>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</si>
  <si>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</si>
  <si>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</si>
  <si>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</si>
  <si>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</si>
  <si>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</si>
  <si>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</si>
  <si>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</si>
  <si>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</si>
  <si>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</si>
  <si>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</si>
  <si>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</si>
  <si>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</si>
  <si>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</si>
  <si>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</si>
  <si>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</si>
  <si>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</si>
  <si>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</si>
  <si>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</si>
  <si>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</si>
  <si>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</si>
  <si>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</si>
  <si>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</si>
  <si>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</si>
  <si>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</si>
  <si>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</si>
  <si>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</si>
  <si>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</si>
  <si>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</si>
  <si>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</si>
  <si>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</si>
  <si>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</si>
  <si>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</si>
  <si>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</si>
  <si>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</si>
  <si>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</si>
  <si>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</si>
  <si>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</si>
  <si>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</si>
  <si>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</si>
  <si>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</si>
  <si>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</si>
  <si>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</si>
  <si>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</si>
  <si>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</si>
  <si>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</si>
  <si>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</si>
  <si>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</si>
  <si>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</si>
  <si>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</si>
  <si>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</si>
  <si>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</si>
  <si>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</si>
  <si>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</si>
  <si>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</si>
  <si>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</si>
  <si>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</si>
  <si>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</si>
  <si>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</si>
  <si>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</si>
  <si>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</si>
  <si>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</si>
  <si>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</si>
  <si>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</si>
  <si>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</si>
  <si>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</si>
  <si>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</si>
  <si>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</si>
  <si>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</si>
  <si>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</si>
  <si>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</si>
  <si>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</si>
  <si>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</si>
  <si>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</si>
  <si>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</si>
  <si>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</si>
  <si>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</si>
  <si>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</si>
  <si>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</si>
  <si>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</si>
  <si>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</si>
  <si>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</si>
  <si>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</si>
  <si>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</si>
  <si>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</si>
  <si>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</si>
  <si>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</si>
  <si>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</si>
  <si>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</si>
  <si>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</si>
  <si>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</si>
  <si>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</si>
  <si>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</si>
  <si>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</si>
  <si>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</si>
  <si>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</si>
  <si>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</si>
  <si>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</si>
  <si>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</si>
  <si>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</si>
  <si>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</si>
  <si>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</si>
  <si>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</si>
  <si>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</si>
  <si>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</si>
  <si>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</si>
  <si>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</si>
  <si>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</si>
  <si>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</si>
  <si>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</si>
  <si>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</si>
  <si>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</si>
  <si>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</si>
  <si>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</si>
  <si>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</si>
  <si>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</si>
  <si>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</si>
  <si>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</si>
  <si>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</si>
  <si>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</si>
  <si>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</si>
  <si>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</si>
  <si>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</si>
  <si>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</si>
  <si>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</si>
  <si>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</si>
  <si>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</si>
  <si>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</si>
  <si>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</si>
  <si>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</si>
  <si>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</si>
  <si>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</si>
  <si>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</si>
  <si>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</si>
  <si>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</si>
  <si>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</si>
  <si>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</si>
  <si>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</si>
  <si>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</si>
  <si>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</si>
  <si>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</si>
  <si>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</si>
  <si>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</si>
  <si>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</si>
  <si>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</si>
  <si>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</si>
  <si>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</si>
  <si>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</si>
  <si>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</si>
  <si>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</si>
  <si>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</si>
  <si>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</si>
  <si>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</si>
  <si>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</si>
  <si>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</si>
  <si>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</si>
  <si>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</si>
  <si>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</si>
  <si>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</si>
  <si>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</si>
  <si>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</si>
  <si>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</si>
  <si>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</si>
  <si>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</si>
  <si>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</si>
  <si>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</si>
  <si>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</si>
  <si>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</si>
  <si>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</si>
  <si>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</si>
  <si>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</si>
  <si>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</si>
  <si>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</si>
  <si>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</si>
  <si>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</si>
  <si>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</si>
  <si>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</si>
  <si>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</si>
  <si>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</si>
  <si>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</si>
  <si>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</si>
  <si>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</si>
  <si>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</si>
  <si>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</si>
  <si>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</si>
  <si>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</si>
  <si>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</si>
  <si>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</si>
  <si>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</si>
  <si>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</si>
  <si>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</si>
  <si>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</si>
  <si>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</si>
  <si>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</si>
  <si>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</si>
  <si>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</si>
  <si>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</si>
  <si>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</si>
  <si>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</si>
  <si>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</si>
  <si>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</si>
  <si>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</si>
  <si>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</si>
  <si>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</si>
  <si>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</si>
  <si>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</si>
  <si>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</si>
  <si>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</si>
  <si>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</si>
  <si>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</si>
  <si>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</si>
  <si>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</si>
  <si>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</si>
  <si>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</si>
  <si>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</si>
  <si>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</si>
  <si>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</si>
  <si>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</si>
  <si>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</si>
  <si>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</si>
  <si>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</si>
  <si>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</si>
  <si>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</si>
  <si>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</si>
  <si>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</si>
  <si>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</si>
  <si>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</si>
  <si>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</si>
  <si>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</si>
  <si>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</si>
  <si>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</si>
  <si>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</si>
  <si>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</si>
  <si>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</si>
  <si>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</si>
  <si>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</si>
  <si>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</si>
  <si>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</si>
  <si>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</si>
  <si>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</si>
  <si>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</si>
  <si>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</si>
  <si>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</si>
  <si>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</si>
  <si>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</si>
  <si>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</si>
  <si>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</si>
  <si>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</si>
  <si>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</si>
  <si>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</si>
  <si>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</si>
  <si>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</si>
  <si>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</si>
  <si>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</si>
  <si>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</si>
  <si>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</si>
  <si>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</si>
  <si>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</si>
  <si>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</si>
  <si>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</si>
  <si>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</si>
  <si>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</si>
  <si>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</si>
  <si>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</si>
  <si>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</si>
  <si>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</si>
  <si>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</si>
  <si>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</si>
  <si>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</si>
  <si>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</si>
  <si>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</si>
  <si>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</si>
  <si>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</si>
  <si>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</si>
  <si>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</si>
  <si>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</si>
  <si>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</si>
  <si>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</si>
  <si>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</si>
  <si>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</si>
  <si>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</si>
  <si>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</si>
  <si>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</si>
  <si>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</si>
  <si>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</si>
  <si>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</si>
  <si>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</si>
  <si>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</si>
  <si>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</si>
  <si>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</si>
  <si>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</si>
  <si>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</si>
  <si>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</si>
  <si>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</si>
  <si>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</si>
  <si>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</si>
  <si>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</si>
  <si>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</si>
  <si>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</si>
  <si>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</si>
  <si>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</si>
  <si>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</si>
  <si>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产权为自然人，免征</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</si>
  <si>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</si>
  <si>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</si>
  <si>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</si>
  <si>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</si>
  <si>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</si>
  <si>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</si>
  <si>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</si>
  <si>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</si>
  <si>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</si>
  <si>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</si>
  <si>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</si>
  <si>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</si>
  <si>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</si>
  <si>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</si>
  <si>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</si>
  <si>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</si>
  <si>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</si>
  <si>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</si>
  <si>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</si>
  <si>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</si>
  <si>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</si>
  <si>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</si>
  <si>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</si>
  <si>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</si>
  <si>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</si>
  <si>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</si>
  <si>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</si>
  <si>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</si>
  <si>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武警</t>
    <phoneticPr fontId="6" type="noConversion"/>
  </si>
  <si>
    <t>地上</t>
  </si>
  <si>
    <t>住宅</t>
  </si>
  <si>
    <t>住宅</t>
    <phoneticPr fontId="7" type="noConversion"/>
  </si>
  <si>
    <t>是</t>
  </si>
  <si>
    <t>成新度</t>
  </si>
  <si>
    <t>收益法 (元)</t>
  </si>
  <si>
    <t>单套模式</t>
  </si>
  <si>
    <t>售价</t>
  </si>
  <si>
    <t>正常</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</si>
  <si>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</si>
  <si>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</si>
  <si>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</si>
  <si>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</si>
  <si>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</si>
  <si>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</si>
  <si>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</si>
  <si>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较好</t>
  </si>
  <si>
    <t>楼层</t>
    <phoneticPr fontId="134"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</si>
  <si>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比较价值（月租金单价，元</t>
    </r>
    <r>
      <rPr>
        <b/>
        <sz val="11"/>
        <rFont val="Arial"/>
        <family val="2"/>
      </rPr>
      <t>/</t>
    </r>
    <r>
      <rPr>
        <b/>
        <sz val="11"/>
        <rFont val="宋体"/>
        <family val="3"/>
        <charset val="134"/>
      </rPr>
      <t>平方米</t>
    </r>
    <r>
      <rPr>
        <b/>
        <sz val="11"/>
        <rFont val="Arial"/>
        <family val="2"/>
      </rPr>
      <t>/</t>
    </r>
    <r>
      <rPr>
        <b/>
        <sz val="11"/>
        <rFont val="宋体"/>
        <family val="3"/>
        <charset val="134"/>
      </rPr>
      <t>月）</t>
    </r>
    <phoneticPr fontId="3" type="noConversion"/>
  </si>
  <si>
    <t>七通</t>
  </si>
  <si>
    <t>租金（元/月)</t>
    <phoneticPr fontId="134" type="noConversion"/>
  </si>
  <si>
    <t>月单价（元/平方米/月）</t>
    <phoneticPr fontId="134" type="noConversion"/>
  </si>
  <si>
    <t>面积（平方米）</t>
    <phoneticPr fontId="134" type="noConversion"/>
  </si>
  <si>
    <t>物业（元/平方米/月）</t>
    <phoneticPr fontId="134" type="noConversion"/>
  </si>
  <si>
    <t>供暖（元/平方米/月）</t>
    <phoneticPr fontId="134" type="noConversion"/>
  </si>
  <si>
    <t>朝向</t>
    <phoneticPr fontId="134" type="noConversion"/>
  </si>
  <si>
    <t>南北</t>
  </si>
  <si>
    <t>南北</t>
    <phoneticPr fontId="134" type="noConversion"/>
  </si>
  <si>
    <t>净租金（元/平方米/月）</t>
    <phoneticPr fontId="134" type="noConversion"/>
  </si>
  <si>
    <t>东南</t>
  </si>
  <si>
    <t>西南</t>
  </si>
  <si>
    <t>东北</t>
  </si>
  <si>
    <t>北</t>
  </si>
  <si>
    <t>多层板楼</t>
  </si>
  <si>
    <t>高层板楼</t>
  </si>
  <si>
    <t>超高层板楼</t>
  </si>
  <si>
    <t>板塔结合</t>
  </si>
  <si>
    <t>塔楼</t>
  </si>
  <si>
    <t>钢结构</t>
  </si>
  <si>
    <t>钢混</t>
  </si>
  <si>
    <t>砖混</t>
  </si>
  <si>
    <t>混合</t>
  </si>
  <si>
    <t>框架</t>
  </si>
  <si>
    <t>精装修</t>
  </si>
  <si>
    <t>普通装修</t>
  </si>
  <si>
    <t>简单装修</t>
    <phoneticPr fontId="3" type="noConversion"/>
  </si>
  <si>
    <t>毛坯</t>
  </si>
  <si>
    <t>专业</t>
  </si>
  <si>
    <t>普通</t>
  </si>
  <si>
    <t>单位自管</t>
  </si>
  <si>
    <t>居委会</t>
  </si>
  <si>
    <t>六通</t>
  </si>
  <si>
    <t>五通</t>
  </si>
  <si>
    <t>四通</t>
  </si>
  <si>
    <t>三通</t>
  </si>
  <si>
    <t>复式</t>
  </si>
  <si>
    <t>平层</t>
  </si>
  <si>
    <t>简单装修</t>
  </si>
  <si>
    <t>售价（元/平方米)</t>
    <phoneticPr fontId="134" type="noConversion"/>
  </si>
  <si>
    <t>西南</t>
    <phoneticPr fontId="134" type="noConversion"/>
  </si>
  <si>
    <t>东南</t>
    <phoneticPr fontId="134" type="noConversion"/>
  </si>
  <si>
    <t>西北</t>
    <phoneticPr fontId="134" type="noConversion"/>
  </si>
  <si>
    <t>比较法-住宅</t>
  </si>
  <si>
    <t>现房</t>
  </si>
  <si>
    <r>
      <t>估价对象</t>
    </r>
    <r>
      <rPr>
        <sz val="9"/>
        <rFont val="宋体"/>
        <family val="3"/>
        <charset val="134"/>
      </rPr>
      <t>结果一览表</t>
    </r>
    <phoneticPr fontId="3" type="noConversion"/>
  </si>
  <si>
    <t>不含物业费、供暖制冷费、水电费、天然气费、通讯费、有线电视费、车位费、上网宽带费等</t>
    <phoneticPr fontId="134" type="noConversion"/>
  </si>
  <si>
    <t>服务费</t>
    <phoneticPr fontId="134" type="noConversion"/>
  </si>
  <si>
    <t>供暖费</t>
  </si>
  <si>
    <t>物业费</t>
  </si>
  <si>
    <t>月租金（元/套）</t>
    <phoneticPr fontId="134" type="noConversion"/>
  </si>
  <si>
    <t>低楼层/17</t>
    <phoneticPr fontId="134" type="noConversion"/>
  </si>
  <si>
    <t>自然人</t>
  </si>
  <si>
    <t>北京市</t>
  </si>
  <si>
    <t>市政集体供暖30元/平米/季</t>
  </si>
  <si>
    <t>海淀区知春里2号楼601室</t>
  </si>
  <si>
    <t>知春里</t>
  </si>
  <si>
    <t>0.8至1.2元/平米/月</t>
  </si>
  <si>
    <t>物业名称</t>
    <phoneticPr fontId="134" type="noConversion"/>
  </si>
  <si>
    <t>知春里</t>
    <phoneticPr fontId="134" type="noConversion"/>
  </si>
  <si>
    <t>东北</t>
    <phoneticPr fontId="134" type="noConversion"/>
  </si>
  <si>
    <r>
      <t>6</t>
    </r>
    <r>
      <rPr>
        <sz val="11"/>
        <color theme="1"/>
        <rFont val="宋体"/>
        <family val="3"/>
        <charset val="134"/>
        <scheme val="minor"/>
      </rPr>
      <t>/18</t>
    </r>
    <phoneticPr fontId="134" type="noConversion"/>
  </si>
  <si>
    <t>东南北</t>
    <phoneticPr fontId="134" type="noConversion"/>
  </si>
  <si>
    <t>西南北</t>
    <phoneticPr fontId="134" type="noConversion"/>
  </si>
  <si>
    <t>高楼层/18</t>
    <phoneticPr fontId="134" type="noConversion"/>
  </si>
  <si>
    <t>中楼层/18</t>
    <phoneticPr fontId="134" type="noConversion"/>
  </si>
  <si>
    <t>低楼层/18</t>
    <phoneticPr fontId="134" type="noConversion"/>
  </si>
  <si>
    <t>知春里</t>
    <phoneticPr fontId="3" type="noConversion"/>
  </si>
  <si>
    <r>
      <t>30-40</t>
    </r>
    <r>
      <rPr>
        <sz val="11"/>
        <rFont val="宋体"/>
        <family val="3"/>
        <charset val="134"/>
      </rPr>
      <t>（含）</t>
    </r>
    <phoneticPr fontId="134" type="noConversion"/>
  </si>
  <si>
    <r>
      <t>30-40</t>
    </r>
    <r>
      <rPr>
        <sz val="11"/>
        <rFont val="宋体"/>
        <family val="3"/>
        <charset val="134"/>
      </rPr>
      <t>（含）</t>
    </r>
    <phoneticPr fontId="134" type="noConversion"/>
  </si>
  <si>
    <r>
      <rPr>
        <sz val="11"/>
        <color indexed="8"/>
        <rFont val="宋体"/>
        <family val="3"/>
        <charset val="134"/>
      </rPr>
      <t>低楼层</t>
    </r>
    <r>
      <rPr>
        <sz val="11"/>
        <color indexed="8"/>
        <rFont val="Arial"/>
        <family val="3"/>
        <charset val="134"/>
      </rPr>
      <t>/18</t>
    </r>
    <phoneticPr fontId="134" type="noConversion"/>
  </si>
  <si>
    <r>
      <rPr>
        <sz val="11"/>
        <color indexed="8"/>
        <rFont val="宋体"/>
        <family val="3"/>
        <charset val="134"/>
      </rPr>
      <t>高楼层</t>
    </r>
    <r>
      <rPr>
        <sz val="11"/>
        <color indexed="8"/>
        <rFont val="Arial"/>
        <family val="2"/>
      </rPr>
      <t>/18</t>
    </r>
    <phoneticPr fontId="134" type="noConversion"/>
  </si>
  <si>
    <r>
      <rPr>
        <sz val="11"/>
        <color indexed="8"/>
        <rFont val="宋体"/>
        <family val="3"/>
        <charset val="134"/>
      </rPr>
      <t>中楼层</t>
    </r>
    <r>
      <rPr>
        <sz val="11"/>
        <color indexed="8"/>
        <rFont val="Arial"/>
        <family val="2"/>
      </rPr>
      <t>/18</t>
    </r>
    <phoneticPr fontId="134" type="noConversion"/>
  </si>
  <si>
    <r>
      <rPr>
        <sz val="11"/>
        <color indexed="8"/>
        <rFont val="宋体"/>
        <family val="3"/>
        <charset val="134"/>
      </rPr>
      <t>低楼层</t>
    </r>
    <r>
      <rPr>
        <sz val="11"/>
        <color indexed="8"/>
        <rFont val="Arial"/>
        <family val="2"/>
      </rPr>
      <t>/18</t>
    </r>
    <phoneticPr fontId="134" type="noConversion"/>
  </si>
  <si>
    <t>市场正常租金（元/套/月）</t>
    <phoneticPr fontId="134" type="noConversion"/>
  </si>
  <si>
    <t>合同约定租金（元/套/月）</t>
    <phoneticPr fontId="134" type="noConversion"/>
  </si>
  <si>
    <t>24个月租金合计（元）</t>
    <phoneticPr fontId="134" type="noConversion"/>
  </si>
  <si>
    <t>服务费(元）</t>
    <phoneticPr fontId="134" type="noConversion"/>
  </si>
  <si>
    <t>服务费（元/月）</t>
    <phoneticPr fontId="134" type="noConversion"/>
  </si>
  <si>
    <t>合同约定租金+服务费（元/月）</t>
    <phoneticPr fontId="134" type="noConversion"/>
  </si>
  <si>
    <t>市场正常租金+服务费（元/月</t>
    <phoneticPr fontId="134" type="noConversion"/>
  </si>
  <si>
    <t>室内设施设备</t>
    <phoneticPr fontId="134" type="noConversion"/>
  </si>
  <si>
    <t>生活设施、家具电器配备齐全</t>
    <phoneticPr fontId="134" type="noConversion"/>
  </si>
  <si>
    <t>生活设施、家具配备齐全</t>
    <phoneticPr fontId="134" type="noConversion"/>
  </si>
  <si>
    <t>南</t>
    <phoneticPr fontId="134" type="noConversion"/>
  </si>
  <si>
    <t>东西</t>
    <phoneticPr fontId="134" type="noConversion"/>
  </si>
  <si>
    <t>东</t>
    <phoneticPr fontId="134" type="noConversion"/>
  </si>
  <si>
    <t>西</t>
    <phoneticPr fontId="134" type="noConversion"/>
  </si>
  <si>
    <t>北</t>
    <phoneticPr fontId="134" type="noConversion"/>
  </si>
  <si>
    <t>1987</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</si>
</sst>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sz val="10"/>
      <name val="宋体"/>
      <family val="3"/>
      <charset val="134"/>
      <scheme val="major"/>
    </font>
    <font>
      <sz val="10"/>
      <color theme="1"/>
      <name val="宋体"/>
      <family val="3"/>
      <charset val="134"/>
      <scheme val="major"/>
    </font>
    <font>
      <sz val="10"/>
      <color indexed="10"/>
      <name val="仿宋_GB2312"/>
      <family val="3"/>
      <charset val="134"/>
    </font>
    <font>
      <sz val="9"/>
      <color rgb="FFFF0000"/>
      <name val="宋体"/>
      <family val="3"/>
      <charset val="134"/>
      <scheme val="minor"/>
    </font>
    <font>
      <b/>
      <sz val="11"/>
      <name val="Arial"/>
      <family val="3"/>
      <charset val="134"/>
    </font>
    <font>
      <sz val="11"/>
      <color indexed="8"/>
      <name val="Arial"/>
      <family val="3"/>
      <charset val="134"/>
    </font>
    <font>
      <sz val="11"/>
      <name val="楷体_GB2312"/>
      <family val="3"/>
      <charset val="134"/>
    </font>
    <font>
      <b/>
      <sz val="9"/>
      <color rgb="FFFF0000"/>
      <name val="宋体"/>
      <family val="3"/>
      <charset val="134"/>
      <scheme val="minor"/>
    </font>
    <font>
      <sz val="11"/>
      <color rgb="FFFF0000"/>
      <name val="宋体"/>
      <family val="3"/>
      <charset val="134"/>
      <scheme val="minor"/>
    </font>
    <font>
      <sz val="11"/>
      <color rgb="FF000000"/>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
      <patternFill patternType="solid">
        <fgColor rgb="FFFFC000"/>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9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69" fillId="0" borderId="1" xfId="10" applyFont="1" applyBorder="1" applyAlignment="1">
      <alignment horizontal="left" vertical="center" wrapText="1" shrinkToFit="1"/>
    </xf>
    <xf numFmtId="9" fontId="270" fillId="0" borderId="1" xfId="10" applyNumberFormat="1" applyFont="1" applyBorder="1" applyAlignment="1">
      <alignment horizontal="center" vertical="center" wrapText="1" shrinkToFi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1" xfId="10" applyFont="1" applyBorder="1" applyAlignment="1">
      <alignment horizontal="center" vertical="center" wrapText="1" shrinkToFit="1"/>
    </xf>
    <xf numFmtId="49" fontId="269" fillId="0" borderId="1" xfId="10" applyNumberFormat="1"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3" fillId="0" borderId="1" xfId="10" applyNumberFormat="1" applyFont="1" applyBorder="1" applyAlignment="1">
      <alignment horizontal="center" vertical="center" wrapText="1" shrinkToFit="1"/>
    </xf>
    <xf numFmtId="179" fontId="273" fillId="0" borderId="1" xfId="10" applyNumberFormat="1" applyFont="1" applyBorder="1" applyAlignment="1">
      <alignment horizontal="center" vertical="center" wrapText="1" shrinkToFit="1"/>
    </xf>
    <xf numFmtId="0" fontId="110" fillId="0" borderId="0" xfId="10" applyFont="1" applyAlignment="1">
      <alignment horizontal="center" vertical="center"/>
    </xf>
    <xf numFmtId="9" fontId="274" fillId="22" borderId="1" xfId="10" applyNumberFormat="1" applyFont="1" applyFill="1" applyBorder="1" applyAlignment="1">
      <alignment horizontal="center" vertical="center" wrapTex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69"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181" fontId="110" fillId="0" borderId="0" xfId="10" applyNumberFormat="1" applyFont="1" applyAlignment="1">
      <alignment horizontal="center"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180" fontId="110" fillId="0" borderId="54" xfId="10" applyNumberFormat="1" applyFont="1" applyBorder="1" applyAlignment="1">
      <alignment horizontal="center" vertical="center" wrapText="1" shrinkToFit="1"/>
    </xf>
    <xf numFmtId="0" fontId="110" fillId="0" borderId="3" xfId="10" applyFont="1" applyBorder="1" applyAlignment="1">
      <alignment horizontal="left" vertical="center" wrapText="1" shrinkToFit="1"/>
    </xf>
    <xf numFmtId="10"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0" fontId="110" fillId="0" borderId="5" xfId="10" applyFont="1" applyBorder="1" applyAlignment="1">
      <alignment horizontal="right" vertical="center" wrapText="1" shrinkToFit="1"/>
    </xf>
    <xf numFmtId="49" fontId="110" fillId="0" borderId="54" xfId="10" applyNumberFormat="1" applyFont="1" applyBorder="1" applyAlignment="1">
      <alignment horizontal="center" vertical="center" wrapText="1" shrinkToFit="1"/>
    </xf>
    <xf numFmtId="0" fontId="275" fillId="0" borderId="0" xfId="10" applyFont="1">
      <alignment vertical="center"/>
    </xf>
    <xf numFmtId="182" fontId="110" fillId="0" borderId="0" xfId="10" applyNumberFormat="1" applyFont="1" applyAlignment="1">
      <alignment horizontal="center" vertical="center"/>
    </xf>
    <xf numFmtId="9" fontId="110" fillId="0" borderId="1" xfId="10" applyNumberFormat="1" applyFont="1" applyBorder="1" applyAlignment="1">
      <alignment horizontal="center" vertical="center" wrapText="1" shrinkToFit="1"/>
    </xf>
    <xf numFmtId="10" fontId="110" fillId="0" borderId="0" xfId="10" applyNumberFormat="1" applyFont="1" applyAlignment="1">
      <alignment horizontal="center" vertical="center"/>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77" fillId="0" borderId="0" xfId="10" applyFont="1" applyAlignment="1">
      <alignment horizontal="center" vertical="center" wrapText="1"/>
    </xf>
    <xf numFmtId="0" fontId="246" fillId="0" borderId="1" xfId="10" applyFont="1" applyBorder="1" applyAlignment="1">
      <alignment horizontal="center" vertical="center" wrapText="1"/>
    </xf>
    <xf numFmtId="0" fontId="77" fillId="7" borderId="150" xfId="0" applyFont="1" applyFill="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51" fillId="6" borderId="44" xfId="0" applyFont="1" applyFill="1" applyBorder="1" applyAlignment="1" applyProtection="1">
      <alignment horizontal="center" vertical="center" wrapText="1"/>
      <protection locked="0"/>
    </xf>
    <xf numFmtId="0" fontId="51" fillId="6" borderId="78" xfId="0"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7" borderId="44" xfId="0" applyFont="1" applyFill="1" applyBorder="1" applyAlignment="1" applyProtection="1">
      <alignment horizontal="center" vertical="center" wrapText="1"/>
      <protection locked="0"/>
    </xf>
    <xf numFmtId="49" fontId="278" fillId="0" borderId="42" xfId="0" applyNumberFormat="1" applyFont="1" applyFill="1" applyBorder="1" applyAlignment="1" applyProtection="1">
      <alignment vertical="center"/>
      <protection locked="0"/>
    </xf>
    <xf numFmtId="0" fontId="107" fillId="0" borderId="1" xfId="0" applyFont="1" applyBorder="1" applyAlignment="1">
      <alignment horizontal="center" vertical="center" wrapText="1"/>
    </xf>
    <xf numFmtId="0" fontId="107" fillId="0" borderId="0" xfId="0" applyFont="1" applyAlignment="1">
      <alignment vertical="center" wrapText="1"/>
    </xf>
    <xf numFmtId="0" fontId="107" fillId="0" borderId="1" xfId="0" applyFont="1" applyBorder="1" applyAlignment="1">
      <alignment horizontal="center" vertical="center"/>
    </xf>
    <xf numFmtId="0" fontId="107" fillId="0" borderId="0" xfId="0" applyFont="1">
      <alignment vertical="center"/>
    </xf>
    <xf numFmtId="0" fontId="270" fillId="0" borderId="1" xfId="0" applyFont="1" applyBorder="1" applyAlignment="1">
      <alignment horizontal="center" vertical="center"/>
    </xf>
    <xf numFmtId="0" fontId="22"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left" vertical="center" wrapText="1"/>
      <protection locked="0"/>
    </xf>
    <xf numFmtId="0" fontId="128" fillId="0" borderId="45" xfId="0" applyFont="1" applyBorder="1" applyAlignment="1" applyProtection="1">
      <alignment horizontal="left" vertical="center" wrapText="1"/>
      <protection locked="0"/>
    </xf>
    <xf numFmtId="0" fontId="279" fillId="0" borderId="44" xfId="0" applyNumberFormat="1" applyFont="1" applyFill="1" applyBorder="1" applyAlignment="1" applyProtection="1">
      <alignment horizontal="center" vertical="center" wrapText="1"/>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4" fillId="0" borderId="0" xfId="0" applyFont="1" applyAlignment="1" applyProtection="1">
      <alignment horizontal="left" vertical="center"/>
      <protection locked="0"/>
    </xf>
    <xf numFmtId="0" fontId="94" fillId="0" borderId="30" xfId="0" applyFont="1" applyBorder="1" applyAlignment="1" applyProtection="1">
      <alignment horizontal="center" vertical="center" wrapText="1"/>
      <protection locked="0"/>
    </xf>
    <xf numFmtId="0" fontId="279" fillId="0" borderId="41" xfId="0" applyNumberFormat="1" applyFont="1" applyFill="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95" fillId="0" borderId="0" xfId="10" applyFont="1">
      <alignment vertical="center"/>
    </xf>
    <xf numFmtId="0" fontId="95" fillId="0" borderId="0" xfId="10" applyFont="1" applyAlignment="1"/>
    <xf numFmtId="0" fontId="95" fillId="0" borderId="0" xfId="10" applyFont="1" applyAlignment="1">
      <alignment vertical="center" wrapText="1"/>
    </xf>
    <xf numFmtId="9" fontId="274" fillId="0" borderId="1" xfId="10" applyNumberFormat="1" applyFont="1" applyBorder="1" applyAlignment="1">
      <alignment horizontal="center" vertical="center" wrapText="1"/>
    </xf>
    <xf numFmtId="0" fontId="95" fillId="0" borderId="0" xfId="10" applyFont="1" applyAlignment="1">
      <alignment vertical="center" wrapText="1" shrinkToFit="1"/>
    </xf>
    <xf numFmtId="179" fontId="95" fillId="0" borderId="0" xfId="10" applyNumberFormat="1" applyFont="1">
      <alignment vertical="center"/>
    </xf>
    <xf numFmtId="0" fontId="95" fillId="0" borderId="0" xfId="10" applyFont="1" applyAlignment="1">
      <alignment horizontal="left" vertical="center" wrapText="1"/>
    </xf>
    <xf numFmtId="0" fontId="95" fillId="0" borderId="0" xfId="10" applyFont="1" applyAlignment="1">
      <alignment horizontal="center" vertical="center" wrapText="1"/>
    </xf>
    <xf numFmtId="9" fontId="134" fillId="24" borderId="1" xfId="10" applyNumberFormat="1" applyFont="1" applyFill="1" applyBorder="1" applyAlignment="1">
      <alignment horizontal="center" vertical="center" wrapText="1"/>
    </xf>
    <xf numFmtId="0" fontId="256" fillId="0" borderId="1" xfId="0" applyFont="1" applyBorder="1" applyAlignment="1">
      <alignment horizontal="center" vertical="center"/>
    </xf>
    <xf numFmtId="0" fontId="246" fillId="0" borderId="1" xfId="0" applyFont="1" applyBorder="1" applyAlignment="1">
      <alignment horizontal="center" vertical="center"/>
    </xf>
    <xf numFmtId="9" fontId="95" fillId="0" borderId="0" xfId="10" applyNumberFormat="1" applyFont="1" applyAlignment="1">
      <alignment horizontal="center" vertical="center" wrapText="1"/>
    </xf>
    <xf numFmtId="0" fontId="246" fillId="0" borderId="3" xfId="10" applyFont="1" applyBorder="1" applyAlignment="1">
      <alignment horizontal="center" vertical="center" wrapText="1"/>
    </xf>
    <xf numFmtId="0" fontId="282" fillId="0" borderId="1" xfId="0" applyFont="1" applyBorder="1" applyAlignment="1">
      <alignment horizontal="center" vertical="center"/>
    </xf>
    <xf numFmtId="0" fontId="95" fillId="0" borderId="0" xfId="0" applyFont="1">
      <alignment vertical="center"/>
    </xf>
    <xf numFmtId="49" fontId="95" fillId="0" borderId="0" xfId="0" applyNumberFormat="1" applyFont="1">
      <alignment vertical="center"/>
    </xf>
    <xf numFmtId="0" fontId="128" fillId="0" borderId="44" xfId="0" applyNumberFormat="1" applyFont="1" applyFill="1" applyBorder="1" applyAlignment="1" applyProtection="1">
      <alignment horizontal="center" vertical="center" wrapText="1"/>
      <protection locked="0"/>
    </xf>
    <xf numFmtId="0" fontId="269" fillId="0" borderId="1" xfId="0" applyFont="1" applyBorder="1" applyAlignment="1">
      <alignment horizontal="center" vertical="center"/>
    </xf>
    <xf numFmtId="0" fontId="128" fillId="0" borderId="41"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9" fontId="277" fillId="0" borderId="0" xfId="10" applyNumberFormat="1" applyFont="1" applyAlignment="1">
      <alignment horizontal="center" vertical="center" wrapText="1"/>
    </xf>
    <xf numFmtId="0" fontId="282" fillId="0" borderId="0" xfId="10" applyFont="1" applyAlignment="1">
      <alignment horizontal="center" vertical="center" wrapText="1"/>
    </xf>
    <xf numFmtId="178" fontId="282" fillId="5" borderId="0" xfId="10" applyNumberFormat="1" applyFont="1" applyFill="1" applyAlignment="1">
      <alignment horizontal="center" vertical="center" wrapText="1"/>
    </xf>
    <xf numFmtId="0" fontId="277" fillId="5" borderId="0" xfId="10" applyFont="1" applyFill="1" applyAlignment="1">
      <alignment horizontal="center" vertical="center" wrapText="1"/>
    </xf>
    <xf numFmtId="178" fontId="95" fillId="0" borderId="0" xfId="10" applyNumberFormat="1" applyFont="1" applyAlignment="1">
      <alignment vertical="center" wrapText="1"/>
    </xf>
    <xf numFmtId="0" fontId="283" fillId="25" borderId="44" xfId="0" applyFont="1" applyFill="1" applyBorder="1" applyAlignment="1" applyProtection="1">
      <alignment horizontal="center" vertical="center" wrapText="1"/>
      <protection locked="0"/>
    </xf>
    <xf numFmtId="0" fontId="94" fillId="25" borderId="44" xfId="0" applyFont="1" applyFill="1" applyBorder="1" applyAlignment="1" applyProtection="1">
      <alignment horizontal="center" vertical="center" wrapText="1"/>
      <protection locked="0"/>
    </xf>
    <xf numFmtId="0" fontId="128" fillId="25" borderId="0" xfId="0" applyFont="1" applyFill="1" applyAlignment="1" applyProtection="1">
      <alignment horizontal="center" vertical="center"/>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07" fillId="0" borderId="0" xfId="10" applyFont="1" applyAlignment="1">
      <alignment horizontal="center" vertical="center" wrapText="1"/>
    </xf>
    <xf numFmtId="0" fontId="95" fillId="0" borderId="1" xfId="10" applyFont="1"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Font="1"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5" borderId="54" xfId="10" applyNumberFormat="1" applyFont="1" applyFill="1" applyBorder="1" applyAlignment="1">
      <alignment horizontal="left" vertical="center" wrapText="1" shrinkToFit="1"/>
    </xf>
    <xf numFmtId="10" fontId="110" fillId="5" borderId="3" xfId="10" applyNumberFormat="1" applyFont="1" applyFill="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0" fontId="110" fillId="0" borderId="5" xfId="10" applyNumberFormat="1" applyFont="1" applyBorder="1" applyAlignment="1">
      <alignment horizontal="center" vertical="center" wrapText="1" shrinkToFit="1"/>
    </xf>
    <xf numFmtId="10" fontId="110" fillId="0" borderId="3"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0" fontId="246" fillId="0" borderId="1" xfId="10" applyFont="1" applyBorder="1" applyAlignment="1">
      <alignment horizontal="center" vertical="center" wrapText="1"/>
    </xf>
    <xf numFmtId="0" fontId="134" fillId="23" borderId="0" xfId="10" applyFont="1" applyFill="1" applyAlignment="1">
      <alignment horizontal="center" vertical="center" wrapText="1"/>
    </xf>
    <xf numFmtId="0" fontId="134" fillId="0" borderId="1" xfId="10" applyFont="1" applyBorder="1" applyAlignment="1">
      <alignment horizontal="center" vertical="center" wrapText="1"/>
    </xf>
    <xf numFmtId="179" fontId="134" fillId="0" borderId="1" xfId="10" applyNumberFormat="1" applyFont="1" applyBorder="1" applyAlignment="1">
      <alignment horizontal="center" vertical="center" wrapText="1"/>
    </xf>
    <xf numFmtId="179" fontId="281" fillId="0" borderId="1" xfId="10" applyNumberFormat="1" applyFont="1" applyBorder="1" applyAlignment="1">
      <alignment horizontal="center" vertical="center" wrapText="1"/>
    </xf>
    <xf numFmtId="0" fontId="246" fillId="0" borderId="0" xfId="10" applyFont="1" applyAlignment="1">
      <alignment horizontal="center" vertical="center" wrapText="1"/>
    </xf>
    <xf numFmtId="178" fontId="134" fillId="0" borderId="1" xfId="10" applyNumberFormat="1" applyFont="1" applyBorder="1" applyAlignment="1">
      <alignment horizontal="center" vertical="center" wrapText="1"/>
    </xf>
    <xf numFmtId="0" fontId="246" fillId="0" borderId="0" xfId="10" applyFont="1" applyBorder="1" applyAlignment="1">
      <alignment horizontal="center" vertical="center" wrapText="1"/>
    </xf>
    <xf numFmtId="0" fontId="281" fillId="0" borderId="1" xfId="10" applyFont="1" applyBorder="1" applyAlignment="1">
      <alignment horizontal="center" vertical="center" wrapText="1"/>
    </xf>
    <xf numFmtId="0" fontId="256" fillId="5" borderId="0" xfId="10" applyFont="1" applyFill="1" applyAlignment="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107" fillId="0" borderId="1" xfId="0" applyFont="1" applyBorder="1" applyAlignment="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221313</xdr:colOff>
      <xdr:row>34</xdr:row>
      <xdr:rowOff>132499</xdr:rowOff>
    </xdr:to>
    <xdr:pic>
      <xdr:nvPicPr>
        <xdr:cNvPr id="3" name="图片 2">
          <a:extLst>
            <a:ext uri="{FF2B5EF4-FFF2-40B4-BE49-F238E27FC236}">
              <a16:creationId xmlns:a16="http://schemas.microsoft.com/office/drawing/2014/main" id="{E7C0A04D-3A52-4AE7-AC64-2FF0A2FFEB37}"/>
            </a:ext>
          </a:extLst>
        </xdr:cNvPr>
        <xdr:cNvPicPr>
          <a:picLocks noChangeAspect="1"/>
        </xdr:cNvPicPr>
      </xdr:nvPicPr>
      <xdr:blipFill>
        <a:blip xmlns:r="http://schemas.openxmlformats.org/officeDocument/2006/relationships" r:embed="rId1"/>
        <a:stretch>
          <a:fillRect/>
        </a:stretch>
      </xdr:blipFill>
      <xdr:spPr>
        <a:xfrm>
          <a:off x="0" y="0"/>
          <a:ext cx="6393513" cy="60951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104775</xdr:colOff>
      <xdr:row>35</xdr:row>
      <xdr:rowOff>150588</xdr:rowOff>
    </xdr:from>
    <xdr:to>
      <xdr:col>19</xdr:col>
      <xdr:colOff>295275</xdr:colOff>
      <xdr:row>55</xdr:row>
      <xdr:rowOff>37683</xdr:rowOff>
    </xdr:to>
    <xdr:pic>
      <xdr:nvPicPr>
        <xdr:cNvPr id="3" name="图片 2">
          <a:extLst>
            <a:ext uri="{FF2B5EF4-FFF2-40B4-BE49-F238E27FC236}">
              <a16:creationId xmlns:a16="http://schemas.microsoft.com/office/drawing/2014/main" id="{662472D6-2D35-40B2-B03F-A21A5F74238C}"/>
            </a:ext>
          </a:extLst>
        </xdr:cNvPr>
        <xdr:cNvPicPr>
          <a:picLocks noChangeAspect="1"/>
        </xdr:cNvPicPr>
      </xdr:nvPicPr>
      <xdr:blipFill>
        <a:blip xmlns:r="http://schemas.openxmlformats.org/officeDocument/2006/relationships" r:embed="rId1"/>
        <a:stretch>
          <a:fillRect/>
        </a:stretch>
      </xdr:blipFill>
      <xdr:spPr>
        <a:xfrm>
          <a:off x="7372350" y="5351238"/>
          <a:ext cx="5610225" cy="2935095"/>
        </a:xfrm>
        <a:prstGeom prst="rect">
          <a:avLst/>
        </a:prstGeom>
      </xdr:spPr>
    </xdr:pic>
    <xdr:clientData/>
  </xdr:twoCellAnchor>
  <xdr:twoCellAnchor editAs="oneCell">
    <xdr:from>
      <xdr:col>0</xdr:col>
      <xdr:colOff>95250</xdr:colOff>
      <xdr:row>0</xdr:row>
      <xdr:rowOff>0</xdr:rowOff>
    </xdr:from>
    <xdr:to>
      <xdr:col>8</xdr:col>
      <xdr:colOff>628650</xdr:colOff>
      <xdr:row>33</xdr:row>
      <xdr:rowOff>56286</xdr:rowOff>
    </xdr:to>
    <xdr:pic>
      <xdr:nvPicPr>
        <xdr:cNvPr id="8" name="图片 7">
          <a:extLst>
            <a:ext uri="{FF2B5EF4-FFF2-40B4-BE49-F238E27FC236}">
              <a16:creationId xmlns:a16="http://schemas.microsoft.com/office/drawing/2014/main" id="{FA4F1F31-1BD6-4FF0-B8C7-4705C00EA9EF}"/>
            </a:ext>
          </a:extLst>
        </xdr:cNvPr>
        <xdr:cNvPicPr>
          <a:picLocks noChangeAspect="1"/>
        </xdr:cNvPicPr>
      </xdr:nvPicPr>
      <xdr:blipFill>
        <a:blip xmlns:r="http://schemas.openxmlformats.org/officeDocument/2006/relationships" r:embed="rId2"/>
        <a:stretch>
          <a:fillRect/>
        </a:stretch>
      </xdr:blipFill>
      <xdr:spPr>
        <a:xfrm>
          <a:off x="95250" y="0"/>
          <a:ext cx="6019800" cy="54093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3&#24180;\&#39033;&#30446;\4&#20891;&#38431;&#31199;&#37329;\&#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517</v>
      </c>
      <c r="B1" s="1195" t="s">
        <v>596</v>
      </c>
    </row>
    <row r="2" spans="1:2" s="1200" customFormat="1" ht="15" thickTop="1">
      <c r="A2" s="1198" t="s">
        <v>518</v>
      </c>
      <c r="B2" s="1199" t="str">
        <f>'预评函-封皮'!B37:I37</f>
        <v>北京市预评估</v>
      </c>
    </row>
    <row r="3" spans="1:2" s="1203" customFormat="1">
      <c r="A3" s="1201" t="s">
        <v>519</v>
      </c>
      <c r="B3" s="1202" t="str">
        <f>'预评函-封皮'!B40</f>
        <v>武警</v>
      </c>
    </row>
    <row r="4" spans="1:2" s="1203" customFormat="1">
      <c r="A4" s="1201" t="s">
        <v>520</v>
      </c>
      <c r="B4" s="1202" t="str">
        <f>'预评函-封皮'!B46</f>
        <v>（注册号：0)、（注册号：0)</v>
      </c>
    </row>
    <row r="5" spans="1:2" s="1197" customFormat="1" ht="15" thickBot="1">
      <c r="A5" s="1204" t="s">
        <v>521</v>
      </c>
      <c r="B5" s="1205" t="str">
        <f>'预评函-封皮'!B49</f>
        <v>康正预评字号</v>
      </c>
    </row>
    <row r="6" spans="1:2" s="1200" customFormat="1" ht="15" thickTop="1">
      <c r="A6" s="1198" t="s">
        <v>522</v>
      </c>
      <c r="B6" s="1199" t="str">
        <f>'预评函-1'!A4</f>
        <v>受贵公司委托，我公司对北京市进行了预评估。</v>
      </c>
    </row>
    <row r="7" spans="1:2" s="1203" customFormat="1">
      <c r="A7" s="1201" t="s">
        <v>562</v>
      </c>
      <c r="B7" s="1202" t="str">
        <f>'预评函-1'!A7</f>
        <v>估价对象为北京市房地产，为所有。根据《国有土地使用证》[]，估价对象（分摊）出让国有建设用地使用权面积为0平方米，建筑面积为85.3平方米。</v>
      </c>
    </row>
    <row r="8" spans="1:2" s="1203" customFormat="1">
      <c r="A8" s="1201" t="s">
        <v>563</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564</v>
      </c>
      <c r="B9" s="1202" t="str">
        <f>'预评函-1'!A10</f>
        <v>估价对象为北京市房地产,属开发建设的，该项目尚在开发建设中。根据《国有土地使用证》[]，估价对象（分摊）出让国有建设用地使用权面积为0平方米，规划建筑面积为85.3平方米。</v>
      </c>
    </row>
    <row r="10" spans="1:2" s="1203" customFormat="1">
      <c r="A10" s="1201" t="s">
        <v>565</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523</v>
      </c>
      <c r="B11" s="1202" t="str">
        <f>'预评函-1'!A13</f>
        <v>为估价委托人了解估价对象房地产市场价值提供参考依据。</v>
      </c>
    </row>
    <row r="12" spans="1:2" s="1203" customFormat="1">
      <c r="A12" s="1201" t="s">
        <v>524</v>
      </c>
      <c r="B12" s="1202" t="str">
        <f>'预评函-1'!A15</f>
        <v>2023年2月20日</v>
      </c>
    </row>
    <row r="13" spans="1:2" s="1203" customFormat="1">
      <c r="A13" s="1201" t="s">
        <v>525</v>
      </c>
      <c r="B13" s="1202" t="str">
        <f>'预评函-1'!A18</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4" spans="1:2" s="1203" customFormat="1">
      <c r="A14" s="1201" t="s">
        <v>526</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527</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528</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529</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530</v>
      </c>
      <c r="B18" s="1205" t="str">
        <f>'预评函-1'!A24</f>
        <v>本次评估采用的主估价方法为比较法和收益法。</v>
      </c>
    </row>
    <row r="19" spans="1:2" s="1200" customFormat="1" ht="15" thickTop="1">
      <c r="A19" s="1198" t="s">
        <v>531</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532</v>
      </c>
      <c r="B20" s="1202" t="e">
        <f ca="1">'预评函-2'!D5</f>
        <v>#REF!</v>
      </c>
    </row>
    <row r="21" spans="1:2" s="1203" customFormat="1">
      <c r="A21" s="1201" t="s">
        <v>533</v>
      </c>
      <c r="B21" s="1202" t="e">
        <f ca="1">'预评函-2'!D7</f>
        <v>#REF!</v>
      </c>
    </row>
    <row r="22" spans="1:2" s="1203" customFormat="1">
      <c r="A22" s="1201" t="s">
        <v>534</v>
      </c>
      <c r="B22" s="1202" t="e">
        <f ca="1">'预评函-2'!D6</f>
        <v>#REF!</v>
      </c>
    </row>
    <row r="23" spans="1:2" s="1203" customFormat="1">
      <c r="A23" s="1201" t="s">
        <v>585</v>
      </c>
      <c r="B23" s="1202" t="str">
        <f>'预评函-2'!B8</f>
        <v>2.估价师知悉的法定优先受偿款</v>
      </c>
    </row>
    <row r="24" spans="1:2" s="1203" customFormat="1">
      <c r="A24" s="1201" t="s">
        <v>591</v>
      </c>
      <c r="B24" s="1202">
        <f>'预评函-2'!D8</f>
        <v>0</v>
      </c>
    </row>
    <row r="25" spans="1:2" s="1203" customFormat="1">
      <c r="A25" s="1201" t="s">
        <v>535</v>
      </c>
      <c r="B25" s="1202" t="str">
        <f>'预评函-2'!D9</f>
        <v>零元整</v>
      </c>
    </row>
    <row r="26" spans="1:2" s="1203" customFormat="1">
      <c r="A26" s="1201" t="s">
        <v>536</v>
      </c>
      <c r="B26" s="1202">
        <f>'预评函-2'!D10</f>
        <v>0</v>
      </c>
    </row>
    <row r="27" spans="1:2" s="1203" customFormat="1">
      <c r="A27" s="1201" t="s">
        <v>537</v>
      </c>
      <c r="B27" s="1202">
        <f>'预评函-2'!D11</f>
        <v>0</v>
      </c>
    </row>
    <row r="28" spans="1:2" s="1203" customFormat="1">
      <c r="A28" s="1201" t="s">
        <v>538</v>
      </c>
      <c r="B28" s="1202">
        <f>'预评函-2'!D12</f>
        <v>0</v>
      </c>
    </row>
    <row r="29" spans="1:2" s="1203" customFormat="1">
      <c r="A29" s="1201" t="s">
        <v>589</v>
      </c>
      <c r="B29" s="1202" t="str">
        <f>'预评函-2'!B13</f>
        <v>3.房地产抵押价值</v>
      </c>
    </row>
    <row r="30" spans="1:2" s="1203" customFormat="1">
      <c r="A30" s="1201" t="s">
        <v>590</v>
      </c>
      <c r="B30" s="1202" t="e">
        <f ca="1">'预评函-2'!D13</f>
        <v>#REF!</v>
      </c>
    </row>
    <row r="31" spans="1:2" s="1203" customFormat="1">
      <c r="A31" s="1201" t="s">
        <v>572</v>
      </c>
      <c r="B31" s="1202" t="e">
        <f ca="1">'预评函-2'!D15</f>
        <v>#REF!</v>
      </c>
    </row>
    <row r="32" spans="1:2" s="1203" customFormat="1">
      <c r="A32" s="1201" t="s">
        <v>539</v>
      </c>
      <c r="B32" s="1202" t="e">
        <f ca="1">'预评函-2'!D14</f>
        <v>#REF!</v>
      </c>
    </row>
    <row r="33" spans="1:2" s="1203" customFormat="1">
      <c r="A33" s="1201" t="s">
        <v>574</v>
      </c>
      <c r="B33" s="1202" t="str">
        <f>'预评函-2'!B16</f>
        <v>——</v>
      </c>
    </row>
    <row r="34" spans="1:2" s="1203" customFormat="1">
      <c r="A34" s="1201" t="s">
        <v>592</v>
      </c>
      <c r="B34" s="1202" t="str">
        <f>'预评函-2'!D16</f>
        <v>——</v>
      </c>
    </row>
    <row r="35" spans="1:2" s="1203" customFormat="1">
      <c r="A35" s="1201" t="s">
        <v>573</v>
      </c>
      <c r="B35" s="1202" t="str">
        <f>'预评函-2'!D18</f>
        <v>——</v>
      </c>
    </row>
    <row r="36" spans="1:2" s="1203" customFormat="1">
      <c r="A36" s="1201" t="s">
        <v>540</v>
      </c>
      <c r="B36" s="1202" t="e">
        <f>'预评函-2'!D17</f>
        <v>#VALUE!</v>
      </c>
    </row>
    <row r="37" spans="1:2" s="1203" customFormat="1">
      <c r="A37" s="1201" t="s">
        <v>575</v>
      </c>
      <c r="B37" s="1202" t="str">
        <f>'预评函-2'!B19</f>
        <v>——</v>
      </c>
    </row>
    <row r="38" spans="1:2" s="1203" customFormat="1">
      <c r="A38" s="1201" t="s">
        <v>593</v>
      </c>
      <c r="B38" s="1202" t="str">
        <f>'预评函-2'!D19</f>
        <v>——</v>
      </c>
    </row>
    <row r="39" spans="1:2" s="1203" customFormat="1">
      <c r="A39" s="1201" t="s">
        <v>541</v>
      </c>
      <c r="B39" s="1202" t="str">
        <f>'预评函-2'!D21</f>
        <v>——</v>
      </c>
    </row>
    <row r="40" spans="1:2" s="1203" customFormat="1">
      <c r="A40" s="1201" t="s">
        <v>542</v>
      </c>
      <c r="B40" s="1202" t="e">
        <f>'预评函-2'!D20</f>
        <v>#VALUE!</v>
      </c>
    </row>
    <row r="41" spans="1:2" s="1203" customFormat="1">
      <c r="A41" s="1201" t="s">
        <v>588</v>
      </c>
      <c r="B41" s="1202" t="str">
        <f>'预评函-3'!A4</f>
        <v>北京市房地产</v>
      </c>
    </row>
    <row r="42" spans="1:2" s="1203" customFormat="1">
      <c r="A42" s="1201" t="s">
        <v>586</v>
      </c>
      <c r="B42" s="1202" t="str">
        <f>'预评函-3'!B2</f>
        <v>建筑面积</v>
      </c>
    </row>
    <row r="43" spans="1:2" s="1203" customFormat="1">
      <c r="A43" s="1201" t="s">
        <v>587</v>
      </c>
      <c r="B43" s="1202">
        <f>'预评函-3'!B4</f>
        <v>85.3</v>
      </c>
    </row>
    <row r="44" spans="1:2" s="1203" customFormat="1">
      <c r="A44" s="1201" t="s">
        <v>571</v>
      </c>
      <c r="B44" s="1202" t="str">
        <f>'预评函-3'!C2</f>
        <v>(分摊)土地面积</v>
      </c>
    </row>
    <row r="45" spans="1:2" s="1203" customFormat="1">
      <c r="A45" s="1201" t="s">
        <v>543</v>
      </c>
      <c r="B45" s="1202">
        <f>'预评函-3'!C4</f>
        <v>0</v>
      </c>
    </row>
    <row r="46" spans="1:2" s="1203" customFormat="1">
      <c r="A46" s="1201" t="s">
        <v>569</v>
      </c>
      <c r="B46" s="1202" t="str">
        <f>'预评函-3'!D2</f>
        <v>出让国有建设用地使用权价值</v>
      </c>
    </row>
    <row r="47" spans="1:2" s="1203" customFormat="1">
      <c r="A47" s="1201" t="s">
        <v>544</v>
      </c>
      <c r="B47" s="1202" t="e">
        <f ca="1">'预评函-3'!D4</f>
        <v>#REF!</v>
      </c>
    </row>
    <row r="48" spans="1:2" s="1203" customFormat="1">
      <c r="A48" s="1201" t="s">
        <v>545</v>
      </c>
      <c r="B48" s="1202" t="e">
        <f ca="1">'预评函-3'!E4</f>
        <v>#REF!</v>
      </c>
    </row>
    <row r="49" spans="1:2" s="1203" customFormat="1">
      <c r="A49" s="1201" t="s">
        <v>546</v>
      </c>
      <c r="B49" s="1202" t="e">
        <f ca="1">'预评函-3'!D5</f>
        <v>#REF!</v>
      </c>
    </row>
    <row r="50" spans="1:2" s="1203" customFormat="1">
      <c r="A50" s="1201" t="s">
        <v>570</v>
      </c>
      <c r="B50" s="1202" t="str">
        <f>'预评函-3'!F2</f>
        <v>在建建筑物价值</v>
      </c>
    </row>
    <row r="51" spans="1:2" s="1203" customFormat="1">
      <c r="A51" s="1201" t="s">
        <v>547</v>
      </c>
      <c r="B51" s="1202" t="e">
        <f ca="1">'预评函-3'!F4</f>
        <v>#REF!</v>
      </c>
    </row>
    <row r="52" spans="1:2" s="1203" customFormat="1">
      <c r="A52" s="1201" t="s">
        <v>548</v>
      </c>
      <c r="B52" s="1202" t="e">
        <f ca="1">'预评函-3'!G4</f>
        <v>#REF!</v>
      </c>
    </row>
    <row r="53" spans="1:2" s="1203" customFormat="1">
      <c r="A53" s="1201" t="s">
        <v>576</v>
      </c>
      <c r="B53" s="1202" t="e">
        <f ca="1">'预评函-3'!F5</f>
        <v>#REF!</v>
      </c>
    </row>
    <row r="54" spans="1:2" s="1203" customFormat="1">
      <c r="A54" s="1201" t="s">
        <v>594</v>
      </c>
      <c r="B54" s="1202" t="str">
        <f>'预评函-3'!A8</f>
        <v>房地产抵押价值</v>
      </c>
    </row>
    <row r="55" spans="1:2" s="1203" customFormat="1">
      <c r="A55" s="1201" t="s">
        <v>577</v>
      </c>
      <c r="B55" s="1202" t="str">
        <f>'预评函-3'!A10</f>
        <v/>
      </c>
    </row>
    <row r="56" spans="1:2" s="1203" customFormat="1">
      <c r="A56" s="1201" t="s">
        <v>578</v>
      </c>
      <c r="B56" s="1202" t="str">
        <f>'预评函-3'!A12</f>
        <v/>
      </c>
    </row>
    <row r="57" spans="1:2" s="1197" customFormat="1" ht="15" thickBot="1">
      <c r="A57" s="1204" t="s">
        <v>595</v>
      </c>
      <c r="B57" s="1205" t="str">
        <f>'预评函-3'!A6</f>
        <v>估价师知悉的法定优先受偿款</v>
      </c>
    </row>
    <row r="58" spans="1:2" s="1200" customFormat="1" ht="15" thickTop="1">
      <c r="A58" s="1198" t="s">
        <v>549</v>
      </c>
      <c r="B58" s="1199" t="str">
        <f>'预评函-4'!A12</f>
        <v>2.本次评估设定估价对象房地产权属无争议，未被查封或者以其他形式限制其房地产权利，未设定抵押权等他项权利，不涉及第三方权利义务。</v>
      </c>
    </row>
    <row r="59" spans="1:2" s="1203" customFormat="1">
      <c r="A59" s="1201" t="s">
        <v>550</v>
      </c>
      <c r="B59" s="1202" t="str">
        <f>'预评函-4'!A13</f>
        <v>——</v>
      </c>
    </row>
    <row r="60" spans="1:2" s="1203" customFormat="1">
      <c r="A60" s="1201" t="s">
        <v>551</v>
      </c>
      <c r="B60" s="1202" t="str">
        <f>'预评函-4'!A14</f>
        <v>——</v>
      </c>
    </row>
    <row r="61" spans="1:2" s="1203" customFormat="1">
      <c r="A61" s="1201" t="s">
        <v>552</v>
      </c>
      <c r="B61" s="1202" t="str">
        <f>'预评函-4'!A15</f>
        <v>——</v>
      </c>
    </row>
    <row r="62" spans="1:2" s="1203" customFormat="1">
      <c r="A62" s="1201" t="s">
        <v>553</v>
      </c>
      <c r="B62" s="1202" t="str">
        <f>'预评函-4'!A16</f>
        <v>（2）根据《工程款支付情况说明》，截至价值时点，估价对象不存在应付未付工程款项。（只要没有施工方盖章的，均“设定”进行表述）</v>
      </c>
    </row>
    <row r="63" spans="1:2" s="1203" customFormat="1">
      <c r="A63" s="1201" t="s">
        <v>554</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566</v>
      </c>
      <c r="B64" s="1202" t="str">
        <f>'预评函-4'!A18</f>
        <v>——</v>
      </c>
    </row>
    <row r="65" spans="1:2" s="1203" customFormat="1">
      <c r="A65" s="1201" t="s">
        <v>555</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556</v>
      </c>
      <c r="B66" s="1202" t="str">
        <f>'预评函-4'!A20</f>
        <v>——</v>
      </c>
    </row>
    <row r="67" spans="1:2" s="1203" customFormat="1">
      <c r="A67" s="1201" t="s">
        <v>567</v>
      </c>
      <c r="B67" s="1202" t="str">
        <f>'预评函-4'!A21</f>
        <v>——</v>
      </c>
    </row>
    <row r="68" spans="1:2" s="1203" customFormat="1">
      <c r="A68" s="1201" t="s">
        <v>568</v>
      </c>
      <c r="B68" s="1202" t="str">
        <f>'预评函-4'!A22</f>
        <v>8.其他需特殊说明事项：无（注意调整序号）</v>
      </c>
    </row>
    <row r="69" spans="1:2" s="1197" customFormat="1" ht="15" thickBot="1">
      <c r="A69" s="1204" t="s">
        <v>557</v>
      </c>
      <c r="B69" s="1206">
        <f>'预评函-4'!C31</f>
        <v>42551</v>
      </c>
    </row>
    <row r="70" spans="1:2" ht="15" thickTop="1">
      <c r="A70" s="1207" t="s">
        <v>558</v>
      </c>
      <c r="B70" s="1208">
        <f>'预评函-4'!A4</f>
        <v>0</v>
      </c>
    </row>
    <row r="71" spans="1:2">
      <c r="A71" s="1201" t="s">
        <v>559</v>
      </c>
      <c r="B71" s="1202">
        <f>'预评函-4'!B4</f>
        <v>0</v>
      </c>
    </row>
    <row r="72" spans="1:2">
      <c r="A72" s="1201" t="s">
        <v>560</v>
      </c>
      <c r="B72" s="1210">
        <f>'预评函-4'!A5</f>
        <v>0</v>
      </c>
    </row>
    <row r="73" spans="1:2" s="1197" customFormat="1" ht="15" thickBot="1">
      <c r="A73" s="1204" t="s">
        <v>561</v>
      </c>
      <c r="B73" s="1205">
        <f>'预评函-4'!B5</f>
        <v>0</v>
      </c>
    </row>
    <row r="74" spans="1:2" ht="15" thickTop="1">
      <c r="A74" s="1194" t="s">
        <v>597</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40</v>
      </c>
      <c r="B1" s="1540" t="s">
        <v>973</v>
      </c>
      <c r="C1" s="1541" t="s">
        <v>310</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305</v>
      </c>
      <c r="Q1" s="1543" t="s">
        <v>443</v>
      </c>
      <c r="R1" s="1542" t="s">
        <v>437</v>
      </c>
      <c r="S1" s="1542" t="s">
        <v>985</v>
      </c>
      <c r="T1" s="1544" t="s">
        <v>986</v>
      </c>
      <c r="U1" s="1542" t="s">
        <v>987</v>
      </c>
      <c r="V1" s="1542" t="s">
        <v>988</v>
      </c>
      <c r="W1" s="1542" t="s">
        <v>307</v>
      </c>
    </row>
    <row r="2" spans="1:23">
      <c r="A2" s="1546" t="s">
        <v>16</v>
      </c>
      <c r="B2" s="1546" t="s">
        <v>989</v>
      </c>
      <c r="C2" s="1547" t="s">
        <v>311</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439</v>
      </c>
      <c r="S2" s="1548" t="s">
        <v>994</v>
      </c>
      <c r="T2" s="1548" t="s">
        <v>995</v>
      </c>
      <c r="U2" s="1548" t="s">
        <v>994</v>
      </c>
      <c r="V2" s="1548" t="s">
        <v>996</v>
      </c>
      <c r="W2" s="1548" t="s">
        <v>994</v>
      </c>
    </row>
    <row r="3" spans="1:23">
      <c r="A3" s="1546" t="s">
        <v>997</v>
      </c>
      <c r="B3" s="1549" t="s">
        <v>444</v>
      </c>
      <c r="C3" s="1550" t="s">
        <v>312</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438</v>
      </c>
      <c r="S3" s="1548" t="s">
        <v>1001</v>
      </c>
      <c r="T3" s="1548" t="s">
        <v>1002</v>
      </c>
      <c r="U3" s="1548" t="s">
        <v>1001</v>
      </c>
      <c r="V3" s="1548" t="s">
        <v>1003</v>
      </c>
      <c r="W3" s="1548" t="s">
        <v>1001</v>
      </c>
    </row>
    <row r="4" spans="1:23">
      <c r="A4" s="1546" t="s">
        <v>1004</v>
      </c>
      <c r="B4" s="1546" t="s">
        <v>1005</v>
      </c>
      <c r="C4" s="1547" t="s">
        <v>313</v>
      </c>
      <c r="D4" s="1548" t="s">
        <v>385</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440</v>
      </c>
      <c r="S4" s="1548" t="s">
        <v>1008</v>
      </c>
      <c r="T4" s="1548" t="s">
        <v>1009</v>
      </c>
      <c r="U4" s="1548" t="s">
        <v>1008</v>
      </c>
      <c r="W4" s="1548" t="s">
        <v>1008</v>
      </c>
    </row>
    <row r="5" spans="1:23">
      <c r="A5" s="1546" t="s">
        <v>1010</v>
      </c>
      <c r="B5" s="1546" t="s">
        <v>1011</v>
      </c>
      <c r="C5" s="1547" t="s">
        <v>314</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441</v>
      </c>
      <c r="S5" s="1548" t="s">
        <v>1014</v>
      </c>
      <c r="T5" s="1548" t="s">
        <v>1015</v>
      </c>
      <c r="U5" s="1548" t="s">
        <v>1014</v>
      </c>
      <c r="W5" s="1548" t="s">
        <v>1014</v>
      </c>
    </row>
    <row r="6" spans="1:23">
      <c r="A6" s="1546" t="s">
        <v>1016</v>
      </c>
      <c r="B6" s="1549" t="s">
        <v>445</v>
      </c>
      <c r="C6" s="1552" t="s">
        <v>20</v>
      </c>
      <c r="F6" s="1548" t="s">
        <v>1013</v>
      </c>
      <c r="H6" s="1548" t="s">
        <v>1017</v>
      </c>
      <c r="I6" s="1548" t="s">
        <v>3341</v>
      </c>
      <c r="K6" s="1548" t="s">
        <v>1018</v>
      </c>
      <c r="L6" s="1548" t="s">
        <v>1018</v>
      </c>
      <c r="M6" s="1548" t="s">
        <v>1018</v>
      </c>
      <c r="N6" s="1548" t="s">
        <v>1018</v>
      </c>
      <c r="O6" s="1548" t="s">
        <v>1018</v>
      </c>
      <c r="P6" s="1548" t="s">
        <v>1018</v>
      </c>
      <c r="Q6" s="1548" t="s">
        <v>1018</v>
      </c>
      <c r="R6" s="1548" t="s">
        <v>442</v>
      </c>
      <c r="S6" s="1548" t="s">
        <v>1018</v>
      </c>
      <c r="T6" s="1548"/>
      <c r="U6" s="1548" t="s">
        <v>1018</v>
      </c>
      <c r="W6" s="1548" t="s">
        <v>1018</v>
      </c>
    </row>
    <row r="7" spans="1:23">
      <c r="A7" s="1546" t="s">
        <v>1019</v>
      </c>
      <c r="B7" s="1549" t="s">
        <v>446</v>
      </c>
      <c r="C7" s="1547" t="s">
        <v>21</v>
      </c>
      <c r="F7" s="1548" t="s">
        <v>1020</v>
      </c>
      <c r="H7" s="1548" t="s">
        <v>1021</v>
      </c>
      <c r="I7" s="1548" t="s">
        <v>3342</v>
      </c>
    </row>
    <row r="8" spans="1:23">
      <c r="A8" s="1546" t="s">
        <v>1022</v>
      </c>
      <c r="B8" s="1546" t="s">
        <v>1023</v>
      </c>
      <c r="C8" s="1547" t="s">
        <v>315</v>
      </c>
      <c r="F8" s="1548" t="s">
        <v>1024</v>
      </c>
      <c r="H8" s="1548" t="s">
        <v>2573</v>
      </c>
      <c r="I8" s="1548" t="s">
        <v>3343</v>
      </c>
    </row>
    <row r="9" spans="1:23">
      <c r="A9" s="1546" t="s">
        <v>1025</v>
      </c>
      <c r="B9" s="1546" t="s">
        <v>1026</v>
      </c>
      <c r="C9" s="1547" t="s">
        <v>316</v>
      </c>
      <c r="F9" s="1548" t="s">
        <v>1027</v>
      </c>
      <c r="H9" s="1548"/>
      <c r="I9" s="1551" t="s">
        <v>3344</v>
      </c>
    </row>
    <row r="10" spans="1:23">
      <c r="A10" s="1546" t="s">
        <v>1028</v>
      </c>
      <c r="B10" s="1546" t="s">
        <v>1029</v>
      </c>
      <c r="C10" s="1547" t="s">
        <v>317</v>
      </c>
      <c r="F10" s="1548" t="s">
        <v>2574</v>
      </c>
      <c r="I10" s="1551" t="s">
        <v>3345</v>
      </c>
    </row>
    <row r="11" spans="1:23">
      <c r="A11" s="1546" t="s">
        <v>1030</v>
      </c>
      <c r="B11" s="1546" t="s">
        <v>1031</v>
      </c>
      <c r="C11" s="1547" t="s">
        <v>318</v>
      </c>
      <c r="F11" s="1548" t="s">
        <v>13</v>
      </c>
      <c r="I11" s="1551" t="s">
        <v>3346</v>
      </c>
    </row>
    <row r="12" spans="1:23">
      <c r="A12" s="1546" t="s">
        <v>1032</v>
      </c>
      <c r="B12" s="1546" t="s">
        <v>1033</v>
      </c>
      <c r="C12" s="1547" t="s">
        <v>319</v>
      </c>
      <c r="I12" s="1551" t="s">
        <v>3347</v>
      </c>
    </row>
    <row r="13" spans="1:23">
      <c r="A13" s="1546" t="s">
        <v>1034</v>
      </c>
      <c r="B13" s="1546" t="s">
        <v>1035</v>
      </c>
      <c r="C13" s="1547" t="s">
        <v>320</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308</v>
      </c>
      <c r="C16" s="1547"/>
    </row>
    <row r="17" spans="1:3">
      <c r="A17" s="1546" t="s">
        <v>1041</v>
      </c>
      <c r="B17" s="1546" t="s">
        <v>2285</v>
      </c>
      <c r="C17" s="1547"/>
    </row>
    <row r="18" spans="1:3">
      <c r="A18" s="1546" t="s">
        <v>1042</v>
      </c>
      <c r="B18" s="1546" t="s">
        <v>2429</v>
      </c>
      <c r="C18" s="1547"/>
    </row>
    <row r="19" spans="1:3">
      <c r="A19" s="1546" t="s">
        <v>1043</v>
      </c>
      <c r="B19" s="1546" t="s">
        <v>309</v>
      </c>
      <c r="C19" s="1547"/>
    </row>
    <row r="20" spans="1:3">
      <c r="A20" s="1546" t="s">
        <v>1044</v>
      </c>
      <c r="B20" s="1546" t="s">
        <v>309</v>
      </c>
      <c r="C20" s="1547"/>
    </row>
    <row r="21" spans="1:3">
      <c r="A21" s="1546" t="s">
        <v>1045</v>
      </c>
      <c r="B21" s="1546" t="s">
        <v>309</v>
      </c>
      <c r="C21" s="1547"/>
    </row>
    <row r="22" spans="1:3">
      <c r="A22" s="1546" t="s">
        <v>1046</v>
      </c>
      <c r="B22" s="1546" t="s">
        <v>309</v>
      </c>
      <c r="C22" s="1547"/>
    </row>
    <row r="23" spans="1:3">
      <c r="A23" s="1546" t="s">
        <v>1047</v>
      </c>
      <c r="B23" s="1546" t="s">
        <v>309</v>
      </c>
      <c r="C23" s="1547"/>
    </row>
    <row r="24" spans="1:3">
      <c r="A24" s="1546" t="s">
        <v>1048</v>
      </c>
      <c r="B24" s="1546" t="s">
        <v>309</v>
      </c>
      <c r="C24" s="1547"/>
    </row>
    <row r="25" spans="1:3">
      <c r="A25" s="1546" t="s">
        <v>1049</v>
      </c>
      <c r="B25" s="1546" t="s">
        <v>309</v>
      </c>
      <c r="C25" s="1547"/>
    </row>
    <row r="26" spans="1:3">
      <c r="A26" s="1546" t="s">
        <v>1050</v>
      </c>
      <c r="B26" s="1546" t="s">
        <v>309</v>
      </c>
      <c r="C26" s="1547"/>
    </row>
    <row r="27" spans="1:3">
      <c r="A27" s="1546" t="s">
        <v>309</v>
      </c>
      <c r="B27" s="1546" t="s">
        <v>309</v>
      </c>
      <c r="C27" s="1547"/>
    </row>
    <row r="28" spans="1:3">
      <c r="A28" s="1546" t="s">
        <v>309</v>
      </c>
      <c r="B28" s="1546" t="s">
        <v>309</v>
      </c>
      <c r="C28" s="1547"/>
    </row>
    <row r="29" spans="1:3">
      <c r="A29" s="1546" t="s">
        <v>309</v>
      </c>
      <c r="B29" s="1546" t="s">
        <v>309</v>
      </c>
      <c r="C29" s="1547"/>
    </row>
    <row r="30" spans="1:3">
      <c r="A30" s="1546" t="s">
        <v>309</v>
      </c>
      <c r="B30" s="1546" t="s">
        <v>309</v>
      </c>
      <c r="C30" s="1547"/>
    </row>
    <row r="31" spans="1:3">
      <c r="A31" s="1546" t="s">
        <v>309</v>
      </c>
      <c r="B31" s="1546" t="s">
        <v>309</v>
      </c>
      <c r="C31" s="1547"/>
    </row>
    <row r="32" spans="1:3">
      <c r="A32" s="1546" t="s">
        <v>309</v>
      </c>
      <c r="B32" s="1546" t="s">
        <v>309</v>
      </c>
      <c r="C32" s="1547"/>
    </row>
    <row r="33" spans="1:3">
      <c r="A33" s="1546" t="s">
        <v>309</v>
      </c>
      <c r="B33" s="1546" t="s">
        <v>309</v>
      </c>
      <c r="C33" s="1547"/>
    </row>
    <row r="34" spans="1:3">
      <c r="A34" s="1546" t="s">
        <v>309</v>
      </c>
      <c r="B34" s="1546" t="s">
        <v>309</v>
      </c>
      <c r="C34" s="1547"/>
    </row>
    <row r="35" spans="1:3">
      <c r="A35" s="1546" t="s">
        <v>309</v>
      </c>
      <c r="B35" s="1546" t="s">
        <v>309</v>
      </c>
      <c r="C35" s="1547"/>
    </row>
    <row r="36" spans="1:3">
      <c r="A36" s="1546" t="s">
        <v>309</v>
      </c>
      <c r="B36" s="1546" t="s">
        <v>309</v>
      </c>
      <c r="C36" s="1547"/>
    </row>
    <row r="37" spans="1:3">
      <c r="A37" s="1546" t="s">
        <v>309</v>
      </c>
      <c r="B37" s="1546" t="s">
        <v>309</v>
      </c>
      <c r="C37" s="1547"/>
    </row>
    <row r="38" spans="1:3">
      <c r="A38" s="1546" t="s">
        <v>309</v>
      </c>
      <c r="B38" s="1546" t="s">
        <v>309</v>
      </c>
      <c r="C38" s="1547"/>
    </row>
    <row r="39" spans="1:3">
      <c r="A39" s="1546" t="s">
        <v>309</v>
      </c>
      <c r="B39" s="1546" t="s">
        <v>309</v>
      </c>
      <c r="C39" s="1547"/>
    </row>
    <row r="40" spans="1:3">
      <c r="A40" s="1546" t="s">
        <v>309</v>
      </c>
      <c r="B40" s="1546" t="s">
        <v>309</v>
      </c>
      <c r="C40" s="1547"/>
    </row>
    <row r="41" spans="1:3">
      <c r="A41" s="1546" t="s">
        <v>309</v>
      </c>
      <c r="B41" s="1546" t="s">
        <v>309</v>
      </c>
      <c r="C41" s="1547"/>
    </row>
    <row r="42" spans="1:3">
      <c r="A42" s="1546" t="s">
        <v>309</v>
      </c>
      <c r="B42" s="1546" t="s">
        <v>309</v>
      </c>
      <c r="C42" s="1547"/>
    </row>
    <row r="43" spans="1:3">
      <c r="A43" s="1546" t="s">
        <v>309</v>
      </c>
      <c r="B43" s="1546" t="s">
        <v>309</v>
      </c>
      <c r="C43" s="1547"/>
    </row>
    <row r="44" spans="1:3">
      <c r="A44" s="1546" t="s">
        <v>309</v>
      </c>
      <c r="B44" s="1546" t="s">
        <v>309</v>
      </c>
      <c r="C44" s="1547"/>
    </row>
    <row r="45" spans="1:3">
      <c r="A45" s="1546" t="s">
        <v>309</v>
      </c>
      <c r="B45" s="1546" t="s">
        <v>309</v>
      </c>
      <c r="C45" s="1547"/>
    </row>
    <row r="46" spans="1:3">
      <c r="A46" s="1546" t="s">
        <v>309</v>
      </c>
      <c r="B46" s="1546" t="s">
        <v>309</v>
      </c>
      <c r="C46" s="1547"/>
    </row>
    <row r="47" spans="1:3">
      <c r="A47" s="1546" t="s">
        <v>309</v>
      </c>
      <c r="B47" s="1546" t="s">
        <v>309</v>
      </c>
      <c r="C47" s="1547"/>
    </row>
    <row r="48" spans="1:3">
      <c r="A48" s="1546" t="s">
        <v>309</v>
      </c>
      <c r="B48" s="1546" t="s">
        <v>309</v>
      </c>
      <c r="C48" s="1547"/>
    </row>
    <row r="49" spans="1:4">
      <c r="A49" s="1546" t="s">
        <v>309</v>
      </c>
      <c r="B49" s="1546" t="s">
        <v>309</v>
      </c>
      <c r="C49" s="1547"/>
    </row>
    <row r="50" spans="1:4">
      <c r="A50" s="1546" t="s">
        <v>309</v>
      </c>
      <c r="B50" s="1546" t="s">
        <v>309</v>
      </c>
      <c r="C50" s="1547"/>
    </row>
    <row r="51" spans="1:4">
      <c r="A51" s="1553" t="s">
        <v>374</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582</v>
      </c>
    </row>
    <row r="52" spans="1:4">
      <c r="A52" s="1553" t="s">
        <v>375</v>
      </c>
      <c r="B52" s="1553" t="s">
        <v>376</v>
      </c>
      <c r="C52" s="1551" t="s">
        <v>377</v>
      </c>
      <c r="D52" s="1551" t="s">
        <v>378</v>
      </c>
    </row>
    <row r="53" spans="1:4">
      <c r="A53" s="3596" t="s">
        <v>379</v>
      </c>
      <c r="B53" s="1554" t="s">
        <v>380</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6"/>
      <c r="B54" s="1554" t="s">
        <v>381</v>
      </c>
      <c r="C54" s="1551" t="s">
        <v>579</v>
      </c>
    </row>
    <row r="55" spans="1:4">
      <c r="A55" s="3596"/>
      <c r="B55" s="1554" t="s">
        <v>382</v>
      </c>
      <c r="C55" s="1551" t="s">
        <v>580</v>
      </c>
    </row>
    <row r="56" spans="1:4">
      <c r="A56" s="3596"/>
      <c r="B56" s="1554" t="s">
        <v>383</v>
      </c>
      <c r="C56" s="1551" t="s">
        <v>584</v>
      </c>
    </row>
    <row r="57" spans="1:4">
      <c r="A57" s="3596"/>
      <c r="B57" s="1554" t="s">
        <v>384</v>
      </c>
      <c r="C57" s="1551" t="s">
        <v>581</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D22" sqref="D22"/>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2496</v>
      </c>
      <c r="B1" s="3011"/>
      <c r="C1" s="3011"/>
      <c r="D1" s="3011"/>
      <c r="E1" s="3011"/>
      <c r="F1" s="3012"/>
      <c r="I1" s="3434" t="s">
        <v>2589</v>
      </c>
      <c r="J1" s="3223"/>
      <c r="K1" s="3223"/>
      <c r="L1" s="3223"/>
      <c r="M1" s="3223"/>
      <c r="N1" s="3435"/>
      <c r="O1" s="3435"/>
      <c r="P1" s="3435"/>
      <c r="Q1" s="3435"/>
      <c r="R1" s="3435"/>
    </row>
    <row r="2" spans="1:18">
      <c r="A2" s="3014"/>
      <c r="B2" s="3015"/>
      <c r="C2" s="3015"/>
      <c r="D2" s="3015"/>
      <c r="E2" s="3015"/>
      <c r="F2" s="3016"/>
      <c r="I2" s="3597" t="s">
        <v>2576</v>
      </c>
      <c r="J2" s="3597"/>
      <c r="K2" s="3597"/>
      <c r="L2" s="3597"/>
      <c r="M2" s="3597"/>
      <c r="N2" s="3597"/>
      <c r="O2" s="3597"/>
      <c r="P2" s="3597"/>
      <c r="Q2" s="3597"/>
      <c r="R2" s="3597"/>
    </row>
    <row r="3" spans="1:18">
      <c r="A3" s="3017" t="s">
        <v>2497</v>
      </c>
      <c r="B3" s="3018">
        <v>44963</v>
      </c>
      <c r="C3" s="3020"/>
      <c r="D3" s="3020"/>
      <c r="E3" s="3020"/>
      <c r="F3" s="3016"/>
      <c r="I3" s="3436"/>
      <c r="J3" s="3436" t="s">
        <v>2580</v>
      </c>
      <c r="K3" s="3436" t="s">
        <v>2581</v>
      </c>
      <c r="L3" s="3436" t="s">
        <v>2582</v>
      </c>
      <c r="M3" s="3436" t="s">
        <v>2583</v>
      </c>
      <c r="N3" s="3437" t="s">
        <v>2584</v>
      </c>
      <c r="O3" s="3437" t="s">
        <v>2585</v>
      </c>
      <c r="P3" s="3437" t="s">
        <v>2586</v>
      </c>
      <c r="Q3" s="3437" t="s">
        <v>2587</v>
      </c>
      <c r="R3" s="3437" t="s">
        <v>2588</v>
      </c>
    </row>
    <row r="4" spans="1:18">
      <c r="A4" s="3017" t="s">
        <v>2498</v>
      </c>
      <c r="B4" s="3020" t="s">
        <v>2499</v>
      </c>
      <c r="C4" s="3020" t="s">
        <v>2500</v>
      </c>
      <c r="D4" s="3020" t="s">
        <v>2501</v>
      </c>
      <c r="E4" s="3020" t="s">
        <v>2502</v>
      </c>
      <c r="F4" s="3016"/>
      <c r="I4" s="3436" t="s">
        <v>2577</v>
      </c>
      <c r="J4" s="3436">
        <v>80</v>
      </c>
      <c r="K4" s="3436">
        <v>70</v>
      </c>
      <c r="L4" s="3436">
        <v>20</v>
      </c>
      <c r="M4" s="3436">
        <v>30</v>
      </c>
      <c r="N4" s="3020">
        <v>45</v>
      </c>
      <c r="O4" s="3020">
        <v>60</v>
      </c>
      <c r="P4" s="3020">
        <v>50</v>
      </c>
      <c r="Q4" s="3020">
        <v>20</v>
      </c>
      <c r="R4" s="3020">
        <v>375</v>
      </c>
    </row>
    <row r="5" spans="1:18">
      <c r="A5" s="3021">
        <v>40</v>
      </c>
      <c r="B5" s="3018">
        <v>46375</v>
      </c>
      <c r="C5" s="3020">
        <f>ROUNDDOWN(MIN((B5-B3)/365,A5),2)</f>
        <v>3.86</v>
      </c>
      <c r="D5" s="3022">
        <f>IF(ISERROR(ROUND(POWER(1+E5,A5-C5)*(POWER(1+E5,C5)-1)/(POWER(1+E5,A5)-1),3)),0,ROUND(POWER(1+E5,A5-C5)*(POWER(1+E5,C5)-1)/(POWER(1+E5,A5)-1),4))</f>
        <v>0.17749999999999999</v>
      </c>
      <c r="E5" s="3023">
        <v>0.04</v>
      </c>
      <c r="F5" s="3016"/>
      <c r="I5" s="3436" t="s">
        <v>2578</v>
      </c>
      <c r="J5" s="3436">
        <v>70</v>
      </c>
      <c r="K5" s="3436">
        <v>60</v>
      </c>
      <c r="L5" s="3436">
        <v>15</v>
      </c>
      <c r="M5" s="3436">
        <v>25</v>
      </c>
      <c r="N5" s="3020">
        <v>40</v>
      </c>
      <c r="O5" s="3020">
        <v>50</v>
      </c>
      <c r="P5" s="3020">
        <v>40</v>
      </c>
      <c r="Q5" s="3020">
        <v>15</v>
      </c>
      <c r="R5" s="3020">
        <v>315</v>
      </c>
    </row>
    <row r="6" spans="1:18">
      <c r="A6" s="3021">
        <v>50</v>
      </c>
      <c r="B6" s="3018">
        <v>50028</v>
      </c>
      <c r="C6" s="3020">
        <f>ROUNDDOWN(MIN((B6-B3)/365,A6),2)</f>
        <v>13.87</v>
      </c>
      <c r="D6" s="3022">
        <f>IF(ISERROR(ROUND(POWER(1+E6,A6-C6)*(POWER(1+E6,C6)-1)/(POWER(1+E6,A6)-1),3)),0,ROUND(POWER(1+E6,A6-C6)*(POWER(1+E6,C6)-1)/(POWER(1+E6,A6)-1),4))</f>
        <v>0.48830000000000001</v>
      </c>
      <c r="E6" s="3023">
        <v>0.04</v>
      </c>
      <c r="F6" s="3016"/>
      <c r="I6" s="3436" t="s">
        <v>2579</v>
      </c>
      <c r="J6" s="3436">
        <v>60</v>
      </c>
      <c r="K6" s="3436">
        <v>50</v>
      </c>
      <c r="L6" s="3436">
        <v>10</v>
      </c>
      <c r="M6" s="3436">
        <v>20</v>
      </c>
      <c r="N6" s="3020">
        <v>35</v>
      </c>
      <c r="O6" s="3020">
        <v>40</v>
      </c>
      <c r="P6" s="3020">
        <v>30</v>
      </c>
      <c r="Q6" s="3020">
        <v>10</v>
      </c>
      <c r="R6" s="3020">
        <v>255</v>
      </c>
    </row>
    <row r="7" spans="1:18">
      <c r="A7" s="3021">
        <v>70</v>
      </c>
      <c r="B7" s="3018">
        <v>54824</v>
      </c>
      <c r="C7" s="3020">
        <f>ROUNDDOWN(MIN((B7-B3)/365,A7),2)</f>
        <v>27.01</v>
      </c>
      <c r="D7" s="3022">
        <f>IF(ISERROR(ROUND(POWER(1+E7,A7-C7)*(POWER(1+E7,C7)-1)/(POWER(1+E7,A7)-1),3)),0,ROUND(POWER(1+E7,A7-C7)*(POWER(1+E7,C7)-1)/(POWER(1+E7,A7)-1),4))</f>
        <v>0.69820000000000004</v>
      </c>
      <c r="E7" s="3023">
        <v>0.04</v>
      </c>
      <c r="F7" s="3016"/>
    </row>
    <row r="8" spans="1:18">
      <c r="A8" s="3014"/>
      <c r="B8" s="3015"/>
      <c r="C8" s="3015"/>
      <c r="D8" s="3015"/>
      <c r="E8" s="3015"/>
      <c r="F8" s="3016"/>
    </row>
    <row r="9" spans="1:18">
      <c r="A9" s="3017" t="s">
        <v>2503</v>
      </c>
      <c r="B9" s="3020"/>
      <c r="C9" s="3020"/>
      <c r="D9" s="3020"/>
      <c r="E9" s="3020"/>
      <c r="F9" s="3024"/>
    </row>
    <row r="10" spans="1:18">
      <c r="A10" s="3017" t="s">
        <v>2504</v>
      </c>
      <c r="B10" s="3020"/>
      <c r="C10" s="3020"/>
      <c r="D10" s="3020" t="s">
        <v>2502</v>
      </c>
      <c r="E10" s="3020"/>
      <c r="F10" s="3024" t="s">
        <v>2501</v>
      </c>
    </row>
    <row r="11" spans="1:18">
      <c r="A11" s="3017" t="s">
        <v>2505</v>
      </c>
      <c r="B11" s="3025">
        <v>70</v>
      </c>
      <c r="C11" s="3020" t="s">
        <v>2506</v>
      </c>
      <c r="D11" s="3026">
        <v>4.4999999999999998E-2</v>
      </c>
      <c r="E11" s="3020" t="s">
        <v>2507</v>
      </c>
      <c r="F11" s="3027">
        <f>ROUND(1-(1/(POWER(1+D11,B11))),4)</f>
        <v>0.95409999999999995</v>
      </c>
    </row>
    <row r="12" spans="1:18">
      <c r="A12" s="3017" t="s">
        <v>2508</v>
      </c>
      <c r="B12" s="3025">
        <v>40</v>
      </c>
      <c r="C12" s="3020" t="s">
        <v>2509</v>
      </c>
      <c r="D12" s="3026">
        <v>4.4999999999999998E-2</v>
      </c>
      <c r="E12" s="3020" t="s">
        <v>2510</v>
      </c>
      <c r="F12" s="3027">
        <f>ROUND(1-(1/(POWER(1+D12,B12))),4)</f>
        <v>0.82809999999999995</v>
      </c>
    </row>
    <row r="13" spans="1:18">
      <c r="A13" s="3017" t="s">
        <v>2511</v>
      </c>
      <c r="B13" s="3020"/>
      <c r="C13" s="3020"/>
      <c r="D13" s="3015"/>
      <c r="E13" s="3015"/>
      <c r="F13" s="3016"/>
    </row>
    <row r="14" spans="1:18">
      <c r="A14" s="3017" t="s">
        <v>2512</v>
      </c>
      <c r="B14" s="3025">
        <v>5000</v>
      </c>
      <c r="C14" s="3019"/>
      <c r="D14" s="3015"/>
      <c r="E14" s="3015"/>
      <c r="F14" s="3016"/>
    </row>
    <row r="15" spans="1:18">
      <c r="A15" s="3017" t="s">
        <v>2513</v>
      </c>
      <c r="B15" s="3020">
        <f>ROUND(B14*F12/F11,2)</f>
        <v>4339.6899999999996</v>
      </c>
      <c r="C15" s="3020">
        <f>ROUND(F12/F11,4)</f>
        <v>0.8679</v>
      </c>
      <c r="D15" s="3015"/>
      <c r="E15" s="3015"/>
      <c r="F15" s="3016"/>
    </row>
    <row r="16" spans="1:18">
      <c r="A16" s="3017" t="s">
        <v>2514</v>
      </c>
      <c r="B16" s="3020"/>
      <c r="C16" s="3020"/>
      <c r="D16" s="3015"/>
      <c r="E16" s="3015"/>
      <c r="F16" s="3016"/>
    </row>
    <row r="17" spans="1:13">
      <c r="A17" s="3017" t="s">
        <v>2513</v>
      </c>
      <c r="B17" s="3026">
        <v>4810</v>
      </c>
      <c r="C17" s="3019"/>
      <c r="D17" s="3015"/>
      <c r="E17" s="3015"/>
      <c r="F17" s="3016"/>
    </row>
    <row r="18" spans="1:13" ht="14.25" thickBot="1">
      <c r="A18" s="3028" t="s">
        <v>2512</v>
      </c>
      <c r="B18" s="3029">
        <f>ROUND(B17*F11/F12,2)</f>
        <v>5541.87</v>
      </c>
      <c r="C18" s="3029">
        <f>ROUND(F11/F12,4)</f>
        <v>1.1521999999999999</v>
      </c>
      <c r="D18" s="3030"/>
      <c r="E18" s="3030"/>
      <c r="F18" s="3031"/>
    </row>
    <row r="19" spans="1:13" ht="14.25" thickBot="1"/>
    <row r="20" spans="1:13" s="3066" customFormat="1" ht="14.25" thickTop="1">
      <c r="A20" s="3063" t="s">
        <v>2515</v>
      </c>
      <c r="B20" s="3064"/>
      <c r="C20" s="3064"/>
      <c r="D20" s="3064"/>
      <c r="E20" s="3064"/>
      <c r="F20" s="3064"/>
      <c r="G20" s="3065"/>
      <c r="I20" s="3067" t="s">
        <v>2560</v>
      </c>
      <c r="J20" s="3067" t="s">
        <v>2565</v>
      </c>
      <c r="K20" s="3067"/>
      <c r="L20" s="3067"/>
      <c r="M20" s="3067"/>
    </row>
    <row r="21" spans="1:13">
      <c r="A21" s="3032"/>
      <c r="B21" s="3033" t="s">
        <v>2516</v>
      </c>
      <c r="C21" s="3033" t="s">
        <v>2517</v>
      </c>
      <c r="D21" s="3033" t="s">
        <v>2518</v>
      </c>
      <c r="E21" s="3033" t="s">
        <v>2519</v>
      </c>
      <c r="F21" s="3033" t="s">
        <v>2520</v>
      </c>
      <c r="G21" s="3034" t="s">
        <v>2521</v>
      </c>
      <c r="I21" s="3055">
        <v>5</v>
      </c>
      <c r="J21" s="3055">
        <v>54.2</v>
      </c>
    </row>
    <row r="22" spans="1:13">
      <c r="A22" s="3032" t="s">
        <v>2522</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2523</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2563</v>
      </c>
      <c r="M23" s="3055" t="s">
        <v>2564</v>
      </c>
    </row>
    <row r="24" spans="1:13">
      <c r="A24" s="3032" t="s">
        <v>2524</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2562</v>
      </c>
      <c r="M24" s="3055">
        <v>10</v>
      </c>
    </row>
    <row r="25" spans="1:13">
      <c r="A25" s="3032" t="s">
        <v>2525</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2566</v>
      </c>
      <c r="M25" s="3055">
        <v>8</v>
      </c>
    </row>
    <row r="26" spans="1:13">
      <c r="A26" s="3037"/>
      <c r="B26" s="3038"/>
      <c r="C26" s="3038"/>
      <c r="D26" s="3038"/>
      <c r="E26" s="3038"/>
      <c r="F26" s="3038"/>
      <c r="G26" s="3039"/>
      <c r="I26" s="3055">
        <v>30</v>
      </c>
      <c r="J26" s="3055">
        <v>90.5</v>
      </c>
      <c r="K26" s="3055">
        <f t="shared" si="2"/>
        <v>4.2000000000000028</v>
      </c>
      <c r="L26" s="3055" t="s">
        <v>2567</v>
      </c>
      <c r="M26" s="3055">
        <v>5</v>
      </c>
    </row>
    <row r="27" spans="1:13">
      <c r="A27" s="3037" t="s">
        <v>2526</v>
      </c>
      <c r="B27" s="3038"/>
      <c r="C27" s="3038"/>
      <c r="D27" s="3038"/>
      <c r="E27" s="3038"/>
      <c r="F27" s="3038"/>
      <c r="G27" s="3039"/>
      <c r="I27" s="3055">
        <v>35</v>
      </c>
      <c r="J27" s="3055">
        <v>93.8</v>
      </c>
      <c r="K27" s="3055">
        <f t="shared" si="2"/>
        <v>3.2999999999999972</v>
      </c>
      <c r="L27" s="3055" t="s">
        <v>2568</v>
      </c>
      <c r="M27" s="3055">
        <v>3</v>
      </c>
    </row>
    <row r="28" spans="1:13">
      <c r="A28" s="3037" t="s">
        <v>2527</v>
      </c>
      <c r="B28" s="3038"/>
      <c r="C28" s="3038"/>
      <c r="D28" s="3038"/>
      <c r="E28" s="3038"/>
      <c r="F28" s="3038"/>
      <c r="G28" s="3039"/>
      <c r="I28" s="3055">
        <v>40</v>
      </c>
      <c r="J28" s="3055">
        <v>96.4</v>
      </c>
      <c r="K28" s="3055">
        <f t="shared" si="2"/>
        <v>2.6000000000000085</v>
      </c>
      <c r="L28" s="3055" t="s">
        <v>2569</v>
      </c>
      <c r="M28" s="3055">
        <v>2</v>
      </c>
    </row>
    <row r="29" spans="1:13">
      <c r="A29" s="3037" t="s">
        <v>2528</v>
      </c>
      <c r="B29" s="3038"/>
      <c r="C29" s="3038"/>
      <c r="D29" s="3038"/>
      <c r="E29" s="3038"/>
      <c r="F29" s="3038"/>
      <c r="G29" s="3039"/>
      <c r="I29" s="3055">
        <v>45</v>
      </c>
      <c r="J29" s="3055">
        <v>98.4</v>
      </c>
      <c r="K29" s="3055">
        <f t="shared" si="2"/>
        <v>2</v>
      </c>
    </row>
    <row r="30" spans="1:13">
      <c r="A30" s="3037" t="s">
        <v>2529</v>
      </c>
      <c r="B30" s="3038"/>
      <c r="C30" s="3038"/>
      <c r="D30" s="3038"/>
      <c r="E30" s="3038"/>
      <c r="F30" s="3038"/>
      <c r="G30" s="3039"/>
      <c r="I30" s="3055">
        <v>50</v>
      </c>
      <c r="J30" s="3055">
        <v>100</v>
      </c>
      <c r="K30" s="3055">
        <f t="shared" si="2"/>
        <v>1.5999999999999943</v>
      </c>
    </row>
    <row r="31" spans="1:13">
      <c r="A31" s="3037" t="s">
        <v>2530</v>
      </c>
      <c r="B31" s="3038"/>
      <c r="C31" s="3038"/>
      <c r="D31" s="3038"/>
      <c r="E31" s="3038"/>
      <c r="F31" s="3038"/>
      <c r="G31" s="3039"/>
      <c r="I31" s="3055" t="s">
        <v>2561</v>
      </c>
    </row>
    <row r="32" spans="1:13">
      <c r="A32" s="3037" t="s">
        <v>2531</v>
      </c>
      <c r="B32" s="3038"/>
      <c r="C32" s="3038"/>
      <c r="D32" s="3038"/>
      <c r="E32" s="3038"/>
      <c r="F32" s="3038"/>
      <c r="G32" s="3039"/>
    </row>
    <row r="33" spans="1:13">
      <c r="A33" s="3037" t="s">
        <v>2532</v>
      </c>
      <c r="B33" s="3038"/>
      <c r="C33" s="3038"/>
      <c r="D33" s="3038"/>
      <c r="E33" s="3038"/>
      <c r="F33" s="3038"/>
      <c r="G33" s="3039"/>
      <c r="I33" s="3055" t="s">
        <v>2560</v>
      </c>
      <c r="J33" s="3055" t="s">
        <v>2570</v>
      </c>
    </row>
    <row r="34" spans="1:13">
      <c r="A34" s="3037" t="s">
        <v>2533</v>
      </c>
      <c r="B34" s="3038"/>
      <c r="C34" s="3038"/>
      <c r="D34" s="3038"/>
      <c r="E34" s="3038"/>
      <c r="F34" s="3038"/>
      <c r="G34" s="3039"/>
      <c r="I34" s="3055">
        <v>5</v>
      </c>
      <c r="J34" s="3055">
        <v>55.1</v>
      </c>
    </row>
    <row r="35" spans="1:13">
      <c r="A35" s="3037" t="s">
        <v>2534</v>
      </c>
      <c r="B35" s="3038"/>
      <c r="C35" s="3038"/>
      <c r="D35" s="3038"/>
      <c r="E35" s="3038"/>
      <c r="F35" s="3038"/>
      <c r="G35" s="3039"/>
      <c r="I35" s="3055">
        <v>10</v>
      </c>
      <c r="J35" s="3055">
        <v>67</v>
      </c>
      <c r="K35" s="3055">
        <f>J35-J34</f>
        <v>11.899999999999999</v>
      </c>
    </row>
    <row r="36" spans="1:13">
      <c r="A36" s="3037" t="s">
        <v>2535</v>
      </c>
      <c r="B36" s="3038"/>
      <c r="C36" s="3038"/>
      <c r="D36" s="3038"/>
      <c r="E36" s="3038"/>
      <c r="F36" s="3038"/>
      <c r="G36" s="3039"/>
      <c r="I36" s="3055">
        <v>15</v>
      </c>
      <c r="J36" s="3055">
        <v>76.3</v>
      </c>
      <c r="K36" s="3055">
        <f t="shared" ref="K36:K41" si="3">J36-J35</f>
        <v>9.2999999999999972</v>
      </c>
      <c r="L36" s="3055" t="s">
        <v>2563</v>
      </c>
      <c r="M36" s="3055" t="s">
        <v>2564</v>
      </c>
    </row>
    <row r="37" spans="1:13">
      <c r="A37" s="3037" t="s">
        <v>2536</v>
      </c>
      <c r="B37" s="3038"/>
      <c r="C37" s="3038"/>
      <c r="D37" s="3038"/>
      <c r="E37" s="3038"/>
      <c r="F37" s="3038"/>
      <c r="G37" s="3039"/>
      <c r="I37" s="3055">
        <v>20</v>
      </c>
      <c r="J37" s="3055">
        <v>83.6</v>
      </c>
      <c r="K37" s="3055">
        <f t="shared" si="3"/>
        <v>7.2999999999999972</v>
      </c>
      <c r="L37" s="3055" t="s">
        <v>2562</v>
      </c>
      <c r="M37" s="3055">
        <v>10</v>
      </c>
    </row>
    <row r="38" spans="1:13">
      <c r="A38" s="3037" t="s">
        <v>2537</v>
      </c>
      <c r="B38" s="3038"/>
      <c r="C38" s="3038"/>
      <c r="D38" s="3038"/>
      <c r="E38" s="3038"/>
      <c r="F38" s="3038"/>
      <c r="G38" s="3039"/>
      <c r="I38" s="3055">
        <v>25</v>
      </c>
      <c r="J38" s="3055">
        <v>89.3</v>
      </c>
      <c r="K38" s="3055">
        <f t="shared" si="3"/>
        <v>5.7000000000000028</v>
      </c>
      <c r="L38" s="3055" t="s">
        <v>2566</v>
      </c>
      <c r="M38" s="3055">
        <v>8</v>
      </c>
    </row>
    <row r="39" spans="1:13">
      <c r="A39" s="3037"/>
      <c r="B39" s="3038"/>
      <c r="C39" s="3038"/>
      <c r="D39" s="3038"/>
      <c r="E39" s="3038"/>
      <c r="F39" s="3038"/>
      <c r="G39" s="3039"/>
      <c r="I39" s="3055">
        <v>30</v>
      </c>
      <c r="J39" s="3055">
        <v>93.8</v>
      </c>
      <c r="K39" s="3055">
        <f t="shared" si="3"/>
        <v>4.5</v>
      </c>
      <c r="L39" s="3055" t="s">
        <v>2567</v>
      </c>
      <c r="M39" s="3055">
        <v>6</v>
      </c>
    </row>
    <row r="40" spans="1:13">
      <c r="A40" s="3040" t="s">
        <v>2538</v>
      </c>
      <c r="B40" s="3041"/>
      <c r="C40" s="3041"/>
      <c r="D40" s="3041"/>
      <c r="E40" s="3041"/>
      <c r="F40" s="3041"/>
      <c r="G40" s="3042"/>
      <c r="I40" s="3055">
        <v>35</v>
      </c>
      <c r="J40" s="3055">
        <v>97.2</v>
      </c>
      <c r="K40" s="3055">
        <f t="shared" si="3"/>
        <v>3.4000000000000057</v>
      </c>
      <c r="L40" s="3055" t="s">
        <v>2568</v>
      </c>
      <c r="M40" s="3055">
        <v>3</v>
      </c>
    </row>
    <row r="41" spans="1:13">
      <c r="A41" s="3043" t="s">
        <v>2539</v>
      </c>
      <c r="B41" s="3044" t="s">
        <v>2540</v>
      </c>
      <c r="C41" s="3045" t="s">
        <v>2541</v>
      </c>
      <c r="D41" s="3045" t="s">
        <v>2542</v>
      </c>
      <c r="E41" s="3046"/>
      <c r="F41" s="3047"/>
      <c r="G41" s="3048"/>
      <c r="I41" s="3055">
        <v>40</v>
      </c>
      <c r="J41" s="3055">
        <v>100</v>
      </c>
      <c r="K41" s="3055">
        <f t="shared" si="3"/>
        <v>2.7999999999999972</v>
      </c>
    </row>
    <row r="42" spans="1:13">
      <c r="A42" s="3043" t="s">
        <v>2543</v>
      </c>
      <c r="B42" s="3044" t="s">
        <v>2544</v>
      </c>
      <c r="C42" s="3045" t="s">
        <v>2545</v>
      </c>
      <c r="D42" s="3049" t="s">
        <v>2546</v>
      </c>
      <c r="E42" s="3041" t="s">
        <v>2547</v>
      </c>
      <c r="F42" s="3041"/>
      <c r="G42" s="3042"/>
    </row>
    <row r="43" spans="1:13">
      <c r="A43" s="3043" t="s">
        <v>2548</v>
      </c>
      <c r="B43" s="3044" t="s">
        <v>2549</v>
      </c>
      <c r="C43" s="3045" t="s">
        <v>2550</v>
      </c>
      <c r="D43" s="3045" t="s">
        <v>2551</v>
      </c>
      <c r="E43" s="3046" t="s">
        <v>2552</v>
      </c>
      <c r="F43" s="3047"/>
      <c r="G43" s="3048"/>
      <c r="I43" s="3055" t="s">
        <v>2560</v>
      </c>
      <c r="J43" s="3055" t="s">
        <v>2571</v>
      </c>
    </row>
    <row r="44" spans="1:13">
      <c r="A44" s="3043" t="s">
        <v>2553</v>
      </c>
      <c r="B44" s="3044" t="s">
        <v>2554</v>
      </c>
      <c r="C44" s="3045" t="s">
        <v>2555</v>
      </c>
      <c r="D44" s="3049">
        <v>0.5</v>
      </c>
      <c r="E44" s="3046" t="s">
        <v>2556</v>
      </c>
      <c r="F44" s="3047"/>
      <c r="G44" s="3048"/>
      <c r="I44" s="3055">
        <v>30</v>
      </c>
      <c r="J44" s="3055">
        <v>81.7</v>
      </c>
    </row>
    <row r="45" spans="1:13" ht="14.25" thickBot="1">
      <c r="A45" s="3050" t="s">
        <v>2557</v>
      </c>
      <c r="B45" s="3051" t="s">
        <v>2544</v>
      </c>
      <c r="C45" s="3052" t="s">
        <v>2544</v>
      </c>
      <c r="D45" s="3052" t="s">
        <v>2558</v>
      </c>
      <c r="E45" s="3053" t="s">
        <v>2559</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4" t="s">
        <v>2160</v>
      </c>
      <c r="B1" s="3598" t="str">
        <f>IF(B10="北京市","北京市",C10)&amp;F10&amp;IF(结果表!G1="在建","出让国有建设用地使用权及在建建筑物",IF(结果表!G1="土地","出让国有建设用地使用权",))&amp;B9&amp;"预评估"</f>
        <v>北京市预评估</v>
      </c>
      <c r="C1" s="3599"/>
      <c r="D1" s="3599"/>
      <c r="E1" s="3599"/>
      <c r="F1" s="3599"/>
      <c r="G1" s="3599"/>
      <c r="H1" s="3599"/>
      <c r="I1" s="3600"/>
      <c r="J1" s="2468"/>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5" t="s">
        <v>2161</v>
      </c>
      <c r="B2" s="2369"/>
      <c r="C2" s="2370"/>
      <c r="D2" s="2667"/>
      <c r="E2" s="2659"/>
      <c r="F2" s="2659"/>
      <c r="G2" s="2660"/>
      <c r="H2" s="2660"/>
      <c r="I2" s="2660"/>
      <c r="J2" s="2468"/>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2162</v>
      </c>
      <c r="B3" s="2371">
        <v>44972</v>
      </c>
      <c r="C3" s="2372" t="s">
        <v>2163</v>
      </c>
      <c r="D3" s="2371">
        <v>44977</v>
      </c>
      <c r="E3" s="2660"/>
      <c r="F3" s="2660"/>
      <c r="G3" s="2660"/>
      <c r="H3" s="2660"/>
      <c r="I3" s="2660"/>
      <c r="J3" s="2468"/>
      <c r="K3" s="2366"/>
      <c r="L3" s="2367"/>
      <c r="M3" s="2367"/>
      <c r="N3" s="2368"/>
      <c r="O3" s="1576"/>
      <c r="P3" s="2368"/>
      <c r="Q3" s="2368"/>
      <c r="R3" s="2368"/>
      <c r="S3" s="1682"/>
      <c r="T3" s="1745"/>
      <c r="U3" s="1745"/>
      <c r="V3" s="1745"/>
      <c r="W3" s="1745"/>
      <c r="X3" s="1745"/>
      <c r="Y3" s="1745"/>
      <c r="Z3" s="1745"/>
      <c r="AA3" s="1745"/>
      <c r="AB3" s="1745"/>
    </row>
    <row r="4" spans="1:30" ht="13.5" thickBot="1">
      <c r="A4" s="1090" t="s">
        <v>2164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5" thickTop="1">
      <c r="A5" s="2377" t="s">
        <v>2165</v>
      </c>
      <c r="B5" s="3499" t="s">
        <v>3496</v>
      </c>
      <c r="C5" s="2378"/>
      <c r="D5" s="2379"/>
      <c r="E5" s="2661"/>
      <c r="F5" s="2661"/>
      <c r="G5" s="2661"/>
      <c r="H5" s="2661"/>
      <c r="I5" s="2661"/>
      <c r="J5" s="2436"/>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0" t="s">
        <v>2166</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2167</v>
      </c>
      <c r="B7" s="2384"/>
      <c r="C7" s="2382"/>
      <c r="D7" s="2383"/>
      <c r="E7" s="2659"/>
      <c r="F7" s="2661"/>
      <c r="G7" s="2661"/>
      <c r="H7" s="2661"/>
      <c r="I7" s="2661"/>
      <c r="J7" s="2436"/>
      <c r="K7" s="2613"/>
      <c r="L7" s="2610"/>
      <c r="M7" s="2610"/>
      <c r="N7" s="2436"/>
      <c r="O7" s="2447"/>
      <c r="P7" s="2436"/>
      <c r="Q7" s="2436"/>
      <c r="R7" s="2436"/>
    </row>
    <row r="8" spans="1:30">
      <c r="A8" s="2385" t="s">
        <v>2168</v>
      </c>
      <c r="B8" s="2386"/>
      <c r="C8" s="2387"/>
      <c r="D8" s="3601" t="s">
        <v>2169</v>
      </c>
      <c r="E8" s="2388"/>
      <c r="F8" s="2389"/>
      <c r="G8" s="2660"/>
      <c r="H8" s="2660"/>
      <c r="I8" s="2660"/>
      <c r="J8" s="2436"/>
      <c r="K8" s="2611"/>
      <c r="L8" s="2610"/>
      <c r="M8" s="2610"/>
      <c r="N8" s="2436"/>
      <c r="O8" s="2447"/>
      <c r="P8" s="2436"/>
      <c r="Q8" s="2436"/>
      <c r="R8" s="2436"/>
    </row>
    <row r="9" spans="1:30" ht="13.5" thickBot="1">
      <c r="A9" s="2390" t="s">
        <v>2170</v>
      </c>
      <c r="B9" s="2391"/>
      <c r="C9" s="2392"/>
      <c r="D9" s="3602"/>
      <c r="E9" s="2391"/>
      <c r="F9" s="2393"/>
      <c r="G9" s="2662"/>
      <c r="H9" s="2662"/>
      <c r="I9" s="2662"/>
      <c r="J9" s="2436"/>
      <c r="K9" s="2613"/>
      <c r="L9" s="2610"/>
      <c r="M9" s="2610"/>
      <c r="N9" s="2436"/>
      <c r="O9" s="2447"/>
      <c r="P9" s="2436"/>
      <c r="Q9" s="2436"/>
      <c r="R9" s="2436"/>
    </row>
    <row r="10" spans="1:30" ht="13.5" thickTop="1">
      <c r="A10" s="2394" t="s">
        <v>2171</v>
      </c>
      <c r="B10" s="2395" t="s">
        <v>3569</v>
      </c>
      <c r="C10" s="2396"/>
      <c r="D10" s="2379"/>
      <c r="E10" s="2397" t="s">
        <v>2172</v>
      </c>
      <c r="F10" s="2663"/>
      <c r="G10" s="2664"/>
      <c r="H10" s="2665"/>
      <c r="I10" s="2666"/>
      <c r="J10" s="2436"/>
      <c r="K10" s="2613"/>
      <c r="L10" s="2610"/>
      <c r="M10" s="2610"/>
      <c r="N10" s="2436"/>
      <c r="O10" s="2447"/>
      <c r="P10" s="2436"/>
      <c r="Q10" s="2436"/>
      <c r="R10" s="2436"/>
    </row>
    <row r="11" spans="1:30">
      <c r="A11" s="2398" t="s">
        <v>2173</v>
      </c>
      <c r="B11" s="2399" t="s">
        <v>3568</v>
      </c>
      <c r="C11" s="2400"/>
      <c r="D11" s="2401"/>
      <c r="E11" s="2368"/>
      <c r="F11" s="2368"/>
      <c r="G11" s="2368"/>
      <c r="H11" s="2368"/>
      <c r="I11" s="2368"/>
      <c r="J11" s="3058"/>
      <c r="K11" s="3057"/>
      <c r="L11" s="2610" t="s">
        <v>3605</v>
      </c>
      <c r="M11" s="2610"/>
      <c r="N11" s="2436"/>
      <c r="O11" s="2447"/>
      <c r="P11" s="2436"/>
      <c r="Q11" s="2436"/>
      <c r="R11" s="2436"/>
    </row>
    <row r="12" spans="1:30">
      <c r="A12" s="2402" t="s">
        <v>2174</v>
      </c>
      <c r="B12" s="323" t="s">
        <v>2175</v>
      </c>
      <c r="C12" s="2403" t="s">
        <v>2176</v>
      </c>
      <c r="D12" s="2403" t="s">
        <v>2177</v>
      </c>
      <c r="E12" s="2403" t="s">
        <v>2178</v>
      </c>
      <c r="F12" s="2403" t="s">
        <v>2179</v>
      </c>
      <c r="G12" s="2403" t="s">
        <v>2180</v>
      </c>
      <c r="H12" s="2403" t="s">
        <v>2181</v>
      </c>
      <c r="I12" s="3056" t="s">
        <v>2572</v>
      </c>
      <c r="J12" s="3059"/>
      <c r="K12" s="2610"/>
      <c r="L12" s="2610">
        <f>L11+70-2</f>
        <v>2055</v>
      </c>
      <c r="M12" s="2436"/>
      <c r="N12" s="2447"/>
      <c r="O12" s="2436"/>
      <c r="P12" s="2436"/>
      <c r="Q12" s="2436"/>
      <c r="AD12" s="1745"/>
    </row>
    <row r="13" spans="1:30">
      <c r="A13" s="3420" t="s">
        <v>3332</v>
      </c>
      <c r="B13" s="2404" t="s">
        <v>2182</v>
      </c>
      <c r="C13" s="856">
        <v>56660</v>
      </c>
      <c r="D13" s="856"/>
      <c r="E13" s="856"/>
      <c r="F13" s="856"/>
      <c r="G13" s="856"/>
      <c r="H13" s="856"/>
      <c r="I13" s="856"/>
      <c r="J13" s="3059"/>
      <c r="K13" s="2610"/>
      <c r="L13" s="2610"/>
      <c r="M13" s="2436"/>
      <c r="N13" s="2447"/>
      <c r="O13" s="2436"/>
      <c r="P13" s="2436"/>
      <c r="Q13" s="2436"/>
      <c r="AD13" s="1745"/>
    </row>
    <row r="14" spans="1:30">
      <c r="A14" s="1081"/>
      <c r="B14" s="2404" t="s">
        <v>2183</v>
      </c>
      <c r="C14" s="2405">
        <v>70</v>
      </c>
      <c r="D14" s="2405"/>
      <c r="E14" s="2405"/>
      <c r="F14" s="2405"/>
      <c r="G14" s="2405"/>
      <c r="H14" s="2405"/>
      <c r="I14" s="2405"/>
      <c r="J14" s="3060"/>
      <c r="K14" s="2610"/>
      <c r="L14" s="2610"/>
      <c r="M14" s="2436"/>
      <c r="N14" s="2447"/>
      <c r="O14" s="2436"/>
      <c r="P14" s="2436"/>
      <c r="Q14" s="2436"/>
      <c r="AD14" s="1745"/>
    </row>
    <row r="15" spans="1:30">
      <c r="A15" s="320"/>
      <c r="B15" s="2406" t="s">
        <v>2184</v>
      </c>
      <c r="C15" s="2407">
        <f>IF(A13="出让",IF(C13="","",ROUNDDOWN(MIN((C13-$D$3)/365,C14),2)),C14)</f>
        <v>32</v>
      </c>
      <c r="D15" s="2407" t="str">
        <f>IF(A13="出让",IF(D13="","",ROUNDDOWN(MIN((D13-$D$3)/365,D14),2)),D14)</f>
        <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7" t="s">
        <v>2185</v>
      </c>
      <c r="B16" s="3608"/>
      <c r="C16" s="3609"/>
      <c r="D16" s="3610"/>
      <c r="E16" s="2410" t="s">
        <v>2186</v>
      </c>
      <c r="F16" s="3611"/>
      <c r="G16" s="3612"/>
      <c r="H16" s="3612"/>
      <c r="I16" s="3613"/>
      <c r="J16" s="2436"/>
      <c r="K16" s="2614"/>
      <c r="L16" s="2448"/>
      <c r="M16" s="2448"/>
      <c r="N16" s="2506"/>
      <c r="O16" s="2448"/>
      <c r="P16" s="2506"/>
      <c r="Q16" s="2436"/>
      <c r="R16" s="2436"/>
    </row>
    <row r="17" spans="1:28">
      <c r="A17" s="313" t="s">
        <v>2187</v>
      </c>
      <c r="B17" s="302" t="s">
        <v>2188</v>
      </c>
      <c r="C17" s="8">
        <f>'数据-汇总表'!E3</f>
        <v>85.3</v>
      </c>
      <c r="D17" s="2320" t="s">
        <v>2189</v>
      </c>
      <c r="E17" s="3614" t="s">
        <v>2190</v>
      </c>
      <c r="F17" s="3615"/>
      <c r="G17" s="3615"/>
      <c r="H17" s="3615"/>
      <c r="I17" s="3616"/>
      <c r="J17" s="2436"/>
      <c r="K17" s="2615"/>
      <c r="L17" s="2448"/>
      <c r="M17" s="2448"/>
      <c r="N17" s="2506"/>
      <c r="O17" s="2448"/>
      <c r="P17" s="2506"/>
      <c r="Q17" s="2436"/>
      <c r="R17" s="2436"/>
      <c r="S17" s="2436"/>
      <c r="T17" s="2436"/>
      <c r="U17" s="2436"/>
      <c r="V17" s="2436"/>
    </row>
    <row r="18" spans="1:28" ht="24.75" thickBot="1">
      <c r="A18" s="2411" t="s">
        <v>2191</v>
      </c>
      <c r="B18" s="1090" t="s">
        <v>2192</v>
      </c>
      <c r="C18" s="2412">
        <f>'数据-汇总表'!D3</f>
        <v>0</v>
      </c>
      <c r="D18" s="1092" t="s">
        <v>2193</v>
      </c>
      <c r="E18" s="3617" t="s">
        <v>2194</v>
      </c>
      <c r="F18" s="3618"/>
      <c r="G18" s="3618"/>
      <c r="H18" s="3618"/>
      <c r="I18" s="3619"/>
      <c r="J18" s="2436"/>
      <c r="K18" s="2615"/>
      <c r="L18" s="2448"/>
      <c r="M18" s="2448"/>
      <c r="N18" s="2506"/>
      <c r="O18" s="2448"/>
      <c r="P18" s="2506"/>
      <c r="Q18" s="2436"/>
      <c r="R18" s="2436"/>
      <c r="S18" s="2436"/>
      <c r="T18" s="2436"/>
      <c r="U18" s="2436"/>
      <c r="V18" s="2436"/>
    </row>
    <row r="19" spans="1:28" ht="37.5" thickTop="1" thickBot="1">
      <c r="A19" s="327" t="s">
        <v>1051</v>
      </c>
      <c r="B19" s="307" t="s">
        <v>2195</v>
      </c>
      <c r="C19" s="1563"/>
      <c r="D19" s="1564" t="s">
        <v>2196</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2197</v>
      </c>
      <c r="B20" s="3604" t="s">
        <v>2198</v>
      </c>
      <c r="C20" s="3605"/>
      <c r="D20" s="3606" t="s">
        <v>2199</v>
      </c>
      <c r="E20" s="3607"/>
      <c r="F20" s="2644" t="s">
        <v>1052</v>
      </c>
      <c r="G20" s="2661"/>
      <c r="H20" s="2661"/>
      <c r="I20" s="2661"/>
      <c r="J20" s="2436"/>
      <c r="K20" s="3603" t="s">
        <v>2200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5"/>
      <c r="X20" s="1745"/>
      <c r="Y20" s="1745"/>
      <c r="Z20" s="1745"/>
      <c r="AA20" s="1745"/>
      <c r="AB20" s="1745"/>
    </row>
    <row r="21" spans="1:28" ht="24.75" thickBot="1">
      <c r="A21" s="2629"/>
      <c r="B21" s="2630" t="s">
        <v>2201</v>
      </c>
      <c r="C21" s="2631" t="s">
        <v>1053</v>
      </c>
      <c r="D21" s="1568" t="s">
        <v>2202</v>
      </c>
      <c r="E21" s="2632" t="s">
        <v>1053</v>
      </c>
      <c r="F21" s="2645"/>
      <c r="G21" s="2661"/>
      <c r="H21" s="2661"/>
      <c r="I21" s="2661"/>
      <c r="J21" s="2436"/>
      <c r="K21" s="36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5"/>
      <c r="X21" s="1745"/>
      <c r="Y21" s="1745"/>
      <c r="Z21" s="1745"/>
      <c r="AA21" s="1745"/>
      <c r="AB21" s="1745"/>
    </row>
    <row r="22" spans="1:28" ht="24.75" thickBot="1">
      <c r="A22" s="2629"/>
      <c r="B22" s="2633" t="s">
        <v>2203</v>
      </c>
      <c r="C22" s="2631" t="s">
        <v>1054</v>
      </c>
      <c r="D22" s="2660"/>
      <c r="E22" s="2660"/>
      <c r="F22" s="2660"/>
      <c r="G22" s="2661"/>
      <c r="H22" s="2661"/>
      <c r="I22" s="2661"/>
      <c r="J22" s="2436"/>
      <c r="K22" s="36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5"/>
      <c r="X22" s="1745"/>
      <c r="Y22" s="1745"/>
      <c r="Z22" s="1745"/>
      <c r="AA22" s="1745"/>
      <c r="AB22" s="1745"/>
    </row>
    <row r="23" spans="1:28">
      <c r="A23" s="2634" t="s">
        <v>2204</v>
      </c>
      <c r="B23" s="2499" t="s">
        <v>2205</v>
      </c>
      <c r="C23" s="2635"/>
      <c r="D23" s="2636" t="s">
        <v>2205</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1055</v>
      </c>
      <c r="C24" s="2638"/>
      <c r="D24" s="2634" t="s">
        <v>1055</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1056</v>
      </c>
      <c r="C25" s="2638"/>
      <c r="D25" s="2634" t="s">
        <v>1056</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1057</v>
      </c>
      <c r="C26" s="2642"/>
      <c r="D26" s="2640" t="s">
        <v>1057</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621" t="s">
        <v>2206</v>
      </c>
      <c r="B27" s="320" t="s">
        <v>2207</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21"/>
      <c r="B28" s="302" t="s">
        <v>2208</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21"/>
      <c r="B29" s="302" t="s">
        <v>2209</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22"/>
      <c r="B30" s="302" t="s">
        <v>2210</v>
      </c>
      <c r="C30" s="3623"/>
      <c r="D30" s="3624"/>
      <c r="E30" s="2661"/>
      <c r="F30" s="2661"/>
      <c r="G30" s="2661"/>
      <c r="H30" s="2661"/>
      <c r="I30" s="2661"/>
      <c r="J30" s="2436"/>
      <c r="K30" s="2613"/>
      <c r="L30" s="2610"/>
      <c r="M30" s="2610"/>
      <c r="N30" s="2436"/>
      <c r="O30" s="2447"/>
      <c r="P30" s="2436"/>
      <c r="Q30" s="2436"/>
      <c r="R30" s="2436"/>
      <c r="S30" s="2436"/>
      <c r="T30" s="2436"/>
      <c r="U30" s="2436"/>
      <c r="V30" s="2436"/>
    </row>
    <row r="31" spans="1:28">
      <c r="A31" s="3625" t="s">
        <v>2211</v>
      </c>
      <c r="B31" s="2419"/>
      <c r="C31" s="2321"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626"/>
      <c r="B32" s="2419"/>
      <c r="C32" s="2321"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62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2212</v>
      </c>
      <c r="B34" s="2024"/>
      <c r="C34" s="2024"/>
      <c r="D34" s="2024"/>
      <c r="E34" s="2024"/>
      <c r="F34" s="2024"/>
      <c r="G34" s="2024"/>
      <c r="H34" s="2024"/>
      <c r="I34" s="2661"/>
      <c r="J34" s="2436"/>
      <c r="K34" s="2424">
        <f>COUNTIF(B34:H34,"——")</f>
        <v>0</v>
      </c>
      <c r="L34" s="323" t="s">
        <v>2213</v>
      </c>
      <c r="M34" s="323" t="s">
        <v>2214</v>
      </c>
      <c r="N34" s="323" t="s">
        <v>2215</v>
      </c>
      <c r="O34" s="323" t="s">
        <v>2216</v>
      </c>
      <c r="P34" s="323" t="s">
        <v>2217</v>
      </c>
      <c r="Q34" s="323" t="s">
        <v>2218</v>
      </c>
      <c r="R34" s="323" t="s">
        <v>2219</v>
      </c>
      <c r="S34" s="3620" t="s">
        <v>2220</v>
      </c>
      <c r="T34" s="2425" t="str">
        <f>NUMBERSTRING(7-K34,1)&amp;"通"</f>
        <v>七通</v>
      </c>
      <c r="U34" s="2436"/>
      <c r="V34" s="2436"/>
    </row>
    <row r="35" spans="1:30">
      <c r="A35" s="2426"/>
      <c r="B35" s="3627" t="s">
        <v>2221</v>
      </c>
      <c r="C35" s="3627"/>
      <c r="D35" s="3627"/>
      <c r="E35" s="36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20"/>
      <c r="T35" s="329" t="str">
        <f>IF(T34="一通",L35,IF(T34="二通",M35,IF(T34="三通",N35,IF(T34="四通",O35,IF(T34="五通",P35,IF(T34="六通",Q35,R35))))))</f>
        <v>、、、、、、</v>
      </c>
      <c r="U35" s="2436"/>
      <c r="V35" s="2436"/>
    </row>
    <row r="36" spans="1:30">
      <c r="A36" s="2427"/>
      <c r="B36" s="664" t="s">
        <v>2177</v>
      </c>
      <c r="C36" s="664" t="s">
        <v>2178</v>
      </c>
      <c r="D36" s="664" t="s">
        <v>2176</v>
      </c>
      <c r="E36" s="664" t="s">
        <v>2181</v>
      </c>
      <c r="F36" s="3062" t="s">
        <v>2575</v>
      </c>
      <c r="G36" s="2661"/>
      <c r="H36" s="2661"/>
      <c r="I36" s="2661"/>
      <c r="J36" s="2436"/>
      <c r="K36" s="2613"/>
      <c r="L36" s="2610"/>
      <c r="M36" s="2610"/>
      <c r="N36" s="2436"/>
      <c r="O36" s="2447"/>
      <c r="P36" s="2436"/>
      <c r="Q36" s="2436"/>
      <c r="R36" s="2436"/>
      <c r="S36" s="2436"/>
      <c r="T36" s="2436"/>
      <c r="U36" s="2436"/>
      <c r="V36" s="2436"/>
    </row>
    <row r="37" spans="1:30">
      <c r="A37" s="2627" t="s">
        <v>2222</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2223</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2224</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8"/>
      <c r="J40" s="2506"/>
      <c r="K40" s="2612"/>
      <c r="L40" s="2448"/>
      <c r="M40" s="2448"/>
      <c r="N40" s="2506"/>
      <c r="O40" s="2448"/>
      <c r="P40" s="2436"/>
      <c r="Q40" s="2436"/>
      <c r="R40" s="2436"/>
      <c r="S40" s="2436"/>
      <c r="T40" s="2436"/>
      <c r="U40" s="2436"/>
      <c r="V40" s="2436"/>
    </row>
    <row r="41" spans="1:30">
      <c r="A41" s="2433" t="s">
        <v>2225</v>
      </c>
      <c r="B41" s="1757"/>
      <c r="C41" s="1373"/>
      <c r="D41" s="2368"/>
      <c r="E41" s="2368"/>
      <c r="F41" s="2368"/>
      <c r="G41" s="2368"/>
      <c r="H41" s="2368"/>
      <c r="I41" s="1576"/>
      <c r="J41" s="2436"/>
      <c r="K41" s="2613"/>
      <c r="L41" s="2610"/>
      <c r="M41" s="2610"/>
      <c r="N41" s="2436"/>
      <c r="O41" s="2447"/>
      <c r="P41" s="2436"/>
      <c r="Q41" s="2436"/>
      <c r="R41" s="2436"/>
      <c r="S41" s="2436"/>
      <c r="T41" s="2436"/>
      <c r="U41" s="2436"/>
      <c r="V41" s="2436"/>
    </row>
    <row r="42" spans="1:30" ht="25.5">
      <c r="A42" s="323" t="s">
        <v>2226</v>
      </c>
      <c r="B42" s="8" t="s">
        <v>2227</v>
      </c>
      <c r="C42" s="8" t="s">
        <v>2228</v>
      </c>
      <c r="D42" s="8" t="s">
        <v>2229</v>
      </c>
      <c r="E42" s="8" t="s">
        <v>2230</v>
      </c>
      <c r="F42" s="8" t="s">
        <v>2231</v>
      </c>
      <c r="G42" s="8" t="s">
        <v>2232</v>
      </c>
      <c r="H42" s="8" t="s">
        <v>2233</v>
      </c>
      <c r="I42" s="8" t="s">
        <v>2234</v>
      </c>
      <c r="J42" s="2623" t="s">
        <v>2235</v>
      </c>
      <c r="K42" s="2624" t="s">
        <v>2236</v>
      </c>
      <c r="L42" s="2624" t="s">
        <v>2237</v>
      </c>
      <c r="M42" s="2624" t="s">
        <v>2238</v>
      </c>
      <c r="N42" s="2617" t="s">
        <v>2239</v>
      </c>
      <c r="O42" s="2617" t="s">
        <v>2240</v>
      </c>
      <c r="P42" s="2617" t="s">
        <v>2241</v>
      </c>
      <c r="Q42" s="2618" t="s">
        <v>2242</v>
      </c>
      <c r="R42" s="2618" t="s">
        <v>2243</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D9" sqref="D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85.3</v>
      </c>
      <c r="C3" s="1580" t="s">
        <v>1066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1067</v>
      </c>
      <c r="B5" s="1347"/>
      <c r="C5" s="1347"/>
      <c r="D5" s="1349"/>
      <c r="E5" s="13" t="s">
        <v>0</v>
      </c>
      <c r="F5" s="13">
        <f>SUM(F13:F587)</f>
        <v>0</v>
      </c>
      <c r="G5" s="13">
        <f>SUM(G13:G587)</f>
        <v>85.3</v>
      </c>
      <c r="H5" s="13">
        <f t="shared" ref="H5:AT5" si="0">SUM(H13:H656)</f>
        <v>85.3</v>
      </c>
      <c r="I5" s="13">
        <f t="shared" si="0"/>
        <v>85.3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1067</v>
      </c>
      <c r="AW5" s="1347"/>
      <c r="AX5" s="1347"/>
      <c r="AY5" s="14" t="s">
        <v>2</v>
      </c>
      <c r="AZ5" s="15">
        <f t="shared" ref="AZ5:BT5" si="1">SUM(AZ13:AZ656)</f>
        <v>85.3</v>
      </c>
      <c r="BA5" s="15">
        <f t="shared" si="1"/>
        <v>85.3</v>
      </c>
      <c r="BB5" s="15">
        <f t="shared" si="1"/>
        <v>85.3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1068</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1068</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1069</v>
      </c>
      <c r="B7" s="1569" t="s">
        <v>1070</v>
      </c>
      <c r="C7" s="1569" t="s">
        <v>1071</v>
      </c>
      <c r="D7" s="1569" t="s">
        <v>1072</v>
      </c>
      <c r="E7" s="1569" t="s">
        <v>1073</v>
      </c>
      <c r="F7" s="1569" t="s">
        <v>1074</v>
      </c>
      <c r="G7" s="1590" t="s">
        <v>1075</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1076</v>
      </c>
      <c r="AV7" s="20" t="s">
        <v>1077</v>
      </c>
      <c r="AW7" s="1578" t="s">
        <v>1078</v>
      </c>
      <c r="AX7" s="20" t="s">
        <v>1071</v>
      </c>
      <c r="AY7" s="1347" t="s">
        <v>1079</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1080</v>
      </c>
      <c r="H8" s="1596" t="s">
        <v>1081</v>
      </c>
      <c r="I8" s="1597"/>
      <c r="J8" s="1360"/>
      <c r="K8" s="1360"/>
      <c r="L8" s="1360"/>
      <c r="M8" s="1360"/>
      <c r="N8" s="1360"/>
      <c r="O8" s="1360"/>
      <c r="P8" s="1360"/>
      <c r="Q8" s="1360"/>
      <c r="R8" s="1360"/>
      <c r="S8" s="1360"/>
      <c r="T8" s="1360"/>
      <c r="U8" s="1360"/>
      <c r="V8" s="1598"/>
      <c r="W8" s="1360"/>
      <c r="X8" s="1360"/>
      <c r="Y8" s="1360"/>
      <c r="Z8" s="1360"/>
      <c r="AA8" s="1598"/>
      <c r="AB8" s="1599"/>
      <c r="AC8" s="809" t="s">
        <v>1082</v>
      </c>
      <c r="AD8" s="1600"/>
      <c r="AE8" s="1592"/>
      <c r="AF8" s="1360"/>
      <c r="AG8" s="1360"/>
      <c r="AH8" s="1360"/>
      <c r="AI8" s="1360"/>
      <c r="AJ8" s="1360"/>
      <c r="AK8" s="1360"/>
      <c r="AL8" s="1360"/>
      <c r="AM8" s="1360"/>
      <c r="AN8" s="1360"/>
      <c r="AO8" s="1360"/>
      <c r="AP8" s="1360"/>
      <c r="AQ8" s="1360"/>
      <c r="AR8" s="1360"/>
      <c r="AS8" s="1360"/>
      <c r="AT8" s="1070" t="s">
        <v>1083</v>
      </c>
      <c r="AU8" s="1594" t="s">
        <v>1084</v>
      </c>
      <c r="AV8" s="1070"/>
      <c r="AW8" s="1577"/>
      <c r="AX8" s="1070"/>
      <c r="AY8" s="1578" t="s">
        <v>1085</v>
      </c>
      <c r="AZ8" s="1359" t="s">
        <v>1086</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1087</v>
      </c>
      <c r="I9" s="1603" t="s">
        <v>3497</v>
      </c>
      <c r="J9" s="809"/>
      <c r="K9" s="1603"/>
      <c r="L9" s="809"/>
      <c r="M9" s="1603"/>
      <c r="N9" s="809"/>
      <c r="O9" s="1603"/>
      <c r="P9" s="809"/>
      <c r="Q9" s="1603"/>
      <c r="R9" s="809"/>
      <c r="S9" s="1603"/>
      <c r="T9" s="809"/>
      <c r="U9" s="1603"/>
      <c r="V9" s="809"/>
      <c r="W9" s="1603"/>
      <c r="X9" s="1604"/>
      <c r="Y9" s="1603"/>
      <c r="Z9" s="809"/>
      <c r="AA9" s="1603"/>
      <c r="AB9" s="809"/>
      <c r="AC9" s="1595" t="s">
        <v>1087</v>
      </c>
      <c r="AD9" s="12" t="s">
        <v>1088</v>
      </c>
      <c r="AE9" s="1076"/>
      <c r="AF9" s="12" t="s">
        <v>1089</v>
      </c>
      <c r="AG9" s="1076"/>
      <c r="AH9" s="12" t="s">
        <v>1088</v>
      </c>
      <c r="AI9" s="1076"/>
      <c r="AJ9" s="12" t="s">
        <v>1089</v>
      </c>
      <c r="AK9" s="1076"/>
      <c r="AL9" s="12" t="s">
        <v>1088</v>
      </c>
      <c r="AM9" s="1076"/>
      <c r="AN9" s="12" t="s">
        <v>1089</v>
      </c>
      <c r="AO9" s="1076"/>
      <c r="AP9" s="12" t="s">
        <v>1088</v>
      </c>
      <c r="AQ9" s="1076"/>
      <c r="AR9" s="12" t="s">
        <v>1089</v>
      </c>
      <c r="AS9" s="1605"/>
      <c r="AT9" s="1594"/>
      <c r="AU9" s="1594" t="s">
        <v>1090</v>
      </c>
      <c r="AV9" s="1070"/>
      <c r="AW9" s="1577"/>
      <c r="AX9" s="1070"/>
      <c r="AY9" s="25"/>
      <c r="AZ9" s="25" t="s">
        <v>1080</v>
      </c>
      <c r="BA9" s="1606" t="s">
        <v>1091</v>
      </c>
      <c r="BB9" s="1607"/>
      <c r="BC9" s="1088"/>
      <c r="BD9" s="1088"/>
      <c r="BE9" s="1088"/>
      <c r="BF9" s="1088"/>
      <c r="BG9" s="1088"/>
      <c r="BH9" s="1088"/>
      <c r="BI9" s="1088"/>
      <c r="BJ9" s="1088"/>
      <c r="BK9" s="1608"/>
      <c r="BL9" s="12" t="s">
        <v>1092</v>
      </c>
      <c r="BM9" s="1360"/>
      <c r="BN9" s="1597"/>
      <c r="BO9" s="1360"/>
      <c r="BP9" s="1360"/>
      <c r="BQ9" s="1360"/>
      <c r="BR9" s="1360"/>
      <c r="BS9" s="1360"/>
      <c r="BT9" s="23"/>
    </row>
    <row r="10" spans="1:72" s="1601" customFormat="1" ht="12.75">
      <c r="A10" s="1594"/>
      <c r="B10" s="1594"/>
      <c r="C10" s="1594"/>
      <c r="D10" s="1594"/>
      <c r="E10" s="1594"/>
      <c r="F10" s="1594"/>
      <c r="G10" s="1070"/>
      <c r="H10" s="25"/>
      <c r="I10" s="1603" t="s">
        <v>3498</v>
      </c>
      <c r="J10" s="809"/>
      <c r="K10" s="1609"/>
      <c r="L10" s="809"/>
      <c r="M10" s="1609"/>
      <c r="N10" s="809"/>
      <c r="O10" s="1609"/>
      <c r="P10" s="809"/>
      <c r="Q10" s="1609"/>
      <c r="R10" s="809"/>
      <c r="S10" s="1609"/>
      <c r="T10" s="809"/>
      <c r="U10" s="1609"/>
      <c r="V10" s="809"/>
      <c r="W10" s="1609"/>
      <c r="X10" s="809"/>
      <c r="Y10" s="1609"/>
      <c r="Z10" s="809"/>
      <c r="AA10" s="1609"/>
      <c r="AB10" s="809"/>
      <c r="AC10" s="1070"/>
      <c r="AD10" s="12" t="s">
        <v>1093</v>
      </c>
      <c r="AE10" s="1610"/>
      <c r="AF10" s="12" t="s">
        <v>1093</v>
      </c>
      <c r="AG10" s="1610"/>
      <c r="AH10" s="12" t="s">
        <v>1094</v>
      </c>
      <c r="AI10" s="1610"/>
      <c r="AJ10" s="12" t="s">
        <v>1094</v>
      </c>
      <c r="AK10" s="1610"/>
      <c r="AL10" s="12" t="s">
        <v>1095</v>
      </c>
      <c r="AM10" s="1076"/>
      <c r="AN10" s="12" t="s">
        <v>1095</v>
      </c>
      <c r="AO10" s="1076"/>
      <c r="AP10" s="12" t="s">
        <v>1096</v>
      </c>
      <c r="AQ10" s="1076"/>
      <c r="AR10" s="12" t="s">
        <v>1096</v>
      </c>
      <c r="AS10" s="1076"/>
      <c r="AT10" s="1594"/>
      <c r="AU10" s="1594"/>
      <c r="AV10" s="1070"/>
      <c r="AW10" s="1577"/>
      <c r="AX10" s="1070"/>
      <c r="AY10" s="25"/>
      <c r="AZ10" s="25"/>
      <c r="BA10" s="1611" t="s">
        <v>1087</v>
      </c>
      <c r="BB10" s="1612" t="str">
        <f>I9</f>
        <v>地上</v>
      </c>
      <c r="BC10" s="26">
        <f>K9</f>
        <v>0</v>
      </c>
      <c r="BD10" s="26">
        <f>M9</f>
        <v>0</v>
      </c>
      <c r="BE10" s="26">
        <f>O9</f>
        <v>0</v>
      </c>
      <c r="BF10" s="26">
        <f>Q9</f>
        <v>0</v>
      </c>
      <c r="BG10" s="26">
        <f>S9</f>
        <v>0</v>
      </c>
      <c r="BH10" s="26">
        <f>U9</f>
        <v>0</v>
      </c>
      <c r="BI10" s="26">
        <f>W9</f>
        <v>0</v>
      </c>
      <c r="BJ10" s="26">
        <f>Y9</f>
        <v>0</v>
      </c>
      <c r="BK10" s="26">
        <f>AA9</f>
        <v>0</v>
      </c>
      <c r="BL10" s="22" t="s">
        <v>1087</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1097</v>
      </c>
      <c r="AE11" s="1361"/>
      <c r="AF11" s="1616" t="s">
        <v>1097</v>
      </c>
      <c r="AG11" s="1361"/>
      <c r="AH11" s="1616" t="s">
        <v>1098</v>
      </c>
      <c r="AI11" s="1617"/>
      <c r="AJ11" s="1616" t="s">
        <v>1098</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346" t="s">
        <v>1100</v>
      </c>
      <c r="W12" s="8" t="s">
        <v>1099</v>
      </c>
      <c r="X12" s="8" t="s">
        <v>1100</v>
      </c>
      <c r="Y12" s="8" t="s">
        <v>1099</v>
      </c>
      <c r="Z12" s="8" t="s">
        <v>1100</v>
      </c>
      <c r="AA12" s="8" t="s">
        <v>1099</v>
      </c>
      <c r="AB12" s="8" t="s">
        <v>1100</v>
      </c>
      <c r="AC12" s="1621"/>
      <c r="AD12" s="1349"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619" t="s">
        <v>1100</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3500</v>
      </c>
      <c r="E13" s="13">
        <f>IF($C$3="是",ROUND($A$3*G13/$B$3,2),ROUND($A$3*(G13-AT13)/$B$3,2))</f>
        <v>0</v>
      </c>
      <c r="F13" s="29"/>
      <c r="G13" s="30">
        <f>H13+AC13+AT13</f>
        <v>85.3</v>
      </c>
      <c r="H13" s="17">
        <f>SUMIF(I$12:AB$12,"总值",I13:AB13)</f>
        <v>85.3</v>
      </c>
      <c r="I13" s="1626">
        <v>85.3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85.3</v>
      </c>
      <c r="BA13" s="13">
        <f>SUM(BB13:BK13)</f>
        <v>85.3</v>
      </c>
      <c r="BB13" s="13">
        <f>IF($D13="是",I13-J13,0)</f>
        <v>85.3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1126</v>
      </c>
      <c r="B1" s="1139"/>
      <c r="C1" s="1139"/>
      <c r="D1" s="1139"/>
      <c r="E1" s="1139"/>
      <c r="F1" s="1139"/>
      <c r="G1" s="1139"/>
      <c r="H1" s="1139"/>
      <c r="I1" s="1139"/>
      <c r="J1" s="1139"/>
      <c r="K1" s="1139"/>
      <c r="L1" s="1139"/>
      <c r="M1" s="1139"/>
      <c r="N1" s="1139"/>
      <c r="O1" s="1139"/>
      <c r="P1" s="1139"/>
    </row>
    <row r="2" spans="1:16" ht="15">
      <c r="A2" s="3637" t="s">
        <v>1127</v>
      </c>
      <c r="B2" s="3637"/>
      <c r="C2" s="3637"/>
      <c r="D2" s="796" t="s">
        <v>1103</v>
      </c>
      <c r="E2" s="1639" t="s">
        <v>1104</v>
      </c>
      <c r="F2" s="2656"/>
      <c r="G2" s="2647"/>
      <c r="H2" s="2648"/>
      <c r="I2" s="2323" t="s">
        <v>1128</v>
      </c>
      <c r="J2" s="2656"/>
      <c r="K2" s="2656"/>
      <c r="L2" s="2656"/>
      <c r="M2" s="2656"/>
      <c r="N2" s="2658"/>
      <c r="O2" s="2656"/>
      <c r="P2" s="2656"/>
    </row>
    <row r="3" spans="1:16" ht="15.75" thickBot="1">
      <c r="A3" s="3638" t="s">
        <v>1101</v>
      </c>
      <c r="B3" s="3638"/>
      <c r="C3" s="3638"/>
      <c r="D3" s="43">
        <f>'数据-基础表'!AY6</f>
        <v>0</v>
      </c>
      <c r="E3" s="43">
        <f>'数据-基础表'!AZ5</f>
        <v>85.3</v>
      </c>
      <c r="F3" s="2656"/>
      <c r="G3" s="1145"/>
      <c r="H3" s="1026" t="s">
        <v>1102</v>
      </c>
      <c r="I3" s="855" t="e">
        <f>ROUND('数据-基础表'!B3/'数据-基础表'!A3,2)</f>
        <v>#DIV/0!</v>
      </c>
      <c r="J3" s="2656"/>
      <c r="K3" s="2656"/>
      <c r="L3" s="2656"/>
      <c r="M3" s="2656"/>
      <c r="N3" s="2658"/>
      <c r="O3" s="2656"/>
      <c r="P3" s="2656"/>
    </row>
    <row r="4" spans="1:16" ht="15">
      <c r="A4" s="3639"/>
      <c r="B4" s="3640"/>
      <c r="C4" s="3641"/>
      <c r="D4" s="1641" t="s">
        <v>1103</v>
      </c>
      <c r="E4" s="1642" t="s">
        <v>1104</v>
      </c>
      <c r="F4" s="2656"/>
      <c r="G4" s="2649" t="s">
        <v>1129</v>
      </c>
      <c r="H4" s="1026" t="s">
        <v>1109</v>
      </c>
      <c r="I4" s="855" t="e">
        <f>ROUND(SUMIF('数据-基础表'!I9:AS9,"地上",'数据-基础表'!I5:AS5)/'数据-基础表'!A3,2)</f>
        <v>#DIV/0!</v>
      </c>
      <c r="J4" s="2656"/>
      <c r="K4" s="2656"/>
      <c r="L4" s="2656"/>
      <c r="M4" s="2656"/>
      <c r="N4" s="2658"/>
      <c r="O4" s="2656"/>
      <c r="P4" s="2656"/>
    </row>
    <row r="5" spans="1:16">
      <c r="A5" s="44" t="s">
        <v>1105</v>
      </c>
      <c r="B5" s="3642" t="s">
        <v>1106</v>
      </c>
      <c r="C5" s="3642"/>
      <c r="D5" s="45">
        <f>ROUND($D$3*E5/$E$3,2)</f>
        <v>0</v>
      </c>
      <c r="E5" s="46">
        <f>SUMIF('数据-基础表'!$11:$11,"住宅",'数据-基础表'!$5:$5)</f>
        <v>85.3</v>
      </c>
      <c r="F5" s="2656"/>
      <c r="G5" s="1145"/>
      <c r="H5" s="1026" t="s">
        <v>1102</v>
      </c>
      <c r="I5" s="855" t="e">
        <f>ROUND(E31/D31,2)</f>
        <v>#DIV/0!</v>
      </c>
      <c r="J5" s="2656"/>
      <c r="K5" s="2656"/>
      <c r="L5" s="2656"/>
      <c r="M5" s="2656"/>
      <c r="N5" s="2656"/>
      <c r="O5" s="2656"/>
      <c r="P5" s="2656"/>
    </row>
    <row r="6" spans="1:16" ht="15" thickBot="1">
      <c r="A6" s="1644"/>
      <c r="B6" s="3642" t="s">
        <v>1107</v>
      </c>
      <c r="C6" s="3642"/>
      <c r="D6" s="45">
        <f>ROUND($D$3*E6/$E$3,2)</f>
        <v>0</v>
      </c>
      <c r="E6" s="46">
        <f>E3-E5</f>
        <v>0</v>
      </c>
      <c r="F6" s="2656"/>
      <c r="G6" s="2650" t="s">
        <v>1108</v>
      </c>
      <c r="H6" s="1146" t="s">
        <v>1109</v>
      </c>
      <c r="I6" s="2651" t="e">
        <f>ROUND(F31/D31,2)</f>
        <v>#DIV/0!</v>
      </c>
      <c r="J6" s="2656"/>
      <c r="K6" s="2656"/>
      <c r="L6" s="2656"/>
      <c r="M6" s="2656"/>
      <c r="N6" s="2656"/>
      <c r="O6" s="2656"/>
      <c r="P6" s="2656"/>
    </row>
    <row r="7" spans="1:16" ht="15.75" thickBot="1">
      <c r="A7" s="3634"/>
      <c r="B7" s="3635"/>
      <c r="C7" s="3636"/>
      <c r="D7" s="1641" t="s">
        <v>1103</v>
      </c>
      <c r="E7" s="1645" t="s">
        <v>1110</v>
      </c>
      <c r="F7" s="2656"/>
      <c r="G7" s="2652" t="s">
        <v>1111</v>
      </c>
      <c r="H7" s="2653"/>
      <c r="I7" s="2654"/>
      <c r="J7" s="2656"/>
      <c r="K7" s="2656"/>
      <c r="L7" s="2656"/>
      <c r="M7" s="2656"/>
      <c r="N7" s="2656"/>
      <c r="O7" s="2656"/>
      <c r="P7" s="2656"/>
    </row>
    <row r="8" spans="1:16">
      <c r="A8" s="44" t="s">
        <v>1112</v>
      </c>
      <c r="B8" s="47" t="s">
        <v>1113</v>
      </c>
      <c r="C8" s="45" t="s">
        <v>1114</v>
      </c>
      <c r="D8" s="45">
        <f t="shared" ref="D8:D15" si="0">ROUND($D$3*E8/$E$3,2)</f>
        <v>0</v>
      </c>
      <c r="E8" s="48">
        <f>SUMIF('数据-基础表'!BB10:BK10,"地上",'数据-基础表'!BB5:BK5)</f>
        <v>85.3</v>
      </c>
      <c r="F8" s="2656"/>
      <c r="G8" s="2657"/>
      <c r="H8" s="2657"/>
      <c r="I8" s="2656"/>
      <c r="J8" s="2656"/>
      <c r="K8" s="2656"/>
      <c r="L8" s="2656"/>
      <c r="M8" s="2656"/>
      <c r="N8" s="2656"/>
      <c r="O8" s="2656"/>
      <c r="P8" s="2656"/>
    </row>
    <row r="9" spans="1:16">
      <c r="A9" s="1646"/>
      <c r="B9" s="1647"/>
      <c r="C9" s="45" t="s">
        <v>1115</v>
      </c>
      <c r="D9" s="45">
        <f t="shared" si="0"/>
        <v>0</v>
      </c>
      <c r="E9" s="49">
        <v>0</v>
      </c>
      <c r="F9" s="2656"/>
      <c r="G9" s="2657"/>
      <c r="H9" s="2657"/>
      <c r="I9" s="2656"/>
      <c r="J9" s="2656"/>
      <c r="K9" s="2656"/>
      <c r="L9" s="2656"/>
      <c r="M9" s="2656"/>
      <c r="N9" s="2656"/>
      <c r="O9" s="2656"/>
      <c r="P9" s="2656"/>
    </row>
    <row r="10" spans="1:16">
      <c r="A10" s="1646"/>
      <c r="B10" s="1647"/>
      <c r="C10" s="45" t="s">
        <v>1124</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1116</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1117</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1118</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1130</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1125</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1119</v>
      </c>
      <c r="D16" s="47">
        <f>SUM(D8:D15)</f>
        <v>0</v>
      </c>
      <c r="E16" s="50">
        <f>SUM(E8:E15)</f>
        <v>85.3</v>
      </c>
      <c r="F16" s="2656"/>
      <c r="G16" s="2657"/>
      <c r="H16" s="1648" t="s">
        <v>1131</v>
      </c>
      <c r="I16" s="1649"/>
      <c r="J16" s="1139"/>
      <c r="K16" s="3631" t="s">
        <v>1131</v>
      </c>
      <c r="L16" s="3632"/>
      <c r="M16" s="3632"/>
      <c r="N16" s="3632"/>
      <c r="O16" s="3632"/>
      <c r="P16" s="3633"/>
    </row>
    <row r="17" spans="1:19" ht="15">
      <c r="A17" s="1650" t="s">
        <v>1132</v>
      </c>
      <c r="B17" s="1651" t="s">
        <v>1133</v>
      </c>
      <c r="C17" s="1652" t="s">
        <v>1134</v>
      </c>
      <c r="D17" s="1653" t="s">
        <v>1122</v>
      </c>
      <c r="E17" s="1654" t="s">
        <v>1123</v>
      </c>
      <c r="F17" s="1655"/>
      <c r="G17" s="1656"/>
      <c r="H17" s="1657" t="s">
        <v>1135</v>
      </c>
      <c r="I17" s="1658" t="s">
        <v>1120</v>
      </c>
      <c r="J17" s="1139"/>
      <c r="K17" s="3628" t="s">
        <v>1136</v>
      </c>
      <c r="L17" s="3629"/>
      <c r="M17" s="3630"/>
      <c r="N17" s="3628" t="s">
        <v>1137</v>
      </c>
      <c r="O17" s="3629"/>
      <c r="P17" s="3630"/>
      <c r="R17" s="1640" t="s">
        <v>1138</v>
      </c>
      <c r="S17" s="56"/>
    </row>
    <row r="18" spans="1:19" ht="15">
      <c r="A18" s="1646"/>
      <c r="B18" s="1659"/>
      <c r="C18" s="1660"/>
      <c r="D18" s="1661"/>
      <c r="E18" s="1662" t="s">
        <v>1139</v>
      </c>
      <c r="F18" s="1663" t="s">
        <v>1140</v>
      </c>
      <c r="G18" s="1664" t="s">
        <v>1141</v>
      </c>
      <c r="H18" s="1041" t="s">
        <v>1142</v>
      </c>
      <c r="I18" s="1665" t="s">
        <v>1143</v>
      </c>
      <c r="J18" s="1139"/>
      <c r="K18" s="1041" t="s">
        <v>1144</v>
      </c>
      <c r="L18" s="1666" t="s">
        <v>1145</v>
      </c>
      <c r="M18" s="855" t="s">
        <v>1146</v>
      </c>
      <c r="N18" s="1041" t="s">
        <v>1144</v>
      </c>
      <c r="O18" s="1666" t="s">
        <v>1145</v>
      </c>
      <c r="P18" s="855" t="s">
        <v>1146</v>
      </c>
      <c r="R18" s="1026" t="s">
        <v>1147</v>
      </c>
      <c r="S18" s="1026" t="s">
        <v>1148</v>
      </c>
    </row>
    <row r="19" spans="1:19">
      <c r="A19" s="1667"/>
      <c r="B19" s="47" t="s">
        <v>1121</v>
      </c>
      <c r="C19" s="3414" t="s">
        <v>3499</v>
      </c>
      <c r="D19" s="45">
        <f>ROUND($D$3*E19/$E$3,2)</f>
        <v>0</v>
      </c>
      <c r="E19" s="53">
        <f t="shared" ref="E19:E26" si="1">SUM(F19:G19)</f>
        <v>85.3</v>
      </c>
      <c r="F19" s="2792">
        <f>'数据-基础表'!I13</f>
        <v>85.3</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85.3</v>
      </c>
    </row>
    <row r="20" spans="1:19">
      <c r="A20" s="1670"/>
      <c r="B20" s="47" t="s">
        <v>1149</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1149</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1149</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1149</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1149</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1149</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1149</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1150</v>
      </c>
      <c r="D27" s="1140">
        <f>SUM(D19:D26)</f>
        <v>0</v>
      </c>
      <c r="E27" s="1141">
        <f>IF(SUM(E19:E26)='数据-基础表'!BA5,SUM(E19:E26),IF(F27="地上面积有误","面积有误","地下面积有误"))</f>
        <v>85.3</v>
      </c>
      <c r="F27" s="1140">
        <f>IF(SUM(F19:F26)=E8,SUM(F19:F26),"地上面积有误")</f>
        <v>85.3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85.3</v>
      </c>
    </row>
    <row r="28" spans="1:19">
      <c r="A28" s="1670"/>
      <c r="B28" s="47" t="s">
        <v>1151</v>
      </c>
      <c r="C28" s="1038" t="s">
        <v>1152</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1151</v>
      </c>
      <c r="C29" s="1674" t="s">
        <v>1153</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1150</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1154</v>
      </c>
      <c r="D31" s="676">
        <f>D27+D30</f>
        <v>0</v>
      </c>
      <c r="E31" s="676">
        <f>E27+E30</f>
        <v>85.3</v>
      </c>
      <c r="F31" s="677">
        <f>F27+F30</f>
        <v>85.3</v>
      </c>
      <c r="G31" s="678">
        <f>G27+G30</f>
        <v>0</v>
      </c>
      <c r="H31" s="2656"/>
      <c r="I31" s="2656"/>
      <c r="J31" s="2656"/>
      <c r="K31" s="2656"/>
      <c r="L31" s="2656"/>
      <c r="M31" s="2656"/>
      <c r="N31" s="2656"/>
      <c r="O31" s="2656"/>
      <c r="P31" s="2656"/>
    </row>
    <row r="32" spans="1:19">
      <c r="A32" s="1643"/>
      <c r="B32" s="1643" t="s">
        <v>1155</v>
      </c>
      <c r="C32" s="1643"/>
      <c r="D32" s="1643"/>
      <c r="E32" s="1053">
        <f>SUMIF(C19:C26,"*住宅*",E19:E26)</f>
        <v>85.3</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N19" sqref="N1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1156</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1157</v>
      </c>
      <c r="B2" s="1045">
        <f>项目基本情况!D3</f>
        <v>44977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1158</v>
      </c>
      <c r="B4" s="1688"/>
      <c r="C4" s="1689"/>
      <c r="D4" s="1690"/>
      <c r="E4" s="1689" t="s">
        <v>1159</v>
      </c>
      <c r="F4" s="1689"/>
      <c r="G4" s="1689"/>
      <c r="H4" s="1689"/>
      <c r="I4" s="1689"/>
      <c r="J4" s="1691"/>
      <c r="K4" s="1692"/>
      <c r="L4" s="1693"/>
      <c r="M4" s="1689"/>
      <c r="N4" s="1689" t="s">
        <v>1160</v>
      </c>
      <c r="O4" s="1689"/>
      <c r="P4" s="1689"/>
      <c r="Q4" s="1689"/>
      <c r="R4" s="1689"/>
      <c r="S4" s="1691"/>
      <c r="T4" s="2655" t="str">
        <f>'数据-汇总表'!I17</f>
        <v>按面积比例</v>
      </c>
      <c r="U4" s="1688" t="s">
        <v>1161</v>
      </c>
      <c r="V4" s="1689"/>
      <c r="W4" s="1689"/>
      <c r="X4" s="1689"/>
      <c r="Y4" s="1691"/>
      <c r="Z4" s="1652" t="s">
        <v>1162</v>
      </c>
      <c r="AA4" s="1652"/>
      <c r="AB4" s="1652"/>
      <c r="AC4" s="1652"/>
      <c r="AD4" s="1652"/>
      <c r="AE4" s="1650" t="s">
        <v>1163</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1164</v>
      </c>
      <c r="B5" s="1696" t="s">
        <v>1165</v>
      </c>
      <c r="C5" s="1697" t="s">
        <v>1166</v>
      </c>
      <c r="D5" s="1698" t="s">
        <v>1167</v>
      </c>
      <c r="E5" s="1047" t="s">
        <v>1168</v>
      </c>
      <c r="F5" s="1699" t="s">
        <v>1169</v>
      </c>
      <c r="G5" s="1047" t="s">
        <v>1170</v>
      </c>
      <c r="H5" s="1047" t="s">
        <v>1171</v>
      </c>
      <c r="I5" s="1047" t="s">
        <v>1172</v>
      </c>
      <c r="J5" s="1700" t="s">
        <v>1173</v>
      </c>
      <c r="K5" s="1701" t="s">
        <v>1174</v>
      </c>
      <c r="L5" s="1702" t="s">
        <v>1175</v>
      </c>
      <c r="M5" s="1703" t="s">
        <v>1176</v>
      </c>
      <c r="N5" s="1704" t="s">
        <v>3501</v>
      </c>
      <c r="O5" s="1702" t="s">
        <v>1177</v>
      </c>
      <c r="P5" s="1705" t="s">
        <v>1178</v>
      </c>
      <c r="Q5" s="61" t="s">
        <v>1179</v>
      </c>
      <c r="R5" s="1706" t="s">
        <v>1180</v>
      </c>
      <c r="S5" s="1707" t="s">
        <v>1181</v>
      </c>
      <c r="T5" s="1708" t="s">
        <v>1182</v>
      </c>
      <c r="U5" s="1046" t="s">
        <v>1183</v>
      </c>
      <c r="V5" s="1047" t="s">
        <v>1184</v>
      </c>
      <c r="W5" s="1047" t="s">
        <v>1185</v>
      </c>
      <c r="X5" s="63"/>
      <c r="Y5" s="62" t="s">
        <v>1186</v>
      </c>
      <c r="Z5" s="1709" t="s">
        <v>1183</v>
      </c>
      <c r="AA5" s="1047" t="s">
        <v>1184</v>
      </c>
      <c r="AB5" s="1047" t="s">
        <v>1185</v>
      </c>
      <c r="AC5" s="63"/>
      <c r="AD5" s="63" t="s">
        <v>1186</v>
      </c>
      <c r="AE5" s="1046" t="s">
        <v>1187</v>
      </c>
      <c r="AF5" s="1047" t="s">
        <v>1188</v>
      </c>
      <c r="AG5" s="62" t="s">
        <v>1189</v>
      </c>
      <c r="AH5" s="1046" t="s">
        <v>1190</v>
      </c>
      <c r="AI5" s="1709" t="s">
        <v>1191</v>
      </c>
      <c r="AJ5" s="1709" t="s">
        <v>1192</v>
      </c>
      <c r="AK5" s="1047" t="s">
        <v>1193</v>
      </c>
      <c r="AL5" s="1047" t="s">
        <v>1194</v>
      </c>
      <c r="AM5" s="62" t="s">
        <v>1195</v>
      </c>
      <c r="AN5" s="1710" t="s">
        <v>1196</v>
      </c>
      <c r="AO5" s="1562" t="s">
        <v>1197</v>
      </c>
      <c r="AP5" s="1028" t="s">
        <v>1198</v>
      </c>
      <c r="AQ5" s="1711" t="s">
        <v>1199</v>
      </c>
      <c r="AR5" s="1711" t="s">
        <v>1200</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3498</v>
      </c>
      <c r="D6" s="858">
        <f>SUMIF(项目基本情况!C$12:I$12,C6,项目基本情况!C$14:I$14)</f>
        <v>70</v>
      </c>
      <c r="E6" s="857">
        <f>IF(B6="","",SUMIF(项目基本情况!C$12:I$12,C6,项目基本情况!C$13:I$13))</f>
        <v>56660</v>
      </c>
      <c r="F6" s="64">
        <f>SUMIF(项目基本情况!C$12:I$12,C6,项目基本情况!C$15:I$15)</f>
        <v>32</v>
      </c>
      <c r="G6" s="65">
        <f>IF(ISERROR(ROUND(POWER(1+H6,D6-F6)*(POWER(1+H6,F6)-1)/(POWER(1+H6,D6)-1),3)),0,ROUND(POWER(1+H6,D6-F6)*(POWER(1+H6,F6)-1)/(POWER(1+H6,D6)-1),3))</f>
        <v>0</v>
      </c>
      <c r="H6" s="732"/>
      <c r="I6" s="732"/>
      <c r="J6" s="66"/>
      <c r="K6" s="1030">
        <f>SUMIF('数据-汇总表'!C$19:C$33,A6,'数据-汇总表'!E$19:E$33)</f>
        <v>85.3</v>
      </c>
      <c r="L6" s="733"/>
      <c r="M6" s="67">
        <f>ROUND(K6*L6/10000,0)</f>
        <v>0</v>
      </c>
      <c r="N6" s="731">
        <v>0.6</v>
      </c>
      <c r="O6" s="67" t="str">
        <f t="shared" ref="O6:O14" si="0">IF($N$5="成新度","——",ROUND(M6*N6,0))</f>
        <v>——</v>
      </c>
      <c r="P6" s="68" t="str">
        <f t="shared" ref="P6:P14" si="1">IF($N$5="成新度","——",M6-O6)</f>
        <v>——</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5"/>
      <c r="V6" s="70"/>
      <c r="W6" s="70"/>
      <c r="X6" s="1040"/>
      <c r="Y6" s="71">
        <f>N6</f>
        <v>0.6</v>
      </c>
      <c r="Z6" s="72"/>
      <c r="AA6" s="66"/>
      <c r="AB6" s="66"/>
      <c r="AC6" s="1040"/>
      <c r="AD6" s="73"/>
      <c r="AE6" s="1041">
        <f ca="1">IF(AN6="",0,SUMIF(INDIRECT("'"&amp;AN6&amp;"'"&amp;"!E:E"),$AE$5,INDIRECT("'"&amp;AN6&amp;"'"&amp;"!F:F")))</f>
        <v>0</v>
      </c>
      <c r="AF6" s="1348"/>
      <c r="AG6" s="138">
        <f>IF(AF6="",0,AE6-AF6)</f>
        <v>0</v>
      </c>
      <c r="AH6" s="74">
        <f>'数据-汇总表'!E19</f>
        <v>85.3</v>
      </c>
      <c r="AI6" s="76">
        <v>1</v>
      </c>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2">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3">IF(ISERROR(ROUND(POWER(1+H7,D7-F7)*(POWER(1+H7,F7)-1)/(POWER(1+H7,D7)-1),3)),0,ROUND(POWER(1+H7,D7-F7)*(POWER(1+H7,F7)-1)/(POWER(1+H7,D7)-1),3))</f>
        <v>0</v>
      </c>
      <c r="H7" s="732"/>
      <c r="I7" s="732"/>
      <c r="J7" s="66"/>
      <c r="K7" s="1030">
        <f>SUMIF('数据-汇总表'!C$19:C$33,A7,'数据-汇总表'!E$19:E$33)</f>
        <v>0</v>
      </c>
      <c r="L7" s="733"/>
      <c r="M7" s="67">
        <f t="shared" ref="M7:M14" si="4">ROUND(K7*L7/10000,0)</f>
        <v>0</v>
      </c>
      <c r="N7" s="731"/>
      <c r="O7" s="67" t="str">
        <f t="shared" si="0"/>
        <v>——</v>
      </c>
      <c r="P7" s="68" t="str">
        <f t="shared" si="1"/>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2"/>
        <v/>
      </c>
      <c r="C8" s="1714"/>
      <c r="D8" s="858">
        <f>SUMIF(项目基本情况!C$12:I$12,C8,项目基本情况!C$14:I$14)</f>
        <v>0</v>
      </c>
      <c r="E8" s="857" t="str">
        <f>IF(B8="","",SUMIF(项目基本情况!C$12:I$12,C8,项目基本情况!C$13:I$13))</f>
        <v/>
      </c>
      <c r="F8" s="64">
        <f>SUMIF(项目基本情况!C$12:I$12,C8,项目基本情况!C$15:I$15)</f>
        <v>0</v>
      </c>
      <c r="G8" s="65">
        <f t="shared" si="3"/>
        <v>0</v>
      </c>
      <c r="H8" s="732"/>
      <c r="I8" s="732"/>
      <c r="J8" s="66"/>
      <c r="K8" s="1030">
        <f>SUMIF('数据-汇总表'!C$19:C$33,A8,'数据-汇总表'!E$19:E$33)</f>
        <v>0</v>
      </c>
      <c r="L8" s="733"/>
      <c r="M8" s="67">
        <f>ROUND(K8*L8/10000,0)</f>
        <v>0</v>
      </c>
      <c r="N8" s="731"/>
      <c r="O8" s="67" t="str">
        <f t="shared" si="0"/>
        <v>——</v>
      </c>
      <c r="P8" s="68" t="str">
        <f t="shared" si="1"/>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2"/>
        <v/>
      </c>
      <c r="C9" s="1714"/>
      <c r="D9" s="858">
        <f>SUMIF(项目基本情况!C$12:I$12,C9,项目基本情况!C$14:I$14)</f>
        <v>0</v>
      </c>
      <c r="E9" s="857" t="str">
        <f>IF(B9="","",SUMIF(项目基本情况!C$12:I$12,C9,项目基本情况!C$13:I$13))</f>
        <v/>
      </c>
      <c r="F9" s="64">
        <f>SUMIF(项目基本情况!C$12:I$12,C9,项目基本情况!C$15:I$15)</f>
        <v>0</v>
      </c>
      <c r="G9" s="65">
        <f t="shared" si="3"/>
        <v>0</v>
      </c>
      <c r="H9" s="66"/>
      <c r="I9" s="66"/>
      <c r="J9" s="66"/>
      <c r="K9" s="1030">
        <f>SUMIF('数据-汇总表'!C$19:C$33,A9,'数据-汇总表'!E$19:E$33)</f>
        <v>0</v>
      </c>
      <c r="L9" s="733"/>
      <c r="M9" s="67">
        <f t="shared" si="4"/>
        <v>0</v>
      </c>
      <c r="N9" s="731"/>
      <c r="O9" s="67" t="str">
        <f t="shared" si="0"/>
        <v>——</v>
      </c>
      <c r="P9" s="68" t="str">
        <f t="shared" si="1"/>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2"/>
        <v/>
      </c>
      <c r="C10" s="1714"/>
      <c r="D10" s="858">
        <f>SUMIF(项目基本情况!C$12:I$12,C10,项目基本情况!C$14:I$14)</f>
        <v>0</v>
      </c>
      <c r="E10" s="857" t="str">
        <f>IF(B10="","",SUMIF(项目基本情况!C$12:I$12,C10,项目基本情况!C$13:I$13))</f>
        <v/>
      </c>
      <c r="F10" s="64">
        <f>SUMIF(项目基本情况!C$12:I$12,C10,项目基本情况!C$15:I$15)</f>
        <v>0</v>
      </c>
      <c r="G10" s="65">
        <f t="shared" si="3"/>
        <v>0</v>
      </c>
      <c r="H10" s="66"/>
      <c r="I10" s="66"/>
      <c r="J10" s="66"/>
      <c r="K10" s="1030">
        <f>SUMIF('数据-汇总表'!C$19:C$33,A10,'数据-汇总表'!E$19:E$33)</f>
        <v>0</v>
      </c>
      <c r="L10" s="733"/>
      <c r="M10" s="67">
        <f t="shared" si="4"/>
        <v>0</v>
      </c>
      <c r="N10" s="731"/>
      <c r="O10" s="67" t="str">
        <f t="shared" si="0"/>
        <v>——</v>
      </c>
      <c r="P10" s="68" t="str">
        <f t="shared" si="1"/>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2"/>
        <v/>
      </c>
      <c r="C11" s="1714"/>
      <c r="D11" s="858">
        <f>SUMIF(项目基本情况!C$12:I$12,C11,项目基本情况!C$14:I$14)</f>
        <v>0</v>
      </c>
      <c r="E11" s="857" t="str">
        <f>IF(B11="","",SUMIF(项目基本情况!C$12:I$12,C11,项目基本情况!C$13:I$13))</f>
        <v/>
      </c>
      <c r="F11" s="64">
        <f>SUMIF(项目基本情况!C$12:I$12,C11,项目基本情况!C$15:I$15)</f>
        <v>0</v>
      </c>
      <c r="G11" s="65">
        <f t="shared" si="3"/>
        <v>0</v>
      </c>
      <c r="H11" s="66"/>
      <c r="I11" s="66"/>
      <c r="J11" s="66"/>
      <c r="K11" s="1030">
        <f>SUMIF('数据-汇总表'!C$19:C$33,A11,'数据-汇总表'!E$19:E$33)</f>
        <v>0</v>
      </c>
      <c r="L11" s="82"/>
      <c r="M11" s="67">
        <f t="shared" si="4"/>
        <v>0</v>
      </c>
      <c r="N11" s="731"/>
      <c r="O11" s="67" t="str">
        <f t="shared" si="0"/>
        <v>——</v>
      </c>
      <c r="P11" s="68" t="str">
        <f t="shared" si="1"/>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2"/>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0"/>
        <v>——</v>
      </c>
      <c r="P12" s="68" t="str">
        <f t="shared" si="1"/>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2"/>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0"/>
        <v>——</v>
      </c>
      <c r="P13" s="68" t="str">
        <f t="shared" si="1"/>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1201</v>
      </c>
      <c r="B14" s="1713" t="s">
        <v>1202</v>
      </c>
      <c r="C14" s="1718" t="s">
        <v>1201</v>
      </c>
      <c r="D14" s="858"/>
      <c r="E14" s="857"/>
      <c r="F14" s="64"/>
      <c r="G14" s="65"/>
      <c r="H14" s="1029"/>
      <c r="I14" s="1029"/>
      <c r="J14" s="1029"/>
      <c r="K14" s="1030">
        <f>SUMIF('数据-汇总表'!C$19:C$33,A14,'数据-汇总表'!E$19:E$33)</f>
        <v>0</v>
      </c>
      <c r="L14" s="82"/>
      <c r="M14" s="67">
        <f t="shared" si="4"/>
        <v>0</v>
      </c>
      <c r="N14" s="83"/>
      <c r="O14" s="67" t="str">
        <f t="shared" si="0"/>
        <v>——</v>
      </c>
      <c r="P14" s="68" t="str">
        <f t="shared" si="1"/>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1203</v>
      </c>
      <c r="B15" s="1713" t="s">
        <v>1202</v>
      </c>
      <c r="C15" s="1718" t="s">
        <v>1204</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1205</v>
      </c>
      <c r="B16" s="88"/>
      <c r="C16" s="833"/>
      <c r="D16" s="1720"/>
      <c r="E16" s="88"/>
      <c r="F16" s="88"/>
      <c r="G16" s="89" t="e">
        <f>ROUND(SUMPRODUCT(G6:G13,K6:K13)/SUMPRODUCT((G6:G13&gt;0)*(K6:K13)),3)</f>
        <v>#DIV/0!</v>
      </c>
      <c r="H16" s="90" t="e">
        <f>ROUND(SUMPRODUCT(H6:H13,K6:K13)/SUMPRODUCT((H6:H13&gt;0)*(K6:K13)),3)</f>
        <v>#DIV/0!</v>
      </c>
      <c r="I16" s="91"/>
      <c r="J16" s="91"/>
      <c r="K16" s="92">
        <f>SUM(K6:K15)</f>
        <v>85.3</v>
      </c>
      <c r="L16" s="93">
        <f>ROUND(M16*10000/SUM(K6:K14),0)</f>
        <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1206</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1207</v>
      </c>
      <c r="B19" s="103">
        <v>0</v>
      </c>
      <c r="C19" s="2796" t="s">
        <v>2297</v>
      </c>
      <c r="D19" s="2673"/>
      <c r="E19" s="2670"/>
      <c r="F19" s="2670"/>
      <c r="G19" s="2670"/>
      <c r="H19" s="2670"/>
      <c r="I19" s="2670"/>
      <c r="J19" s="2670"/>
      <c r="K19" s="2669"/>
      <c r="L19" s="2669"/>
      <c r="M19" s="2668"/>
      <c r="N19" s="2668">
        <f>1-(2023-1987)/60</f>
        <v>0.4</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1208</v>
      </c>
      <c r="B20" s="104">
        <v>2</v>
      </c>
      <c r="C20" s="2797" t="s">
        <v>2295</v>
      </c>
      <c r="D20" s="2673"/>
      <c r="E20" s="2670"/>
      <c r="F20" s="2670"/>
      <c r="G20" s="2670"/>
      <c r="H20" s="2670"/>
      <c r="I20" s="2670"/>
      <c r="J20" s="2670"/>
      <c r="K20" s="2669"/>
      <c r="L20" s="2669"/>
      <c r="M20" s="2668"/>
      <c r="N20" s="2668">
        <v>0.75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1209</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1210</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1211</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1212</v>
      </c>
      <c r="B24" s="106">
        <f>B20-B21</f>
        <v>0</v>
      </c>
      <c r="C24" s="2670"/>
      <c r="D24" s="2673"/>
      <c r="E24" s="2670"/>
      <c r="F24" s="2670"/>
      <c r="G24" s="2670"/>
      <c r="H24" s="2670"/>
      <c r="I24" s="2670"/>
      <c r="J24" s="2670"/>
      <c r="K24" s="2669"/>
      <c r="L24" s="2669"/>
      <c r="M24" s="2668"/>
      <c r="N24" s="2668">
        <f>1987+70</f>
        <v>2057</v>
      </c>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1213</v>
      </c>
      <c r="B26" s="1726" t="s">
        <v>1214</v>
      </c>
      <c r="C26" s="2674" t="s">
        <v>1215</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1216</v>
      </c>
      <c r="B27" s="107">
        <v>160</v>
      </c>
      <c r="C27" s="2798" t="s">
        <v>2299</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1217</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1218</v>
      </c>
      <c r="B29" s="112">
        <v>160</v>
      </c>
      <c r="C29" s="2799" t="s">
        <v>2286</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1219</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1220</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1221</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1222</v>
      </c>
      <c r="B33" s="673">
        <v>0.03</v>
      </c>
      <c r="C33" s="2800" t="s">
        <v>2287</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1223</v>
      </c>
      <c r="B34" s="113">
        <v>0.1</v>
      </c>
      <c r="C34" s="2800" t="s">
        <v>2288</v>
      </c>
      <c r="D34" s="2681" t="s">
        <v>2296</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1224</v>
      </c>
      <c r="B35" s="110">
        <v>200</v>
      </c>
      <c r="C35" s="2800" t="s">
        <v>2289</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1225</v>
      </c>
      <c r="B36" s="114">
        <v>1.4999999999999999E-2</v>
      </c>
      <c r="C36" s="2800" t="s">
        <v>2290</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1226</v>
      </c>
      <c r="B37" s="115">
        <v>0.02</v>
      </c>
      <c r="C37" s="2800" t="s">
        <v>2291</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1227</v>
      </c>
      <c r="B38" s="113">
        <v>0.02</v>
      </c>
      <c r="C38" s="2800" t="s">
        <v>2291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1228</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2306</v>
      </c>
      <c r="B40" s="1078">
        <f ca="1">IF(A40="利息：取LPR",存贷款利率!G1,存贷款利率!G1+C40)</f>
        <v>3.6499999999999998E-2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1229</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1230</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1231</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1232</v>
      </c>
      <c r="B44" s="119">
        <v>7.0000000000000007E-2</v>
      </c>
      <c r="C44" s="2800" t="s">
        <v>2300</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1233</v>
      </c>
      <c r="B45" s="117">
        <v>0.03</v>
      </c>
      <c r="C45" s="2799" t="s">
        <v>2292</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1234</v>
      </c>
      <c r="B46" s="117">
        <v>0.02</v>
      </c>
      <c r="C46" s="2799" t="s">
        <v>2293</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1235</v>
      </c>
      <c r="B47" s="120"/>
      <c r="C47" s="2802" t="s">
        <v>2301</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1236</v>
      </c>
      <c r="B48" s="121">
        <v>0.03</v>
      </c>
      <c r="C48" s="2799" t="s">
        <v>2292</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1237</v>
      </c>
      <c r="B49" s="117">
        <v>5.0000000000000001E-4</v>
      </c>
      <c r="C49" s="2799" t="s">
        <v>2294</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1238</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1239</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1240</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1241</v>
      </c>
      <c r="B53" s="1738" t="s">
        <v>140</v>
      </c>
      <c r="C53" s="2658" t="s">
        <v>1242</v>
      </c>
      <c r="D53" s="2801" t="s">
        <v>2298</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1243</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1244</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1245</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1246</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1247</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1248</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1249</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1250</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1251</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1252</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110" zoomScaleNormal="80" zoomScaleSheetLayoutView="11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643" t="s">
        <v>2278</v>
      </c>
      <c r="B1" s="3644"/>
      <c r="C1" s="3644"/>
      <c r="D1" s="3644"/>
      <c r="E1" s="3644"/>
      <c r="F1" s="3644"/>
      <c r="G1" s="36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9"/>
      <c r="I2" s="799"/>
      <c r="J2" s="799"/>
      <c r="K2" s="799"/>
      <c r="L2" s="799"/>
      <c r="M2" s="799"/>
      <c r="N2" s="799"/>
      <c r="O2" s="799"/>
      <c r="P2" s="799"/>
      <c r="Q2" s="799"/>
      <c r="R2" s="799"/>
    </row>
    <row r="3" spans="1:29" ht="48">
      <c r="A3" s="2438" t="s">
        <v>2275</v>
      </c>
      <c r="B3" s="2460" t="s">
        <v>2244</v>
      </c>
      <c r="C3" s="2461" t="s">
        <v>2276</v>
      </c>
      <c r="D3" s="2462"/>
      <c r="E3" s="2439" t="s">
        <v>2275</v>
      </c>
      <c r="F3" s="2463" t="s">
        <v>2245</v>
      </c>
      <c r="G3" s="2464" t="s">
        <v>2277</v>
      </c>
      <c r="H3" s="799"/>
      <c r="I3" s="799"/>
      <c r="J3" s="799"/>
      <c r="K3" s="799"/>
      <c r="L3" s="799"/>
      <c r="M3" s="799"/>
      <c r="N3" s="799"/>
      <c r="O3" s="799"/>
      <c r="P3" s="799"/>
      <c r="Q3" s="799"/>
      <c r="R3" s="799"/>
    </row>
    <row r="4" spans="1:29" ht="36.75">
      <c r="A4" s="2439"/>
      <c r="B4" s="323" t="s">
        <v>2246</v>
      </c>
      <c r="C4" s="2465" t="s">
        <v>2247</v>
      </c>
      <c r="D4" s="2462"/>
      <c r="E4" s="2466"/>
      <c r="F4" s="1373" t="s">
        <v>2248</v>
      </c>
      <c r="G4" s="2467" t="s">
        <v>2249</v>
      </c>
      <c r="H4" s="799"/>
      <c r="I4" s="799"/>
      <c r="J4" s="799"/>
      <c r="K4" s="799"/>
      <c r="L4" s="799"/>
      <c r="M4" s="799"/>
      <c r="N4" s="799"/>
      <c r="O4" s="799"/>
      <c r="P4" s="799"/>
      <c r="Q4" s="799"/>
      <c r="R4" s="799"/>
    </row>
    <row r="5" spans="1:29" ht="36.75">
      <c r="A5" s="2439"/>
      <c r="B5" s="323" t="s">
        <v>2250</v>
      </c>
      <c r="C5" s="2465" t="s">
        <v>2251</v>
      </c>
      <c r="D5" s="2462"/>
      <c r="E5" s="2466"/>
      <c r="F5" s="323" t="s">
        <v>2252</v>
      </c>
      <c r="G5" s="2467" t="s">
        <v>2253</v>
      </c>
      <c r="H5" s="799"/>
      <c r="I5" s="799"/>
      <c r="J5" s="799"/>
      <c r="K5" s="799"/>
      <c r="L5" s="799"/>
      <c r="M5" s="799"/>
      <c r="N5" s="799"/>
      <c r="O5" s="799"/>
      <c r="P5" s="799"/>
      <c r="Q5" s="799"/>
      <c r="R5" s="799"/>
    </row>
    <row r="6" spans="1:29" ht="36">
      <c r="A6" s="2439"/>
      <c r="B6" s="323" t="s">
        <v>2254</v>
      </c>
      <c r="C6" s="2467" t="s">
        <v>2249</v>
      </c>
      <c r="D6" s="2462"/>
      <c r="E6" s="2466"/>
      <c r="F6" s="323" t="s">
        <v>2255</v>
      </c>
      <c r="G6" s="2467" t="s">
        <v>2256</v>
      </c>
      <c r="H6" s="799"/>
      <c r="I6" s="799"/>
      <c r="J6" s="799"/>
      <c r="K6" s="799"/>
      <c r="L6" s="799"/>
      <c r="M6" s="799"/>
      <c r="N6" s="799"/>
      <c r="O6" s="799"/>
      <c r="P6" s="799"/>
      <c r="Q6" s="799"/>
      <c r="R6" s="799"/>
    </row>
    <row r="7" spans="1:29" ht="24.75" thickBot="1">
      <c r="A7" s="2439"/>
      <c r="B7" s="323" t="s">
        <v>2252</v>
      </c>
      <c r="C7" s="2467" t="s">
        <v>2253</v>
      </c>
      <c r="D7" s="2468"/>
      <c r="E7" s="2469"/>
      <c r="F7" s="2470" t="s">
        <v>2257</v>
      </c>
      <c r="G7" s="2471" t="s">
        <v>2258</v>
      </c>
      <c r="H7" s="799"/>
      <c r="I7" s="799"/>
      <c r="J7" s="799"/>
      <c r="K7" s="799"/>
      <c r="L7" s="799"/>
      <c r="M7" s="799"/>
      <c r="N7" s="799"/>
      <c r="O7" s="799"/>
      <c r="P7" s="799"/>
      <c r="Q7" s="799"/>
      <c r="R7" s="799"/>
    </row>
    <row r="8" spans="1:29">
      <c r="A8" s="2439"/>
      <c r="B8" s="323" t="s">
        <v>2255</v>
      </c>
      <c r="C8" s="2467" t="s">
        <v>2256</v>
      </c>
      <c r="D8" s="2468"/>
      <c r="E8" s="2468"/>
      <c r="F8" s="2472"/>
      <c r="G8" s="2472"/>
      <c r="H8" s="799"/>
      <c r="I8" s="799"/>
      <c r="J8" s="799"/>
      <c r="K8" s="799"/>
      <c r="L8" s="799"/>
      <c r="M8" s="799"/>
      <c r="N8" s="799"/>
      <c r="O8" s="799"/>
      <c r="P8" s="799"/>
      <c r="Q8" s="799"/>
      <c r="R8" s="799"/>
    </row>
    <row r="9" spans="1:29" ht="24">
      <c r="A9" s="2439"/>
      <c r="B9" s="323" t="s">
        <v>2259</v>
      </c>
      <c r="C9" s="2465" t="s">
        <v>2260</v>
      </c>
      <c r="D9" s="2462"/>
      <c r="E9" s="2468"/>
      <c r="F9" s="2472"/>
      <c r="G9" s="2472"/>
      <c r="H9" s="799"/>
      <c r="I9" s="799"/>
      <c r="J9" s="799"/>
      <c r="K9" s="799"/>
      <c r="L9" s="799"/>
      <c r="M9" s="799"/>
      <c r="N9" s="799"/>
      <c r="O9" s="799"/>
      <c r="P9" s="799"/>
      <c r="Q9" s="799"/>
      <c r="R9" s="799"/>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2279</v>
      </c>
      <c r="B13" s="2481"/>
      <c r="C13" s="2481"/>
      <c r="D13" s="2479"/>
      <c r="E13" s="2481"/>
      <c r="F13" s="2481"/>
      <c r="G13" s="2481"/>
    </row>
    <row r="14" spans="1:29" ht="15" thickBot="1">
      <c r="A14" s="2491"/>
      <c r="B14" s="2491"/>
      <c r="C14" s="2492" t="s">
        <v>2262</v>
      </c>
      <c r="D14" s="2462"/>
      <c r="E14" s="2493"/>
      <c r="F14" s="2493"/>
      <c r="G14" s="2457" t="s">
        <v>2263</v>
      </c>
    </row>
    <row r="15" spans="1:29" ht="51">
      <c r="A15" s="2441" t="s">
        <v>2264</v>
      </c>
      <c r="B15" s="2494" t="s">
        <v>2244</v>
      </c>
      <c r="C15" s="2495" t="str">
        <f>C3</f>
        <v>估价对象周边居住用地比例、居住小区规模和社区发展完善程度，综合评价居住社区成熟度一般</v>
      </c>
      <c r="D15" s="2462"/>
      <c r="E15" s="2442" t="s">
        <v>2265</v>
      </c>
      <c r="F15" s="2494" t="s">
        <v>2266</v>
      </c>
      <c r="G15" s="2496" t="str">
        <f>G3</f>
        <v>估价对象位于XX开发区，园区建设成熟度XX，产业集聚程度XX</v>
      </c>
    </row>
    <row r="16" spans="1:29" ht="38.25">
      <c r="A16" s="2443"/>
      <c r="B16" s="2497" t="s">
        <v>2246</v>
      </c>
      <c r="C16" s="2498" t="str">
        <f>C4</f>
        <v>估价对象位于XX商圈，周边商业氛围成熟，人流量大，商业繁华度好</v>
      </c>
      <c r="D16" s="2462"/>
      <c r="E16" s="2444"/>
      <c r="F16" s="2499" t="s">
        <v>2248</v>
      </c>
      <c r="G16" s="2500" t="str">
        <f>G4</f>
        <v>估价对象周边道路状况、公共交通通达情况、停车便捷程度，综合评价交通便捷度较好</v>
      </c>
    </row>
    <row r="17" spans="1:18" ht="38.25">
      <c r="A17" s="2443"/>
      <c r="B17" s="2497" t="s">
        <v>2250</v>
      </c>
      <c r="C17" s="2498" t="str">
        <f>C5</f>
        <v>估价对象位于XX商圈，周边办公楼项目较多，入驻率高，办公集聚程度较好</v>
      </c>
      <c r="D17" s="2468"/>
      <c r="E17" s="2444"/>
      <c r="F17" s="2499" t="s">
        <v>2267</v>
      </c>
      <c r="G17" s="2501"/>
    </row>
    <row r="18" spans="1:18" ht="38.25">
      <c r="A18" s="2443"/>
      <c r="B18" s="2499" t="s">
        <v>2254</v>
      </c>
      <c r="C18" s="2500" t="str">
        <f>C6</f>
        <v>估价对象周边道路状况、公共交通通达情况、停车便捷程度，综合评价交通便捷度较好</v>
      </c>
      <c r="D18" s="2468"/>
      <c r="E18" s="2444"/>
      <c r="F18" s="2499" t="s">
        <v>2257</v>
      </c>
      <c r="G18" s="2500" t="str">
        <f>G7</f>
        <v>该园区内是否有污染型企业，绿化情况，卫生条件，整体环境状况判断</v>
      </c>
    </row>
    <row r="19" spans="1:18" ht="25.5">
      <c r="A19" s="2443"/>
      <c r="B19" s="2499" t="s">
        <v>2268</v>
      </c>
      <c r="C19" s="2501"/>
      <c r="D19" s="2462"/>
      <c r="E19" s="2444"/>
      <c r="F19" s="323" t="s">
        <v>2252</v>
      </c>
      <c r="G19" s="2500" t="str">
        <f>G5</f>
        <v>估价对象所在区域公共配套设施齐备情况</v>
      </c>
    </row>
    <row r="20" spans="1:18" ht="25.5">
      <c r="A20" s="2443"/>
      <c r="B20" s="2499" t="s">
        <v>2269</v>
      </c>
      <c r="C20" s="2498" t="str">
        <f>C9</f>
        <v>区域自然环境：；人文环境；综合评价环境状况一般</v>
      </c>
      <c r="D20" s="2468"/>
      <c r="E20" s="2444"/>
      <c r="F20" s="323" t="s">
        <v>2255</v>
      </c>
      <c r="G20" s="2500" t="str">
        <f>G6</f>
        <v>估价对象所在区域基础设施水平</v>
      </c>
    </row>
    <row r="21" spans="1:18" ht="25.5">
      <c r="A21" s="2443"/>
      <c r="B21" s="323" t="s">
        <v>2252</v>
      </c>
      <c r="C21" s="2500" t="str">
        <f>C7</f>
        <v>估价对象所在区域公共配套设施齐备情况</v>
      </c>
      <c r="D21" s="2462"/>
      <c r="E21" s="2444"/>
      <c r="F21" s="2499" t="s">
        <v>2270</v>
      </c>
      <c r="G21" s="2502"/>
    </row>
    <row r="22" spans="1:18" ht="13.5" customHeight="1">
      <c r="A22" s="2443"/>
      <c r="B22" s="323" t="s">
        <v>2255</v>
      </c>
      <c r="C22" s="2500" t="str">
        <f>C8</f>
        <v>估价对象所在区域基础设施水平</v>
      </c>
      <c r="D22" s="2462"/>
      <c r="E22" s="2444"/>
      <c r="F22" s="2499" t="s">
        <v>2261</v>
      </c>
      <c r="G22" s="2501"/>
    </row>
    <row r="23" spans="1:18" s="799" customFormat="1" ht="15" thickBot="1">
      <c r="A23" s="2443"/>
      <c r="B23" s="2499" t="s">
        <v>2270</v>
      </c>
      <c r="C23" s="2502"/>
      <c r="D23" s="1741"/>
      <c r="E23" s="2445"/>
      <c r="F23" s="2503" t="s">
        <v>2271</v>
      </c>
      <c r="G23" s="2504"/>
      <c r="H23" s="2488"/>
      <c r="I23" s="2489"/>
      <c r="J23" s="2488"/>
      <c r="K23" s="2488"/>
      <c r="L23" s="2489"/>
      <c r="M23" s="2488"/>
      <c r="N23" s="2488"/>
      <c r="O23" s="2489"/>
      <c r="P23" s="2488"/>
      <c r="Q23" s="2488"/>
      <c r="R23" s="2490"/>
    </row>
    <row r="24" spans="1:18" s="799" customFormat="1" ht="15" thickBot="1">
      <c r="A24" s="2446"/>
      <c r="B24" s="2503" t="s">
        <v>2272</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4" sqref="E4:I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1258</v>
      </c>
      <c r="B1" s="1747"/>
      <c r="C1" s="1748" t="s">
        <v>3498</v>
      </c>
      <c r="D1" s="1747"/>
      <c r="E1" s="1747"/>
      <c r="F1" s="1749" t="s">
        <v>1259</v>
      </c>
      <c r="G1" s="1561" t="s">
        <v>3560</v>
      </c>
      <c r="H1" s="1750" t="str">
        <f>IF(G1="现房","——","估价对象范围")</f>
        <v>——</v>
      </c>
      <c r="I1" s="1751"/>
    </row>
    <row r="2" spans="1:12" ht="21.75" customHeight="1" thickBot="1">
      <c r="A2" s="3712" t="str">
        <f>项目基本情况!S2</f>
        <v>北京市房地产</v>
      </c>
      <c r="B2" s="3713"/>
      <c r="C2" s="3713"/>
      <c r="D2" s="3713"/>
      <c r="E2" s="3713"/>
      <c r="F2" s="3713"/>
      <c r="G2" s="3713"/>
      <c r="H2" s="3713"/>
      <c r="I2" s="3714"/>
    </row>
    <row r="3" spans="1:12" ht="12.75">
      <c r="A3" s="3716" t="s">
        <v>1260</v>
      </c>
      <c r="B3" s="3717"/>
      <c r="C3" s="3717"/>
      <c r="D3" s="3717"/>
      <c r="E3" s="3717"/>
      <c r="F3" s="3717"/>
      <c r="G3" s="3717"/>
      <c r="H3" s="3717"/>
      <c r="I3" s="3717"/>
    </row>
    <row r="4" spans="1:12" ht="14.25">
      <c r="A4" s="1754" t="s">
        <v>1261</v>
      </c>
      <c r="B4" s="1755" t="s">
        <v>1262</v>
      </c>
      <c r="C4" s="1756" t="s">
        <v>3559</v>
      </c>
      <c r="D4" s="1756" t="s">
        <v>3502</v>
      </c>
      <c r="E4" s="3721" t="s">
        <v>1263</v>
      </c>
      <c r="F4" s="3722"/>
      <c r="G4" s="3722"/>
      <c r="H4" s="3722"/>
      <c r="I4" s="372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0" t="s">
        <v>1264</v>
      </c>
      <c r="B5" s="3715">
        <v>25</v>
      </c>
      <c r="C5" s="3718"/>
      <c r="D5" s="3706"/>
      <c r="E5" s="131" t="s">
        <v>1265</v>
      </c>
      <c r="F5" s="1757"/>
      <c r="G5" s="1757"/>
      <c r="H5" s="1757"/>
      <c r="I5" s="1373"/>
    </row>
    <row r="6" spans="1:12" ht="12.75">
      <c r="A6" s="3660"/>
      <c r="B6" s="3715"/>
      <c r="C6" s="3720"/>
      <c r="D6" s="3706"/>
      <c r="E6" s="131" t="s">
        <v>1266</v>
      </c>
      <c r="F6" s="1757"/>
      <c r="G6" s="1757"/>
      <c r="H6" s="1757"/>
      <c r="I6" s="1373"/>
    </row>
    <row r="7" spans="1:12" ht="12.75">
      <c r="A7" s="3660"/>
      <c r="B7" s="3715"/>
      <c r="C7" s="3719"/>
      <c r="D7" s="3706"/>
      <c r="E7" s="131" t="s">
        <v>1267</v>
      </c>
      <c r="F7" s="1757"/>
      <c r="G7" s="1757"/>
      <c r="H7" s="1757"/>
      <c r="I7" s="1373"/>
    </row>
    <row r="8" spans="1:12" ht="12.75">
      <c r="A8" s="3660" t="s">
        <v>1268</v>
      </c>
      <c r="B8" s="3715">
        <v>15</v>
      </c>
      <c r="C8" s="3718"/>
      <c r="D8" s="3706"/>
      <c r="E8" s="131" t="s">
        <v>1269</v>
      </c>
      <c r="F8" s="1757"/>
      <c r="G8" s="1757"/>
      <c r="H8" s="1757"/>
      <c r="I8" s="1373"/>
    </row>
    <row r="9" spans="1:12" ht="12.75">
      <c r="A9" s="3660"/>
      <c r="B9" s="3715"/>
      <c r="C9" s="3719"/>
      <c r="D9" s="3706"/>
      <c r="E9" s="131" t="s">
        <v>1270</v>
      </c>
      <c r="F9" s="1757"/>
      <c r="G9" s="1757"/>
      <c r="H9" s="1757"/>
      <c r="I9" s="1373"/>
    </row>
    <row r="10" spans="1:12" ht="12.75">
      <c r="A10" s="3660" t="s">
        <v>1271</v>
      </c>
      <c r="B10" s="3715">
        <v>15</v>
      </c>
      <c r="C10" s="3718"/>
      <c r="D10" s="3706"/>
      <c r="E10" s="131" t="s">
        <v>1272</v>
      </c>
      <c r="F10" s="1757"/>
      <c r="G10" s="1757"/>
      <c r="H10" s="1757"/>
      <c r="I10" s="1373"/>
    </row>
    <row r="11" spans="1:12" ht="12.75">
      <c r="A11" s="3660"/>
      <c r="B11" s="3715"/>
      <c r="C11" s="3719"/>
      <c r="D11" s="3706"/>
      <c r="E11" s="131" t="s">
        <v>1273</v>
      </c>
      <c r="F11" s="1757"/>
      <c r="G11" s="1757"/>
      <c r="H11" s="1757"/>
      <c r="I11" s="1373"/>
    </row>
    <row r="12" spans="1:12" ht="12.75">
      <c r="A12" s="3660" t="s">
        <v>1274</v>
      </c>
      <c r="B12" s="3715">
        <v>15</v>
      </c>
      <c r="C12" s="3718"/>
      <c r="D12" s="3706"/>
      <c r="E12" s="131" t="s">
        <v>1275</v>
      </c>
      <c r="F12" s="1757"/>
      <c r="G12" s="1757"/>
      <c r="H12" s="1757"/>
      <c r="I12" s="1373"/>
    </row>
    <row r="13" spans="1:12" ht="12.75">
      <c r="A13" s="3660"/>
      <c r="B13" s="3715"/>
      <c r="C13" s="3719"/>
      <c r="D13" s="3706"/>
      <c r="E13" s="131" t="s">
        <v>1276</v>
      </c>
      <c r="F13" s="1757"/>
      <c r="G13" s="1757"/>
      <c r="H13" s="1757"/>
      <c r="I13" s="1373"/>
    </row>
    <row r="14" spans="1:12" ht="12.75">
      <c r="A14" s="3660" t="s">
        <v>1277</v>
      </c>
      <c r="B14" s="3715">
        <v>30</v>
      </c>
      <c r="C14" s="3718"/>
      <c r="D14" s="3706"/>
      <c r="E14" s="131" t="s">
        <v>1278</v>
      </c>
      <c r="F14" s="1757"/>
      <c r="G14" s="1757"/>
      <c r="H14" s="1757"/>
      <c r="I14" s="1373"/>
    </row>
    <row r="15" spans="1:12" ht="12.75">
      <c r="A15" s="3660"/>
      <c r="B15" s="3715"/>
      <c r="C15" s="3720"/>
      <c r="D15" s="3706"/>
      <c r="E15" s="131" t="s">
        <v>1279</v>
      </c>
      <c r="F15" s="1757"/>
      <c r="G15" s="1757"/>
      <c r="H15" s="1757"/>
      <c r="I15" s="1373"/>
    </row>
    <row r="16" spans="1:12" ht="12.75">
      <c r="A16" s="3660"/>
      <c r="B16" s="3715"/>
      <c r="C16" s="3719"/>
      <c r="D16" s="3706"/>
      <c r="E16" s="131" t="s">
        <v>1280</v>
      </c>
      <c r="F16" s="1757"/>
      <c r="G16" s="1757"/>
      <c r="H16" s="1757"/>
      <c r="I16" s="1373"/>
    </row>
    <row r="17" spans="1:36" ht="15">
      <c r="A17" s="1758" t="s">
        <v>1281</v>
      </c>
      <c r="B17" s="56"/>
      <c r="C17" s="132">
        <f>SUM(C5:C16)</f>
        <v>0</v>
      </c>
      <c r="D17" s="132">
        <f>SUM(D5:D16)</f>
        <v>0</v>
      </c>
      <c r="E17" s="129"/>
      <c r="F17" s="129"/>
      <c r="G17" s="129"/>
      <c r="H17" s="129"/>
      <c r="I17" s="129"/>
      <c r="K17" s="302"/>
      <c r="L17" s="302" t="s">
        <v>1282</v>
      </c>
      <c r="M17" s="302" t="s">
        <v>1283</v>
      </c>
    </row>
    <row r="18" spans="1:36" ht="31.9" customHeight="1" thickBot="1">
      <c r="A18" s="1759" t="s">
        <v>1284</v>
      </c>
      <c r="B18" s="1760"/>
      <c r="C18" s="133" t="e">
        <f>ROUND(C17/SUM(C17:D17),2)</f>
        <v>#DIV/0!</v>
      </c>
      <c r="D18" s="133" t="e">
        <f>1-C18</f>
        <v>#DIV/0!</v>
      </c>
      <c r="E18" s="3737" t="s">
        <v>2123</v>
      </c>
      <c r="F18" s="3738"/>
      <c r="G18" s="3738"/>
      <c r="H18" s="3738"/>
      <c r="I18" s="3738"/>
      <c r="K18" s="302" t="s">
        <v>1285</v>
      </c>
      <c r="L18" s="302">
        <f>IF(C1="",'数据-汇总表'!E3,SUMIF(项目类型,C1,'数据-汇总表'!E17:E26)+SUMIF(项目类型,C1,'数据-汇总表'!I17:I26))</f>
        <v>85.3</v>
      </c>
      <c r="M18" s="302">
        <f>IF(C1="",'数据-汇总表'!E3,SUMIF(项目类型,C1,'数据-汇总表'!E17:E26))</f>
        <v>85.3</v>
      </c>
    </row>
    <row r="19" spans="1:36" ht="15">
      <c r="A19" s="1761" t="s">
        <v>1286</v>
      </c>
      <c r="B19" s="1762" t="s">
        <v>1287</v>
      </c>
      <c r="C19" s="134">
        <f ca="1">SUMIF(INDIRECT("'"&amp;C4&amp;"'"&amp;"!A:A"),结果表!B19,INDIRECT("'"&amp;C4&amp;"'"&amp;"!B:B"))</f>
        <v>862.61329999999998</v>
      </c>
      <c r="D19" s="135" t="e">
        <f ca="1">SUMIF(INDIRECT("'"&amp;D4&amp;"'"&amp;"!A:A"),结果表!B19,INDIRECT("'"&amp;D4&amp;"'"&amp;"!B:B"))</f>
        <v>#DIV/0!</v>
      </c>
      <c r="E19" s="1761" t="s">
        <v>1288</v>
      </c>
      <c r="F19" s="1762" t="s">
        <v>1287</v>
      </c>
      <c r="G19" s="136" t="e">
        <f ca="1">ROUND(C19*$C$18+D19*$D$18,0)</f>
        <v>#DIV/0!</v>
      </c>
      <c r="H19" s="1763" t="s">
        <v>1289</v>
      </c>
      <c r="I19" s="129"/>
      <c r="K19" s="302" t="s">
        <v>1290</v>
      </c>
      <c r="L19" s="302">
        <f>IF(C1="",'数据-汇总表'!D3,SUMIF(项目类型,C1,'数据-汇总表'!D17:D26)+SUMIF(项目类型,C1,'数据-汇总表'!H17:H27))</f>
        <v>0</v>
      </c>
      <c r="M19" s="302">
        <f>IF(C1="",'数据-汇总表'!D3,SUMIF(项目类型,C1,'数据-汇总表'!D17:D26))</f>
        <v>0</v>
      </c>
    </row>
    <row r="20" spans="1:36" ht="15">
      <c r="A20" s="1764"/>
      <c r="B20" s="1026" t="s">
        <v>1291</v>
      </c>
      <c r="C20" s="137">
        <f ca="1">SUMIF(INDIRECT("'"&amp;C4&amp;"'"&amp;"!A:A"),结果表!B20,INDIRECT("'"&amp;C4&amp;"'"&amp;"!B:B"))</f>
        <v>101127</v>
      </c>
      <c r="D20" s="138">
        <f ca="1">SUMIF(INDIRECT("'"&amp;D4&amp;"'"&amp;"!A:A"),结果表!B20,INDIRECT("'"&amp;D4&amp;"'"&amp;"!B:B"))</f>
        <v>0</v>
      </c>
      <c r="E20" s="1764"/>
      <c r="F20" s="1026" t="s">
        <v>1291</v>
      </c>
      <c r="G20" s="139" t="e">
        <f ca="1">ROUND(C20*$C$18+D20*$D$18,0)</f>
        <v>#DIV/0!</v>
      </c>
      <c r="H20" s="808" t="s">
        <v>1292</v>
      </c>
      <c r="I20" s="129"/>
    </row>
    <row r="21" spans="1:36" ht="15" customHeight="1" thickBot="1">
      <c r="A21" s="828"/>
      <c r="B21" s="1765" t="s">
        <v>1293</v>
      </c>
      <c r="C21" s="719" t="e">
        <f ca="1">ROUND(C19*10000/L19,0)</f>
        <v>#DIV/0!</v>
      </c>
      <c r="D21" s="720" t="e">
        <f ca="1">ROUND(D19*10000/L19,0)</f>
        <v>#DIV/0!</v>
      </c>
      <c r="E21" s="828"/>
      <c r="F21" s="1765" t="s">
        <v>1293</v>
      </c>
      <c r="G21" s="140" t="e">
        <f ca="1">ROUND(G19*10000/L19,0)</f>
        <v>#DIV/0!</v>
      </c>
      <c r="H21" s="1766" t="s">
        <v>1292</v>
      </c>
      <c r="I21" s="129"/>
    </row>
    <row r="22" spans="1:36" ht="15" thickBot="1">
      <c r="A22" s="1688" t="s">
        <v>1294</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730" t="s">
        <v>1295</v>
      </c>
      <c r="B24" s="1762" t="s">
        <v>1287</v>
      </c>
      <c r="C24" s="136">
        <f>IF(B30=0,0,D30)</f>
        <v>0</v>
      </c>
      <c r="D24" s="1769"/>
      <c r="E24" s="129"/>
      <c r="F24" s="129"/>
      <c r="G24" s="129"/>
      <c r="H24" s="129"/>
      <c r="I24" s="129"/>
    </row>
    <row r="25" spans="1:36" ht="14.25">
      <c r="A25" s="3731"/>
      <c r="B25" s="1026" t="s">
        <v>1291</v>
      </c>
      <c r="C25" s="141">
        <f>IF(B30=0,0,C30)</f>
        <v>0</v>
      </c>
      <c r="D25" s="1770"/>
      <c r="E25" s="129"/>
      <c r="F25" s="129"/>
      <c r="G25" s="129"/>
      <c r="H25" s="129"/>
      <c r="I25" s="129"/>
    </row>
    <row r="26" spans="1:36" ht="13.5" customHeight="1">
      <c r="A26" s="1771" t="s">
        <v>1296</v>
      </c>
      <c r="B26" s="142" t="s">
        <v>1297</v>
      </c>
      <c r="C26" s="142" t="s">
        <v>1298</v>
      </c>
      <c r="D26" s="143" t="s">
        <v>1299</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1300</v>
      </c>
      <c r="B30" s="142"/>
      <c r="C30" s="142"/>
      <c r="D30" s="142"/>
      <c r="E30" s="2301" t="s">
        <v>2124</v>
      </c>
      <c r="F30" s="129"/>
      <c r="G30" s="129"/>
      <c r="H30" s="129"/>
      <c r="I30" s="129"/>
    </row>
    <row r="31" spans="1:36" s="2307" customFormat="1" ht="26.45" customHeight="1" thickTop="1" thickBot="1">
      <c r="A31" s="2302"/>
      <c r="B31" s="2303"/>
      <c r="C31" s="2303"/>
      <c r="D31" s="2303"/>
      <c r="E31" s="2303"/>
      <c r="F31" s="2303"/>
      <c r="G31" s="2303"/>
      <c r="H31" s="2303"/>
      <c r="I31" s="2304" t="s">
        <v>2125</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3" t="s">
        <v>1301</v>
      </c>
      <c r="B32" s="1774"/>
      <c r="C32" s="144" t="e">
        <f ca="1">IF(D32="总价",G19-C24,G20-C25)</f>
        <v>#DIV/0!</v>
      </c>
      <c r="D32" s="1775"/>
      <c r="E32" s="129"/>
      <c r="F32" s="129"/>
      <c r="G32" s="129"/>
      <c r="H32" s="129"/>
      <c r="I32" s="129"/>
    </row>
    <row r="33" spans="1:15" ht="15">
      <c r="A33" s="786" t="s">
        <v>1302</v>
      </c>
      <c r="B33" s="1776"/>
      <c r="C33" s="1777"/>
      <c r="D33" s="1778"/>
      <c r="E33" s="1779" t="s">
        <v>1303</v>
      </c>
      <c r="F33" s="1780" t="str">
        <f>IF(D32="楼面单价","取值（单价）","取值（总价）")</f>
        <v>取值（总价）</v>
      </c>
      <c r="G33" s="129"/>
      <c r="H33" s="129"/>
      <c r="I33" s="129"/>
    </row>
    <row r="34" spans="1:15" ht="15">
      <c r="A34" s="1781"/>
      <c r="B34" s="1782" t="s">
        <v>1304</v>
      </c>
      <c r="C34" s="148" t="e">
        <f ca="1">IF(C33="自定义",F34,C32-C35)</f>
        <v>#DIV/0!</v>
      </c>
      <c r="D34" s="861" t="e">
        <f ca="1">IF(C33="自定义",ROUND(C34/C32,3),IF(C33="收益比率",SUMIF(INDIRECT("'"&amp;D33&amp;"'"&amp;"!b:b"),"土地收益比率",INDIRECT("'"&amp;D33&amp;"'"&amp;"!c:c")),SUMIF(INDIRECT("'"&amp;D33&amp;"'"&amp;"!b:b"),"土地成本比率",INDIRECT("'"&amp;D33&amp;"'"&amp;"!c:c"))))</f>
        <v>#REF!</v>
      </c>
      <c r="E34" s="1783" t="s">
        <v>1305</v>
      </c>
      <c r="F34" s="1330"/>
      <c r="G34" s="129"/>
      <c r="H34" s="129"/>
      <c r="I34" s="129"/>
    </row>
    <row r="35" spans="1:15" ht="15.75" thickBot="1">
      <c r="A35" s="1784"/>
      <c r="B35" s="1785" t="s">
        <v>1306</v>
      </c>
      <c r="C35" s="1170" t="e">
        <f ca="1">IF(C33="自定义",F35,ROUND(C32*D35,0))</f>
        <v>#DIV/0!</v>
      </c>
      <c r="D35" s="1171" t="e">
        <f ca="1">IF(C33="自定义",ROUND(C35/C32,3),IF(C33="收益比率",SUMIF(INDIRECT("'"&amp;D33&amp;"'"&amp;"!b:b"),"建筑物收益比率",INDIRECT("'"&amp;D33&amp;"'"&amp;"!c:c")),SUMIF(INDIRECT("'"&amp;D33&amp;"'"&amp;"!b:b"),"建筑物成本比率",INDIRECT("'"&amp;D33&amp;"'"&amp;"!c:c"))))</f>
        <v>#REF!</v>
      </c>
      <c r="E35" s="1786" t="s">
        <v>1307</v>
      </c>
      <c r="F35" s="154"/>
      <c r="G35" s="129"/>
      <c r="H35" s="129"/>
      <c r="I35" s="129"/>
    </row>
    <row r="36" spans="1:15" ht="15.75" thickBot="1">
      <c r="A36" s="3707" t="s">
        <v>1308</v>
      </c>
      <c r="B36" s="1787" t="s">
        <v>1309</v>
      </c>
      <c r="C36" s="145"/>
      <c r="D36" s="1788"/>
      <c r="E36" s="1789"/>
      <c r="F36" s="1790"/>
      <c r="G36" s="129"/>
      <c r="H36" s="129"/>
      <c r="I36" s="129"/>
    </row>
    <row r="37" spans="1:15" ht="15.75" thickBot="1">
      <c r="A37" s="3708"/>
      <c r="B37" s="1674" t="s">
        <v>1310</v>
      </c>
      <c r="C37" s="147"/>
      <c r="D37" s="1139"/>
      <c r="E37" s="1139"/>
      <c r="F37" s="1790"/>
      <c r="G37" s="129"/>
      <c r="H37" s="129"/>
      <c r="I37" s="129"/>
    </row>
    <row r="38" spans="1:15" ht="15.75" thickBot="1">
      <c r="A38" s="3709"/>
      <c r="B38" s="1791" t="s">
        <v>1311</v>
      </c>
      <c r="C38" s="674"/>
      <c r="D38" s="1792" t="s">
        <v>1312</v>
      </c>
      <c r="E38" s="1139"/>
      <c r="F38" s="1790"/>
      <c r="G38" s="129"/>
      <c r="H38" s="129"/>
      <c r="I38" s="129"/>
    </row>
    <row r="39" spans="1:15" ht="15">
      <c r="A39" s="1764" t="s">
        <v>1313</v>
      </c>
      <c r="B39" s="1793" t="s">
        <v>1314</v>
      </c>
      <c r="C39" s="1794" t="s">
        <v>1315</v>
      </c>
      <c r="D39" s="1794" t="s">
        <v>1316</v>
      </c>
      <c r="E39" s="1795" t="s">
        <v>1317</v>
      </c>
      <c r="F39" s="1790"/>
      <c r="G39" s="129"/>
      <c r="H39" s="129"/>
      <c r="I39" s="129"/>
    </row>
    <row r="40" spans="1:15" ht="14.25">
      <c r="A40" s="1796" t="s">
        <v>1318</v>
      </c>
      <c r="B40" s="149"/>
      <c r="C40" s="150"/>
      <c r="D40" s="150"/>
      <c r="E40" s="151"/>
      <c r="F40" s="1790"/>
      <c r="G40" s="129"/>
      <c r="H40" s="129"/>
      <c r="I40" s="129"/>
    </row>
    <row r="41" spans="1:15" ht="14.25">
      <c r="A41" s="1796" t="s">
        <v>1319</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1320</v>
      </c>
      <c r="B44" s="1801"/>
      <c r="C44" s="1801"/>
      <c r="D44" s="1802"/>
      <c r="E44" s="1802"/>
      <c r="F44" s="1803"/>
      <c r="G44" s="1803"/>
      <c r="H44" s="1803"/>
      <c r="I44" s="1803"/>
      <c r="J44" s="1804" t="s">
        <v>1321</v>
      </c>
      <c r="K44" s="1805"/>
      <c r="L44" s="1805"/>
      <c r="M44" s="1805"/>
      <c r="N44" s="1805"/>
      <c r="O44" s="1805"/>
    </row>
    <row r="45" spans="1:15" ht="14.25" customHeight="1" thickBot="1">
      <c r="A45" s="3727" t="s">
        <v>1322</v>
      </c>
      <c r="B45" s="3728"/>
      <c r="C45" s="3729"/>
      <c r="D45" s="155" t="e">
        <f ca="1">ROUND(H101*F45,0)</f>
        <v>#REF!</v>
      </c>
      <c r="E45" s="156" t="s">
        <v>1323</v>
      </c>
      <c r="F45" s="157">
        <v>1</v>
      </c>
      <c r="G45" s="158" t="s">
        <v>1324</v>
      </c>
      <c r="H45" s="129"/>
      <c r="I45" s="129"/>
      <c r="J45" s="3647" t="s">
        <v>1325</v>
      </c>
      <c r="K45" s="3647"/>
      <c r="L45" s="3647"/>
      <c r="M45" s="3647"/>
      <c r="N45" s="3647"/>
      <c r="O45" s="3647"/>
    </row>
    <row r="46" spans="1:15" ht="14.25" customHeight="1">
      <c r="A46" s="3724" t="s">
        <v>1326</v>
      </c>
      <c r="B46" s="3725"/>
      <c r="C46" s="3725"/>
      <c r="D46" s="3725"/>
      <c r="E46" s="3725"/>
      <c r="F46" s="3725"/>
      <c r="G46" s="3726"/>
      <c r="H46" s="1806"/>
      <c r="I46" s="159"/>
      <c r="J46" s="2520">
        <v>1</v>
      </c>
      <c r="K46" s="3648" t="s">
        <v>1327</v>
      </c>
      <c r="L46" s="3648"/>
      <c r="M46" s="3649"/>
      <c r="N46" s="3649"/>
      <c r="O46" s="3649"/>
    </row>
    <row r="47" spans="1:15" ht="12" customHeight="1">
      <c r="A47" s="160" t="s">
        <v>1328</v>
      </c>
      <c r="B47" s="161"/>
      <c r="C47" s="162"/>
      <c r="D47" s="1087" t="s">
        <v>1329</v>
      </c>
      <c r="E47" s="302" t="s">
        <v>1330</v>
      </c>
      <c r="F47" s="163" t="s">
        <v>1331</v>
      </c>
      <c r="G47" s="2543" t="s">
        <v>1332</v>
      </c>
      <c r="H47" s="2544"/>
      <c r="I47" s="159"/>
      <c r="J47" s="2520">
        <v>2</v>
      </c>
      <c r="K47" s="3648" t="s">
        <v>1333</v>
      </c>
      <c r="L47" s="3648"/>
      <c r="M47" s="3650">
        <f>'数据-取费表'!B2</f>
        <v>44977</v>
      </c>
      <c r="N47" s="3650"/>
      <c r="O47" s="3650"/>
    </row>
    <row r="48" spans="1:15" ht="25.5">
      <c r="A48" s="3710" t="s">
        <v>1334</v>
      </c>
      <c r="B48" s="3711"/>
      <c r="C48" s="3711"/>
      <c r="D48" s="2322" t="b">
        <f>IF(H48="情况1",0,IF(H48="情况2",D52,IF(H48="情况3",D53,IF(H48="情况4",D54))))</f>
        <v>0</v>
      </c>
      <c r="E48" s="2332" t="str">
        <f>IF(H48="情况4","(销售额-原购置价)×税（费）率","销售额×税（费）率")</f>
        <v>销售额×税（费）率</v>
      </c>
      <c r="F48" s="2545">
        <f>IF(H48="情况1","免征",'数据-取费表'!B41)</f>
        <v>5.6000000000000001E-2</v>
      </c>
      <c r="G48" s="2546" t="s">
        <v>1335</v>
      </c>
      <c r="H48" s="2547"/>
      <c r="I48" s="1806"/>
      <c r="J48" s="2520">
        <v>3</v>
      </c>
      <c r="K48" s="3648" t="s">
        <v>1336</v>
      </c>
      <c r="L48" s="3648"/>
      <c r="M48" s="3651" t="e">
        <f ca="1">H101</f>
        <v>#REF!</v>
      </c>
      <c r="N48" s="3651"/>
      <c r="O48" s="3651"/>
    </row>
    <row r="49" spans="1:35" ht="25.5" customHeight="1">
      <c r="A49" s="2331" t="s">
        <v>1337</v>
      </c>
      <c r="B49" s="3696" t="s">
        <v>1338</v>
      </c>
      <c r="C49" s="3696"/>
      <c r="D49" s="1590">
        <v>0</v>
      </c>
      <c r="E49" s="324" t="s">
        <v>1339</v>
      </c>
      <c r="F49" s="2421" t="s">
        <v>24</v>
      </c>
      <c r="G49" s="3679"/>
      <c r="H49" s="2308" t="s">
        <v>2126</v>
      </c>
      <c r="I49" s="2309"/>
      <c r="J49" s="2520">
        <v>4</v>
      </c>
      <c r="K49" s="3648" t="str">
        <f>IF(项目基本情况!E8="房地产抵押价值","房地产抵押价值","抵押担保权已注销时的房地产抵押价值")</f>
        <v>抵押担保权已注销时的房地产抵押价值</v>
      </c>
      <c r="L49" s="3648"/>
      <c r="M49" s="3651" t="str">
        <f>IF(项目基本情况!E8="房地产抵押价值",H107,H109)</f>
        <v>——</v>
      </c>
      <c r="N49" s="3651"/>
      <c r="O49" s="3651"/>
    </row>
    <row r="50" spans="1:35" ht="25.5" customHeight="1">
      <c r="A50" s="2548"/>
      <c r="B50" s="3696" t="s">
        <v>1340</v>
      </c>
      <c r="C50" s="3696"/>
      <c r="D50" s="2549"/>
      <c r="E50" s="332"/>
      <c r="F50" s="2421"/>
      <c r="G50" s="3680"/>
      <c r="H50" s="2310" t="s">
        <v>2127</v>
      </c>
      <c r="I50" s="2309"/>
      <c r="J50" s="3647" t="s">
        <v>1341</v>
      </c>
      <c r="K50" s="3647"/>
      <c r="L50" s="3647"/>
      <c r="M50" s="3647"/>
      <c r="N50" s="3647"/>
      <c r="O50" s="3647"/>
    </row>
    <row r="51" spans="1:35" ht="20.45" customHeight="1">
      <c r="A51" s="2550"/>
      <c r="B51" s="3696" t="s">
        <v>1342</v>
      </c>
      <c r="C51" s="3696"/>
      <c r="D51" s="1087"/>
      <c r="E51" s="327"/>
      <c r="F51" s="2421"/>
      <c r="G51" s="3681"/>
      <c r="H51" s="2310" t="s">
        <v>2128</v>
      </c>
      <c r="I51" s="2309"/>
      <c r="J51" s="2521" t="s">
        <v>1343</v>
      </c>
      <c r="K51" s="3648" t="s">
        <v>1344</v>
      </c>
      <c r="L51" s="3648"/>
      <c r="M51" s="2521" t="s">
        <v>1345</v>
      </c>
      <c r="N51" s="2521" t="s">
        <v>1346</v>
      </c>
      <c r="O51" s="2521" t="s">
        <v>1347</v>
      </c>
    </row>
    <row r="52" spans="1:35" ht="24" customHeight="1">
      <c r="A52" s="2333" t="s">
        <v>1348</v>
      </c>
      <c r="B52" s="3696" t="s">
        <v>1349</v>
      </c>
      <c r="C52" s="3696"/>
      <c r="D52" s="1087" t="e">
        <f ca="1">ROUND(D45*'数据-取费表'!B41/(1+'数据-取费表'!C42),0)</f>
        <v>#REF!</v>
      </c>
      <c r="E52" s="2332" t="s">
        <v>1350</v>
      </c>
      <c r="F52" s="2551">
        <f>'数据-取费表'!B41</f>
        <v>5.6000000000000001E-2</v>
      </c>
      <c r="G52" s="2552"/>
      <c r="H52" s="2541"/>
      <c r="I52" s="1807"/>
      <c r="J52" s="2520">
        <v>1</v>
      </c>
      <c r="K52" s="3673" t="s">
        <v>1351</v>
      </c>
      <c r="L52" s="3673"/>
      <c r="M52" s="2522" t="b">
        <f>D48</f>
        <v>0</v>
      </c>
      <c r="N52" s="2520" t="str">
        <f>E48</f>
        <v>销售额×税（费）率</v>
      </c>
      <c r="O52" s="2523">
        <f>F48</f>
        <v>5.6000000000000001E-2</v>
      </c>
    </row>
    <row r="53" spans="1:35" ht="12" customHeight="1">
      <c r="A53" s="2333" t="s">
        <v>1352</v>
      </c>
      <c r="B53" s="3697" t="s">
        <v>2283</v>
      </c>
      <c r="C53" s="3698"/>
      <c r="D53" s="1087" t="e">
        <f ca="1">ROUND(D45*'数据-取费表'!B41/(1+'数据-取费表'!C42),0)</f>
        <v>#REF!</v>
      </c>
      <c r="E53" s="2332" t="s">
        <v>1350</v>
      </c>
      <c r="F53" s="2551">
        <f>'数据-取费表'!B41</f>
        <v>5.6000000000000001E-2</v>
      </c>
      <c r="G53" s="2552"/>
      <c r="H53" s="2541"/>
      <c r="I53" s="1807"/>
      <c r="J53" s="2520">
        <v>2</v>
      </c>
      <c r="K53" s="3673" t="s">
        <v>1353</v>
      </c>
      <c r="L53" s="3673"/>
      <c r="M53" s="2522" t="e">
        <f t="shared" ref="M53:O54" ca="1" si="0">D55</f>
        <v>#REF!</v>
      </c>
      <c r="N53" s="2520" t="str">
        <f t="shared" si="0"/>
        <v>销售额×税（费）率</v>
      </c>
      <c r="O53" s="2523" t="str">
        <f t="shared" si="0"/>
        <v>免征</v>
      </c>
    </row>
    <row r="54" spans="1:35" ht="12" customHeight="1">
      <c r="A54" s="2333" t="s">
        <v>1354</v>
      </c>
      <c r="B54" s="3697" t="s">
        <v>2284</v>
      </c>
      <c r="C54" s="3698"/>
      <c r="D54" s="1087" t="e">
        <f ca="1">C68</f>
        <v>#REF!</v>
      </c>
      <c r="E54" s="327" t="s">
        <v>1355</v>
      </c>
      <c r="F54" s="2551">
        <f>'数据-取费表'!B41</f>
        <v>5.6000000000000001E-2</v>
      </c>
      <c r="G54" s="2552"/>
      <c r="H54" s="2553"/>
      <c r="I54" s="1807"/>
      <c r="J54" s="2520">
        <v>3</v>
      </c>
      <c r="K54" s="3673" t="s">
        <v>1356</v>
      </c>
      <c r="L54" s="3673"/>
      <c r="M54" s="2522" t="e">
        <f t="shared" ca="1" si="0"/>
        <v>#REF!</v>
      </c>
      <c r="N54" s="2520" t="str">
        <f t="shared" si="0"/>
        <v>增值额×税（费）率</v>
      </c>
      <c r="O54" s="2524" t="str">
        <f t="shared" si="0"/>
        <v>免征</v>
      </c>
    </row>
    <row r="55" spans="1:35" ht="24" customHeight="1">
      <c r="A55" s="3733" t="s">
        <v>1357</v>
      </c>
      <c r="B55" s="3711"/>
      <c r="C55" s="3711"/>
      <c r="D55" s="2322" t="e">
        <f ca="1">IF(H55="个人住宅",0,ROUND(D45*I55,0))</f>
        <v>#REF!</v>
      </c>
      <c r="E55" s="2332" t="s">
        <v>1358</v>
      </c>
      <c r="F55" s="2551" t="str">
        <f>IF(H55="正常",I55,"免征")</f>
        <v>免征</v>
      </c>
      <c r="G55" s="2552"/>
      <c r="H55" s="2547"/>
      <c r="I55" s="165">
        <f>'数据-取费表'!B49</f>
        <v>5.0000000000000001E-4</v>
      </c>
      <c r="J55" s="2520">
        <f>IF(H59="非个人房产","",4)</f>
        <v>4</v>
      </c>
      <c r="K55" s="3673" t="str">
        <f>IF(H59="非个人房产","——","个人所得税")</f>
        <v>个人所得税</v>
      </c>
      <c r="L55" s="3673"/>
      <c r="M55" s="2525" t="e">
        <f ca="1">D59</f>
        <v>#REF!</v>
      </c>
      <c r="N55" s="2038" t="str">
        <f>E59</f>
        <v>差额计税</v>
      </c>
      <c r="O55" s="2526">
        <f>F59</f>
        <v>0.01</v>
      </c>
    </row>
    <row r="56" spans="1:35" ht="24.75">
      <c r="A56" s="3733" t="s">
        <v>1359</v>
      </c>
      <c r="B56" s="3711"/>
      <c r="C56" s="3711"/>
      <c r="D56" s="2322" t="e">
        <f ca="1">IF(H56="个人住宅",D57,D58)</f>
        <v>#REF!</v>
      </c>
      <c r="E56" s="2332" t="s">
        <v>1360</v>
      </c>
      <c r="F56" s="2551" t="str">
        <f>IF(H56="正常",F58,"免征")</f>
        <v>免征</v>
      </c>
      <c r="G56" s="2554" t="s">
        <v>1361</v>
      </c>
      <c r="H56" s="2555"/>
      <c r="I56" s="1808"/>
      <c r="J56" s="2520" t="str">
        <f>IF(项目基本情况!K6="上海银行",IF(J55="",4,J55+1),"")</f>
        <v/>
      </c>
      <c r="K56" s="3654" t="str">
        <f>IF(项目基本情况!K6="上海银行","其他处置费用","")</f>
        <v/>
      </c>
      <c r="L56" s="3655"/>
      <c r="M56" s="2522" t="str">
        <f>IF(项目基本情况!K6="上海银行",M69,"")</f>
        <v/>
      </c>
      <c r="N56" s="3654" t="str">
        <f>IF(项目基本情况!K6="上海银行","包含处置中涉及的律师、诉讼、拍卖、评估等费用","")</f>
        <v/>
      </c>
      <c r="O56" s="3657"/>
    </row>
    <row r="57" spans="1:35" ht="12.75">
      <c r="A57" s="2333" t="s">
        <v>1337</v>
      </c>
      <c r="B57" s="3697" t="s">
        <v>1362</v>
      </c>
      <c r="C57" s="3698"/>
      <c r="D57" s="1590">
        <v>0</v>
      </c>
      <c r="E57" s="324" t="s">
        <v>1339</v>
      </c>
      <c r="F57" s="302"/>
      <c r="G57" s="2552"/>
      <c r="H57" s="2556"/>
      <c r="I57" s="1808"/>
      <c r="J57" s="3673">
        <f>IF(AND(J55="",J56=""),4,IF(项目基本情况!K6="上海银行",结果表!J56+1,结果表!J55+1))</f>
        <v>5</v>
      </c>
      <c r="K57" s="3673" t="s">
        <v>1363</v>
      </c>
      <c r="L57" s="2527" t="s">
        <v>1364</v>
      </c>
      <c r="M57" s="2528"/>
      <c r="N57" s="2529">
        <f ca="1">SUMIF(M52:M56,"&lt;9e307")</f>
        <v>0</v>
      </c>
      <c r="O57" s="2530"/>
      <c r="P57" s="2687" t="e">
        <f ca="1">N57/M49</f>
        <v>#VALUE!</v>
      </c>
    </row>
    <row r="58" spans="1:35" ht="24.75">
      <c r="A58" s="2333" t="s">
        <v>1348</v>
      </c>
      <c r="B58" s="3697" t="s">
        <v>1365</v>
      </c>
      <c r="C58" s="3696"/>
      <c r="D58" s="2322" t="e">
        <f ca="1">IF(H58="转让取得",C81,C97)</f>
        <v>#REF!</v>
      </c>
      <c r="E58" s="2332" t="s">
        <v>1360</v>
      </c>
      <c r="F58" s="302" t="s">
        <v>24</v>
      </c>
      <c r="G58" s="2552"/>
      <c r="H58" s="2555"/>
      <c r="I58" s="1808"/>
      <c r="J58" s="3673"/>
      <c r="K58" s="3673"/>
      <c r="L58" s="2527" t="s">
        <v>1366</v>
      </c>
      <c r="M58" s="2531"/>
      <c r="N58" s="2532" t="str">
        <f ca="1">NUMBERSTRING(INT(N57*10000),2)&amp;"元整"</f>
        <v>零元整</v>
      </c>
      <c r="O58" s="2533"/>
    </row>
    <row r="59" spans="1:35" ht="24.75" thickBot="1">
      <c r="A59" s="3677" t="s">
        <v>1367</v>
      </c>
      <c r="B59" s="3678"/>
      <c r="C59" s="3678"/>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1361</v>
      </c>
      <c r="H59" s="2312"/>
      <c r="I59" s="2311" t="s">
        <v>2129</v>
      </c>
      <c r="J59" s="3675">
        <f>J57+1</f>
        <v>6</v>
      </c>
      <c r="K59" s="3673" t="s">
        <v>1368</v>
      </c>
      <c r="L59" s="2520" t="s">
        <v>1364</v>
      </c>
      <c r="M59" s="2534"/>
      <c r="N59" s="2535" t="e">
        <f ca="1">M49-N57</f>
        <v>#VALUE!</v>
      </c>
      <c r="O59" s="2536"/>
    </row>
    <row r="60" spans="1:35" ht="12" customHeight="1">
      <c r="A60" s="1809"/>
      <c r="B60" s="1747"/>
      <c r="C60" s="1747"/>
      <c r="D60" s="1747"/>
      <c r="E60" s="1578"/>
      <c r="F60" s="1808"/>
      <c r="G60" s="1808"/>
      <c r="H60" s="1810"/>
      <c r="I60" s="129"/>
      <c r="J60" s="3676"/>
      <c r="K60" s="3673"/>
      <c r="L60" s="2527" t="s">
        <v>1366</v>
      </c>
      <c r="M60" s="2531"/>
      <c r="N60" s="2532" t="e">
        <f ca="1">NUMBERSTRING(INT(N59*10000),2)&amp;"元整"</f>
        <v>#VALUE!</v>
      </c>
      <c r="O60" s="2533"/>
    </row>
    <row r="61" spans="1:35" ht="13.5" thickBot="1">
      <c r="A61" s="3732" t="s">
        <v>1369</v>
      </c>
      <c r="B61" s="3732"/>
      <c r="C61" s="3732"/>
      <c r="D61" s="3732"/>
      <c r="E61" s="3732"/>
      <c r="F61" s="1808"/>
      <c r="G61" s="1808"/>
      <c r="H61" s="1810"/>
      <c r="I61" s="129"/>
      <c r="J61" s="2520">
        <f>J59+1</f>
        <v>7</v>
      </c>
      <c r="K61" s="3673" t="s">
        <v>1370</v>
      </c>
      <c r="L61" s="3673"/>
      <c r="M61" s="2537"/>
      <c r="N61" s="2538" t="e">
        <f ca="1">ROUND(N59*10000/'数据-汇总表'!E3,0)</f>
        <v>#VALUE!</v>
      </c>
      <c r="O61" s="2539"/>
    </row>
    <row r="62" spans="1:35" ht="12.75">
      <c r="A62" s="3692" t="s">
        <v>1371</v>
      </c>
      <c r="B62" s="3693"/>
      <c r="C62" s="2019"/>
      <c r="D62" s="2019" t="s">
        <v>1372</v>
      </c>
      <c r="E62" s="166" t="s">
        <v>1373</v>
      </c>
      <c r="F62" s="1808"/>
      <c r="G62" s="1808"/>
      <c r="H62" s="1810"/>
      <c r="I62" s="129"/>
    </row>
    <row r="63" spans="1:35" ht="12.75">
      <c r="A63" s="173" t="s">
        <v>326</v>
      </c>
      <c r="B63" s="167" t="s">
        <v>1374</v>
      </c>
      <c r="C63" s="2561" t="e">
        <f ca="1">ROUND((C64+C65)/(1+'数据-取费表'!C42),0)</f>
        <v>#REF!</v>
      </c>
      <c r="D63" s="167"/>
      <c r="E63" s="168"/>
      <c r="F63" s="1808"/>
      <c r="G63" s="1808"/>
      <c r="H63" s="1810"/>
      <c r="I63" s="129"/>
      <c r="J63" s="3656" t="s">
        <v>1375</v>
      </c>
      <c r="K63" s="1332" t="s">
        <v>1376</v>
      </c>
      <c r="L63" s="1332" t="e">
        <f>IF(M49&gt;10000,M49*0.5%,IF(AND(M49&gt;1000,M49&lt;=10000),M49*1%,IF(AND(M49&gt;100,M49&lt;=1000),M49*3%,IF(AND(M49&gt;10,M49&lt;=100),M49*5%,M49*8%))))</f>
        <v>#VALUE!</v>
      </c>
      <c r="M63" s="302" t="e">
        <f>ROUND(L63,1)</f>
        <v>#VALUE!</v>
      </c>
      <c r="N63" s="2540"/>
      <c r="Z63" s="1752"/>
      <c r="AI63" s="1753"/>
    </row>
    <row r="64" spans="1:35" ht="14.25" customHeight="1">
      <c r="A64" s="169" t="s">
        <v>321</v>
      </c>
      <c r="B64" s="170" t="s">
        <v>1377</v>
      </c>
      <c r="C64" s="2562" t="e">
        <f ca="1">D45</f>
        <v>#REF!</v>
      </c>
      <c r="D64" s="170" t="s">
        <v>22</v>
      </c>
      <c r="E64" s="172"/>
      <c r="F64" s="1808"/>
      <c r="G64" s="1808"/>
      <c r="H64" s="1810"/>
      <c r="I64" s="129"/>
      <c r="J64" s="3656"/>
      <c r="K64" s="1332" t="s">
        <v>1378</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1379</v>
      </c>
      <c r="Z64" s="1752"/>
      <c r="AI64" s="1753"/>
    </row>
    <row r="65" spans="1:35" ht="14.25" customHeight="1">
      <c r="A65" s="169" t="s">
        <v>322</v>
      </c>
      <c r="B65" s="170" t="s">
        <v>1380</v>
      </c>
      <c r="C65" s="2563"/>
      <c r="D65" s="170"/>
      <c r="E65" s="172"/>
      <c r="F65" s="1808"/>
      <c r="G65" s="1808"/>
      <c r="H65" s="1810"/>
      <c r="I65" s="129"/>
      <c r="J65" s="3656"/>
      <c r="K65" s="1332" t="s">
        <v>1381</v>
      </c>
      <c r="L65" s="1332" t="e">
        <f>IF(M49&gt;1000,M49*0.1%,IF(AND(M49&gt;500,M49&lt;=1000),M49*0.5%,IF(AND(M49&gt;50,M49&lt;=500),M49*1%,IF(AND(M49&gt;1,M49&lt;=50),M49*1.5%))))</f>
        <v>#VALUE!</v>
      </c>
      <c r="M65" s="302" t="e">
        <f t="shared" si="1"/>
        <v>#VALUE!</v>
      </c>
      <c r="N65" s="2541" t="s">
        <v>1379</v>
      </c>
      <c r="Z65" s="1752"/>
      <c r="AI65" s="1753"/>
    </row>
    <row r="66" spans="1:35" ht="14.25" customHeight="1">
      <c r="A66" s="173" t="s">
        <v>323</v>
      </c>
      <c r="B66" s="174" t="s">
        <v>1382</v>
      </c>
      <c r="C66" s="2564"/>
      <c r="D66" s="174" t="s">
        <v>22</v>
      </c>
      <c r="E66" s="1338" t="s">
        <v>667</v>
      </c>
      <c r="F66" s="1808"/>
      <c r="G66" s="1808"/>
      <c r="H66" s="1810"/>
      <c r="I66" s="129"/>
      <c r="J66" s="3656"/>
      <c r="K66" s="1332" t="s">
        <v>1383</v>
      </c>
      <c r="L66" s="1332" t="e">
        <f>M49*0.5%</f>
        <v>#VALUE!</v>
      </c>
      <c r="M66" s="302" t="e">
        <f>IF(L66&gt;0.5,0.5,ROUND(L66,0))</f>
        <v>#VALUE!</v>
      </c>
      <c r="N66" s="2541" t="s">
        <v>1384</v>
      </c>
      <c r="Z66" s="1752"/>
      <c r="AI66" s="1753"/>
    </row>
    <row r="67" spans="1:35" ht="14.25" customHeight="1">
      <c r="A67" s="173" t="s">
        <v>324</v>
      </c>
      <c r="B67" s="174" t="s">
        <v>1385</v>
      </c>
      <c r="C67" s="2565" t="e">
        <f ca="1">C63-C66</f>
        <v>#REF!</v>
      </c>
      <c r="D67" s="170" t="s">
        <v>22</v>
      </c>
      <c r="E67" s="172"/>
      <c r="F67" s="1808"/>
      <c r="G67" s="1808"/>
      <c r="H67" s="1810"/>
      <c r="I67" s="129"/>
      <c r="J67" s="3656"/>
      <c r="K67" s="1332" t="s">
        <v>1386</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2"/>
      <c r="AI67" s="1753"/>
    </row>
    <row r="68" spans="1:35" ht="14.25" customHeight="1" thickBot="1">
      <c r="A68" s="176" t="s">
        <v>325</v>
      </c>
      <c r="B68" s="177" t="s">
        <v>1387</v>
      </c>
      <c r="C68" s="2566" t="e">
        <f ca="1">IF(C67&lt;=0,0,ROUND(C67*D68,0))</f>
        <v>#REF!</v>
      </c>
      <c r="D68" s="2567">
        <f>'数据-取费表'!B41</f>
        <v>5.6000000000000001E-2</v>
      </c>
      <c r="E68" s="178"/>
      <c r="F68" s="1808"/>
      <c r="G68" s="1808"/>
      <c r="H68" s="1810"/>
      <c r="I68" s="129"/>
      <c r="J68" s="3656"/>
      <c r="K68" s="1332" t="s">
        <v>1388</v>
      </c>
      <c r="L68" s="1332" t="e">
        <f>IF(M49&gt;10000,M49*0.5%,IF(AND(M49&gt;5000,M49&lt;=10000),M49*1%,IF(AND(M49&gt;1000,M49&lt;=5000),M49*2%,IF(AND(M49&gt;200,M49&lt;=1000),M49*3%,M49*5%))))</f>
        <v>#VALUE!</v>
      </c>
      <c r="M68" s="302" t="e">
        <f>ROUND(L68,1)</f>
        <v>#VALUE!</v>
      </c>
      <c r="N68" s="2540"/>
      <c r="Z68" s="1752"/>
      <c r="AI68" s="1753"/>
    </row>
    <row r="69" spans="1:35" s="1772" customFormat="1" ht="16.5" customHeight="1">
      <c r="A69" s="1811"/>
      <c r="B69" s="1812"/>
      <c r="C69" s="1813"/>
      <c r="D69" s="1814"/>
      <c r="E69" s="1815"/>
      <c r="F69" s="1578"/>
      <c r="G69" s="1578"/>
      <c r="H69" s="1577"/>
      <c r="I69" s="1747"/>
      <c r="J69" s="3656"/>
      <c r="K69" s="1332" t="s">
        <v>1389</v>
      </c>
      <c r="L69" s="1332"/>
      <c r="M69" s="302" t="e">
        <f>ROUND(SUM(M63:M68),0)</f>
        <v>#VALUE!</v>
      </c>
      <c r="N69" s="2542"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00" t="s">
        <v>1390</v>
      </c>
      <c r="B70" s="3701"/>
      <c r="C70" s="3701"/>
      <c r="D70" s="3701"/>
      <c r="E70" s="3701"/>
      <c r="F70" s="3701"/>
      <c r="G70" s="3701"/>
      <c r="H70" s="370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92" t="s">
        <v>1371</v>
      </c>
      <c r="B71" s="3693"/>
      <c r="C71" s="2019"/>
      <c r="D71" s="2019" t="s">
        <v>1372</v>
      </c>
      <c r="E71" s="179" t="s">
        <v>1373</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326</v>
      </c>
      <c r="B72" s="174" t="s">
        <v>1391</v>
      </c>
      <c r="C72" s="2565" t="e">
        <f ca="1">ROUND(D45/(1+'数据-取费表'!C42),0)</f>
        <v>#REF!</v>
      </c>
      <c r="D72" s="170" t="s">
        <v>22</v>
      </c>
      <c r="E72" s="2329"/>
      <c r="F72" s="2328"/>
      <c r="G72" s="2328"/>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323</v>
      </c>
      <c r="B73" s="163" t="s">
        <v>1392</v>
      </c>
      <c r="C73" s="2565" t="e">
        <f ca="1">C74+C78</f>
        <v>#REF!</v>
      </c>
      <c r="D73" s="170" t="s">
        <v>22</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321</v>
      </c>
      <c r="B74" s="170" t="s">
        <v>1393</v>
      </c>
      <c r="C74" s="170">
        <f>ROUND(IF(G77="2016年5月1日后购买",C75/(1+'数据-取费表'!C42)+C76+C77,C75+C76+C77),0)</f>
        <v>0</v>
      </c>
      <c r="D74" s="170" t="s">
        <v>22</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327</v>
      </c>
      <c r="B75" s="170" t="s">
        <v>1394</v>
      </c>
      <c r="C75" s="2568"/>
      <c r="D75" s="170" t="s">
        <v>22</v>
      </c>
      <c r="E75" s="184" t="s">
        <v>1395</v>
      </c>
      <c r="F75" s="2569"/>
      <c r="G75" s="184" t="s">
        <v>1396</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328</v>
      </c>
      <c r="B76" s="185" t="s">
        <v>1397</v>
      </c>
      <c r="C76" s="170">
        <f>IF(F75="购房发票",ROUND(C75*H75*D76,0),0)</f>
        <v>0</v>
      </c>
      <c r="D76" s="2571">
        <v>0.05</v>
      </c>
      <c r="E76" s="3697" t="s">
        <v>1398</v>
      </c>
      <c r="F76" s="3696"/>
      <c r="G76" s="3696"/>
      <c r="H76" s="36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329</v>
      </c>
      <c r="B77" s="170" t="s">
        <v>1399</v>
      </c>
      <c r="C77" s="170">
        <f>ROUND(IF(G77="个人住宅",0,IF(G77="2016年5月1日前购买",C75*D77,C75*D77/(1+'数据-取费表'!C42))),0)</f>
        <v>0</v>
      </c>
      <c r="D77" s="2572">
        <f>'数据-取费表'!B48+'数据-取费表'!B49</f>
        <v>3.0499999999999999E-2</v>
      </c>
      <c r="E77" s="2322" t="s">
        <v>1400</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322</v>
      </c>
      <c r="B78" s="170" t="s">
        <v>1401</v>
      </c>
      <c r="C78" s="2573" t="e">
        <f ca="1">ROUND(D45*D78/(1+'数据-取费表'!C42),0)</f>
        <v>#REF!</v>
      </c>
      <c r="D78" s="2574">
        <f>'数据-取费表'!B43</f>
        <v>6.000000000000001E-3</v>
      </c>
      <c r="E78" s="3689" t="s">
        <v>1402</v>
      </c>
      <c r="F78" s="3690"/>
      <c r="G78" s="3690"/>
      <c r="H78" s="36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330</v>
      </c>
      <c r="B79" s="174" t="s">
        <v>1403</v>
      </c>
      <c r="C79" s="2565" t="e">
        <f ca="1">C72-C73</f>
        <v>#REF!</v>
      </c>
      <c r="D79" s="170" t="s">
        <v>22</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331</v>
      </c>
      <c r="B80" s="174" t="s">
        <v>1404</v>
      </c>
      <c r="C80" s="2575" t="e">
        <f ca="1">IF(C79&lt;=0,0,C79/C73)</f>
        <v>#REF!</v>
      </c>
      <c r="D80" s="170" t="s">
        <v>22</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332</v>
      </c>
      <c r="B81" s="177" t="s">
        <v>1405</v>
      </c>
      <c r="C81" s="2576" t="e">
        <f ca="1">ROUND(IF(C79&lt;=0,0,IF(C80&gt;=200%,C79*60%-C73*35%,IF(C80&gt;=100%,C79*50%-C73*15%,IF(C80&gt;=50%,C79*40%-C73*5%,IF(C80&lt;50%,C79*30%,0))))),0)</f>
        <v>#REF!</v>
      </c>
      <c r="D81" s="2577" t="s">
        <v>22</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00" t="s">
        <v>1406</v>
      </c>
      <c r="B83" s="3701"/>
      <c r="C83" s="3701"/>
      <c r="D83" s="3701"/>
      <c r="E83" s="3701"/>
      <c r="F83" s="3701"/>
      <c r="G83" s="3701"/>
      <c r="H83" s="37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92" t="s">
        <v>1371</v>
      </c>
      <c r="B84" s="3693"/>
      <c r="C84" s="2019"/>
      <c r="D84" s="2019" t="s">
        <v>1372</v>
      </c>
      <c r="E84" s="179" t="s">
        <v>1373</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326</v>
      </c>
      <c r="B85" s="174" t="s">
        <v>1391</v>
      </c>
      <c r="C85" s="2565" t="e">
        <f ca="1">ROUND(D45/(1+'数据-取费表'!C42),0)</f>
        <v>#REF!</v>
      </c>
      <c r="D85" s="170" t="s">
        <v>22</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323</v>
      </c>
      <c r="B86" s="163" t="s">
        <v>1392</v>
      </c>
      <c r="C86" s="2565" t="e">
        <f ca="1">IF(H88="仅含出让金",C87+C90+C91+C92+C93+C94,C87+C91+C92+C93+C94)</f>
        <v>#REF!</v>
      </c>
      <c r="D86" s="2578"/>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321</v>
      </c>
      <c r="B87" s="170" t="s">
        <v>1407</v>
      </c>
      <c r="C87" s="2573">
        <f>C88+C89</f>
        <v>0</v>
      </c>
      <c r="D87" s="2574"/>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327</v>
      </c>
      <c r="B88" s="170" t="s">
        <v>1408</v>
      </c>
      <c r="C88" s="2579"/>
      <c r="D88" s="2574"/>
      <c r="E88" s="193" t="s">
        <v>1409</v>
      </c>
      <c r="F88" s="2325"/>
      <c r="G88" s="194" t="s">
        <v>1410</v>
      </c>
      <c r="H88" s="1824"/>
      <c r="I88" s="1821"/>
      <c r="J88" s="2518" t="s">
        <v>2280</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328</v>
      </c>
      <c r="B89" s="170" t="s">
        <v>1399</v>
      </c>
      <c r="C89" s="2573">
        <f>ROUND(C88*D89,0)</f>
        <v>0</v>
      </c>
      <c r="D89" s="2574">
        <f>'数据-取费表'!B48+'数据-取费表'!B49</f>
        <v>3.0499999999999999E-2</v>
      </c>
      <c r="E89" s="193" t="s">
        <v>1411</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322</v>
      </c>
      <c r="B90" s="170" t="s">
        <v>1412</v>
      </c>
      <c r="C90" s="2579"/>
      <c r="D90" s="2574"/>
      <c r="E90" s="193" t="str">
        <f>IF(H88="-","土地取得成本中已包含该笔费用"," ")</f>
        <v xml:space="preserve"> </v>
      </c>
      <c r="F90" s="2325"/>
      <c r="G90" s="3658" t="s">
        <v>2121</v>
      </c>
      <c r="H90" s="3659"/>
      <c r="I90" s="1821"/>
      <c r="J90" s="2518" t="s">
        <v>2281</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1413</v>
      </c>
      <c r="B91" s="170" t="s">
        <v>1414</v>
      </c>
      <c r="C91" s="2573">
        <f>IF(H91="——",成本法!C33,I91)</f>
        <v>0</v>
      </c>
      <c r="D91" s="2574"/>
      <c r="E91" s="3689" t="s">
        <v>1415</v>
      </c>
      <c r="F91" s="3690"/>
      <c r="G91" s="36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1416</v>
      </c>
      <c r="B92" s="170" t="s">
        <v>1417</v>
      </c>
      <c r="C92" s="2573">
        <f>ROUND((C87+C90+C91)*D92,0)</f>
        <v>0</v>
      </c>
      <c r="D92" s="2580"/>
      <c r="E92" s="3689" t="s">
        <v>1418</v>
      </c>
      <c r="F92" s="3690"/>
      <c r="G92" s="3690"/>
      <c r="H92" s="3691"/>
      <c r="I92" s="1821"/>
      <c r="J92" s="2519" t="s">
        <v>2282</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1419</v>
      </c>
      <c r="B93" s="170" t="s">
        <v>1401</v>
      </c>
      <c r="C93" s="2573" t="e">
        <f ca="1">ROUND(D45*D93/(1+'数据-取费表'!C42),0)</f>
        <v>#REF!</v>
      </c>
      <c r="D93" s="2574">
        <f>'数据-取费表'!B43</f>
        <v>6.000000000000001E-3</v>
      </c>
      <c r="E93" s="3689" t="s">
        <v>1402</v>
      </c>
      <c r="F93" s="3690"/>
      <c r="G93" s="3690"/>
      <c r="H93" s="36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1420</v>
      </c>
      <c r="B94" s="170" t="s">
        <v>1421</v>
      </c>
      <c r="C94" s="2579">
        <f>ROUND((C87+C90+C91)*D94,0)</f>
        <v>0</v>
      </c>
      <c r="D94" s="2574">
        <v>0.2</v>
      </c>
      <c r="E94" s="3734" t="s">
        <v>1422</v>
      </c>
      <c r="F94" s="3735"/>
      <c r="G94" s="3735"/>
      <c r="H94" s="37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330</v>
      </c>
      <c r="B95" s="174" t="s">
        <v>1403</v>
      </c>
      <c r="C95" s="2565" t="e">
        <f ca="1">ROUND(C85-C86,0)</f>
        <v>#REF!</v>
      </c>
      <c r="D95" s="170" t="s">
        <v>22</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331</v>
      </c>
      <c r="B96" s="174" t="s">
        <v>1404</v>
      </c>
      <c r="C96" s="2575" t="e">
        <f ca="1">IF(C95&lt;=0,0,C95/C86)</f>
        <v>#REF!</v>
      </c>
      <c r="D96" s="170" t="s">
        <v>22</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332</v>
      </c>
      <c r="B97" s="177" t="s">
        <v>1405</v>
      </c>
      <c r="C97" s="2576" t="e">
        <f ca="1">ROUND(IF(C95&lt;=0,0,IF(C96&gt;=200%,C95*60%-C86*35%,IF(C96&gt;=100%,C95*50%-C86*15%,IF(C96&gt;=50%,C95*40%-C86*5%,IF(C96&lt;50%,C95*30%,0))))),0)</f>
        <v>#REF!</v>
      </c>
      <c r="D97" s="2577" t="s">
        <v>22</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1423</v>
      </c>
      <c r="B99" s="1747"/>
      <c r="C99" s="1747"/>
      <c r="D99" s="1747"/>
      <c r="E99" s="1578"/>
      <c r="F99" s="1578"/>
      <c r="G99" s="1578"/>
      <c r="H99" s="1577"/>
      <c r="I99" s="129"/>
    </row>
    <row r="100" spans="1:35" ht="18.75" customHeight="1">
      <c r="A100" s="3639" t="s">
        <v>1424</v>
      </c>
      <c r="B100" s="3640"/>
      <c r="C100" s="3640"/>
      <c r="D100" s="3674"/>
      <c r="E100" s="3640" t="s">
        <v>1425</v>
      </c>
      <c r="F100" s="3640"/>
      <c r="G100" s="3640"/>
      <c r="H100" s="3674"/>
      <c r="I100" s="129"/>
    </row>
    <row r="101" spans="1:35" ht="18.75" customHeight="1">
      <c r="A101" s="3682" t="s">
        <v>1426</v>
      </c>
      <c r="B101" s="3683"/>
      <c r="C101" s="2582" t="str">
        <f>C4</f>
        <v>比较法-住宅</v>
      </c>
      <c r="D101" s="2583" t="str">
        <f>D4</f>
        <v>收益法 (元)</v>
      </c>
      <c r="E101" s="3652" t="s">
        <v>1427</v>
      </c>
      <c r="F101" s="3653"/>
      <c r="G101" s="1827" t="s">
        <v>1428</v>
      </c>
      <c r="H101" s="2592" t="e">
        <f ca="1">H118</f>
        <v>#REF!</v>
      </c>
      <c r="I101" s="129"/>
    </row>
    <row r="102" spans="1:35" ht="18.75" customHeight="1">
      <c r="A102" s="3684" t="s">
        <v>1429</v>
      </c>
      <c r="B102" s="2581" t="s">
        <v>1428</v>
      </c>
      <c r="C102" s="2582">
        <f ca="1">IF(D32="楼面单价",ROUND(C19,0),C19)</f>
        <v>862.61329999999998</v>
      </c>
      <c r="D102" s="2583" t="e">
        <f ca="1">IF(D32="楼面单价",ROUND(D19,0),D19)</f>
        <v>#DIV/0!</v>
      </c>
      <c r="E102" s="3652"/>
      <c r="F102" s="3653"/>
      <c r="G102" s="1827" t="s">
        <v>1430</v>
      </c>
      <c r="H102" s="2552" t="e">
        <f ca="1">I118</f>
        <v>#REF!</v>
      </c>
      <c r="I102" s="129"/>
    </row>
    <row r="103" spans="1:35" ht="42.75" customHeight="1">
      <c r="A103" s="3684"/>
      <c r="B103" s="2581" t="s">
        <v>1430</v>
      </c>
      <c r="C103" s="2584">
        <f ca="1">C20</f>
        <v>101127</v>
      </c>
      <c r="D103" s="2585">
        <f ca="1">D20</f>
        <v>0</v>
      </c>
      <c r="E103" s="3645" t="s">
        <v>1431</v>
      </c>
      <c r="F103" s="3646"/>
      <c r="G103" s="1828" t="s">
        <v>1432</v>
      </c>
      <c r="H103" s="2592">
        <f>IF(D36="正常操作",H104+H105+H106,H105+H106)</f>
        <v>0</v>
      </c>
      <c r="I103" s="129"/>
    </row>
    <row r="104" spans="1:35" ht="18.75" customHeight="1">
      <c r="A104" s="3684" t="s">
        <v>1433</v>
      </c>
      <c r="B104" s="2586" t="s">
        <v>1428</v>
      </c>
      <c r="C104" s="2587" t="e">
        <f ca="1">H118</f>
        <v>#REF!</v>
      </c>
      <c r="D104" s="2588"/>
      <c r="E104" s="1674" t="s">
        <v>1434</v>
      </c>
      <c r="F104" s="1666"/>
      <c r="G104" s="1828" t="s">
        <v>1432</v>
      </c>
      <c r="H104" s="2593">
        <f>IF(D36="同一抵押权人同一抵押物续贷",C36&amp;"（续贷，未扣减，详见特别提示）",C36)</f>
        <v>0</v>
      </c>
      <c r="I104" s="129"/>
    </row>
    <row r="105" spans="1:35" ht="18.75" customHeight="1" thickBot="1">
      <c r="A105" s="3694"/>
      <c r="B105" s="2589" t="s">
        <v>1430</v>
      </c>
      <c r="C105" s="2590" t="e">
        <f ca="1">I118</f>
        <v>#REF!</v>
      </c>
      <c r="D105" s="2591"/>
      <c r="E105" s="1674" t="s">
        <v>1435</v>
      </c>
      <c r="F105" s="1666"/>
      <c r="G105" s="1828" t="s">
        <v>1432</v>
      </c>
      <c r="H105" s="2594">
        <f>C37</f>
        <v>0</v>
      </c>
      <c r="I105" s="129"/>
    </row>
    <row r="106" spans="1:35" ht="18.75" customHeight="1">
      <c r="A106" s="1747" t="s">
        <v>1436</v>
      </c>
      <c r="B106" s="1747"/>
      <c r="C106" s="1747"/>
      <c r="D106" s="1747"/>
      <c r="E106" s="1829" t="s">
        <v>1437</v>
      </c>
      <c r="F106" s="1666"/>
      <c r="G106" s="1828" t="s">
        <v>1432</v>
      </c>
      <c r="H106" s="2594">
        <f>C38</f>
        <v>0</v>
      </c>
      <c r="I106" s="129"/>
    </row>
    <row r="107" spans="1:35" ht="18.75" customHeight="1">
      <c r="A107" s="129"/>
      <c r="B107" s="129"/>
      <c r="C107" s="129"/>
      <c r="D107" s="129"/>
      <c r="E107" s="3685" t="str">
        <f>IF(项目基本情况!E8="已注销","——","3.房地产抵押价值")</f>
        <v>3.房地产抵押价值</v>
      </c>
      <c r="F107" s="3653"/>
      <c r="G107" s="1827" t="s">
        <v>1428</v>
      </c>
      <c r="H107" s="2592" t="e">
        <f ca="1">IF(E107="——","——",H101-H103)</f>
        <v>#REF!</v>
      </c>
      <c r="I107" s="129"/>
    </row>
    <row r="108" spans="1:35" ht="18.75" customHeight="1">
      <c r="A108" s="129"/>
      <c r="B108" s="129"/>
      <c r="C108" s="129"/>
      <c r="D108" s="129"/>
      <c r="E108" s="3685"/>
      <c r="F108" s="3653"/>
      <c r="G108" s="1827" t="s">
        <v>1430</v>
      </c>
      <c r="H108" s="2552">
        <f ca="1">IF(H107=H101,H102,ROUND(H107*10000/'数据-汇总表'!E3,0))</f>
        <v>0</v>
      </c>
      <c r="I108" s="129"/>
    </row>
    <row r="109" spans="1:35" ht="18.75" customHeight="1">
      <c r="A109" s="129"/>
      <c r="B109" s="129"/>
      <c r="C109" s="129"/>
      <c r="D109" s="129"/>
      <c r="E109" s="3685" t="str">
        <f>IF(项目基本情况!E8="已注销及未注销","4.抵押担保权已注销时的房地产抵押价值",IF(项目基本情况!E8="已注销","3.抵押担保权已注销时的房地产抵押价值","——"))</f>
        <v>——</v>
      </c>
      <c r="F109" s="3653"/>
      <c r="G109" s="1827" t="s">
        <v>1428</v>
      </c>
      <c r="H109" s="2595" t="str">
        <f>IF(E109="——","——",H101-H105-H106)</f>
        <v>——</v>
      </c>
      <c r="I109" s="129"/>
    </row>
    <row r="110" spans="1:35" ht="18.75" customHeight="1">
      <c r="A110" s="129"/>
      <c r="B110" s="129"/>
      <c r="C110" s="129"/>
      <c r="D110" s="129"/>
      <c r="E110" s="3685"/>
      <c r="F110" s="3653"/>
      <c r="G110" s="1827" t="s">
        <v>1430</v>
      </c>
      <c r="H110" s="2552" t="str">
        <f>IF(H109="——","——",ROUND(H109*10000/'数据-汇总表'!E3,0))</f>
        <v>——</v>
      </c>
      <c r="I110" s="129"/>
    </row>
    <row r="111" spans="1:35" ht="18.75" customHeight="1">
      <c r="A111" s="129"/>
      <c r="B111" s="129"/>
      <c r="C111" s="129"/>
      <c r="D111" s="129"/>
      <c r="E111" s="3686" t="str">
        <f>IF(项目基本情况!E9="抵押净值",IF(OR(项目基本情况!E8="已注销",项目基本情况!E8="房地产抵押价值"),"4.抵押净值","5.抵押净值"),"——")</f>
        <v>——</v>
      </c>
      <c r="F111" s="3672"/>
      <c r="G111" s="1827" t="s">
        <v>1428</v>
      </c>
      <c r="H111" s="2592" t="str">
        <f>IF(E111="——","——",N59)</f>
        <v>——</v>
      </c>
      <c r="I111" s="129"/>
    </row>
    <row r="112" spans="1:35" ht="18.75" customHeight="1" thickBot="1">
      <c r="A112" s="129"/>
      <c r="B112" s="129"/>
      <c r="C112" s="129"/>
      <c r="D112" s="129"/>
      <c r="E112" s="3687"/>
      <c r="F112" s="3688"/>
      <c r="G112" s="1830" t="s">
        <v>1430</v>
      </c>
      <c r="H112" s="2596" t="str">
        <f>IF(E111="——","——",N61)</f>
        <v>——</v>
      </c>
      <c r="I112" s="129"/>
    </row>
    <row r="113" spans="1:27" ht="18.75" customHeight="1">
      <c r="A113" s="129"/>
      <c r="B113" s="129"/>
      <c r="C113" s="129"/>
      <c r="D113" s="129"/>
      <c r="E113" s="3695" t="s">
        <v>1436</v>
      </c>
      <c r="F113" s="3695"/>
      <c r="G113" s="3695"/>
      <c r="H113" s="3695"/>
      <c r="I113" s="129"/>
    </row>
    <row r="114" spans="1:27" ht="3.75" customHeight="1">
      <c r="A114" s="1747"/>
      <c r="B114" s="1747"/>
      <c r="C114" s="1747"/>
      <c r="D114" s="1747"/>
      <c r="E114" s="1809"/>
      <c r="F114" s="1809"/>
      <c r="G114" s="1809"/>
      <c r="H114" s="1809"/>
      <c r="I114" s="1747"/>
    </row>
    <row r="115" spans="1:27" ht="18.75" customHeight="1">
      <c r="A115" s="3703" t="s">
        <v>1438</v>
      </c>
      <c r="B115" s="3704"/>
      <c r="C115" s="3704"/>
      <c r="D115" s="3704"/>
      <c r="E115" s="3704"/>
      <c r="F115" s="3704"/>
      <c r="G115" s="3704"/>
      <c r="H115" s="3704"/>
      <c r="I115" s="3705"/>
    </row>
    <row r="116" spans="1:27" ht="27" customHeight="1">
      <c r="A116" s="3660" t="s">
        <v>1439</v>
      </c>
      <c r="B116" s="3664" t="s">
        <v>1440</v>
      </c>
      <c r="C116" s="3664" t="s">
        <v>1441</v>
      </c>
      <c r="D116" s="3670" t="s">
        <v>1442</v>
      </c>
      <c r="E116" s="3671"/>
      <c r="F116" s="3702" t="s">
        <v>1443</v>
      </c>
      <c r="G116" s="3702"/>
      <c r="H116" s="3660" t="s">
        <v>1444</v>
      </c>
      <c r="I116" s="3660"/>
    </row>
    <row r="117" spans="1:27" ht="18.75" customHeight="1">
      <c r="A117" s="3660"/>
      <c r="B117" s="3665"/>
      <c r="C117" s="3665"/>
      <c r="D117" s="2327" t="s">
        <v>1445</v>
      </c>
      <c r="E117" s="2327" t="s">
        <v>1446</v>
      </c>
      <c r="F117" s="2327" t="s">
        <v>1445</v>
      </c>
      <c r="G117" s="2327" t="s">
        <v>1447</v>
      </c>
      <c r="H117" s="2327" t="s">
        <v>1445</v>
      </c>
      <c r="I117" s="2327" t="s">
        <v>1447</v>
      </c>
    </row>
    <row r="118" spans="1:27" ht="24.75" customHeight="1">
      <c r="A118" s="2597" t="str">
        <f>项目基本情况!S2</f>
        <v>北京市房地产</v>
      </c>
      <c r="B118" s="2327">
        <f>M18</f>
        <v>85.3</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60" t="s">
        <v>1448</v>
      </c>
      <c r="B119" s="3660"/>
      <c r="C119" s="3660"/>
      <c r="D119" s="3666" t="e">
        <f ca="1">NUMBERSTRING(INT(D118*10000),2)&amp;"元整"</f>
        <v>#REF!</v>
      </c>
      <c r="E119" s="3667"/>
      <c r="F119" s="3666" t="e">
        <f ca="1">NUMBERSTRING(INT(F118*10000),2)&amp;"元整"</f>
        <v>#REF!</v>
      </c>
      <c r="G119" s="3667"/>
      <c r="H119" s="3666" t="e">
        <f ca="1">NUMBERSTRING(INT(H118*10000),2)&amp;"元整"</f>
        <v>#REF!</v>
      </c>
      <c r="I119" s="3667"/>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66" t="s">
        <v>1448</v>
      </c>
      <c r="B121" s="3668"/>
      <c r="C121" s="3667"/>
      <c r="D121" s="3666" t="str">
        <f>IF(D120=0,"零元整",NUMBERSTRING(INT(D120*10000),2)&amp;"元整")</f>
        <v>零元整</v>
      </c>
      <c r="E121" s="3668"/>
      <c r="F121" s="3668"/>
      <c r="G121" s="3668"/>
      <c r="H121" s="3668"/>
      <c r="I121" s="3667"/>
      <c r="AA121" s="725"/>
    </row>
    <row r="122" spans="1:27" ht="18.75" customHeight="1">
      <c r="A122" s="3672" t="str">
        <f>IF(项目基本情况!B9="房地产市场价值","",MID(E107,3,LEN(E107)-2))</f>
        <v>房地产抵押价值</v>
      </c>
      <c r="B122" s="3672"/>
      <c r="C122" s="3672"/>
      <c r="D122" s="3661" t="e">
        <f ca="1">H107</f>
        <v>#REF!</v>
      </c>
      <c r="E122" s="3662"/>
      <c r="F122" s="3662"/>
      <c r="G122" s="3662"/>
      <c r="H122" s="3662"/>
      <c r="I122" s="3663"/>
      <c r="AA122" s="725"/>
    </row>
    <row r="123" spans="1:27" ht="18.75" customHeight="1">
      <c r="A123" s="3660" t="s">
        <v>1448</v>
      </c>
      <c r="B123" s="3660"/>
      <c r="C123" s="3660"/>
      <c r="D123" s="3666" t="e">
        <f ca="1">NUMBERSTRING(INT(D122*10000),2)&amp;"元整"</f>
        <v>#REF!</v>
      </c>
      <c r="E123" s="3668"/>
      <c r="F123" s="3668"/>
      <c r="G123" s="3668"/>
      <c r="H123" s="3668"/>
      <c r="I123" s="3667"/>
      <c r="AA123" s="725"/>
    </row>
    <row r="124" spans="1:27" ht="18.75" customHeight="1">
      <c r="A124" s="3672" t="str">
        <f>IF(项目基本情况!B9="房地产市场价值","",MID(E109,3,LEN(E109)-2))</f>
        <v/>
      </c>
      <c r="B124" s="3672"/>
      <c r="C124" s="3672"/>
      <c r="D124" s="3661" t="str">
        <f>H109</f>
        <v>——</v>
      </c>
      <c r="E124" s="3662"/>
      <c r="F124" s="3662"/>
      <c r="G124" s="3662"/>
      <c r="H124" s="3662"/>
      <c r="I124" s="3663"/>
      <c r="AA124" s="725"/>
    </row>
    <row r="125" spans="1:27" ht="18.75" customHeight="1">
      <c r="A125" s="3660" t="s">
        <v>1448</v>
      </c>
      <c r="B125" s="3660"/>
      <c r="C125" s="3660"/>
      <c r="D125" s="3666" t="e">
        <f>NUMBERSTRING(INT(D124*10000),2)&amp;"元整"</f>
        <v>#VALUE!</v>
      </c>
      <c r="E125" s="3668"/>
      <c r="F125" s="3668"/>
      <c r="G125" s="3668"/>
      <c r="H125" s="3668"/>
      <c r="I125" s="3667"/>
      <c r="AA125" s="725"/>
    </row>
    <row r="126" spans="1:27" ht="18.75" customHeight="1">
      <c r="A126" s="3672" t="str">
        <f>IF(项目基本情况!B9="房地产市场价值","",MID(E111,3,LEN(E111)-2))</f>
        <v/>
      </c>
      <c r="B126" s="3672"/>
      <c r="C126" s="3672"/>
      <c r="D126" s="3661" t="str">
        <f>H111</f>
        <v>——</v>
      </c>
      <c r="E126" s="3662"/>
      <c r="F126" s="3662"/>
      <c r="G126" s="3662"/>
      <c r="H126" s="3662"/>
      <c r="I126" s="3663"/>
      <c r="AA126" s="725"/>
    </row>
    <row r="127" spans="1:27" ht="18.75" customHeight="1">
      <c r="A127" s="3660" t="s">
        <v>1448</v>
      </c>
      <c r="B127" s="3660"/>
      <c r="C127" s="3660"/>
      <c r="D127" s="3666" t="e">
        <f>NUMBERSTRING(INT(D126*10000),2)&amp;"元整"</f>
        <v>#VALUE!</v>
      </c>
      <c r="E127" s="3668"/>
      <c r="F127" s="3668"/>
      <c r="G127" s="3668"/>
      <c r="H127" s="3668"/>
      <c r="I127" s="3667"/>
      <c r="AA127" s="725"/>
    </row>
    <row r="128" spans="1:27" ht="21.75" customHeight="1">
      <c r="A128" s="3669" t="s">
        <v>1449</v>
      </c>
      <c r="B128" s="3669"/>
      <c r="C128" s="3669"/>
      <c r="D128" s="3669"/>
      <c r="E128" s="3669"/>
      <c r="F128" s="3669"/>
      <c r="G128" s="3669"/>
      <c r="H128" s="3669"/>
      <c r="I128" s="3669"/>
      <c r="AA128" s="725"/>
    </row>
    <row r="129" spans="1:35" ht="21.75" customHeight="1">
      <c r="A129" s="1831" t="s">
        <v>1450</v>
      </c>
      <c r="B129" s="1832"/>
      <c r="C129" s="1833" t="s">
        <v>1451</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1452</v>
      </c>
      <c r="G135" s="1848"/>
      <c r="H135" s="1848"/>
      <c r="I135" s="1849" t="s">
        <v>1453</v>
      </c>
    </row>
    <row r="136" spans="1:35" ht="21.75" customHeight="1">
      <c r="A136" s="725"/>
      <c r="B136" s="1850" t="s">
        <v>1454</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1455</v>
      </c>
    </row>
    <row r="139" spans="1:35" ht="21.75" customHeight="1">
      <c r="A139" s="725"/>
      <c r="B139" s="1850" t="s">
        <v>1456</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1455</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1457</v>
      </c>
      <c r="B1" s="1470"/>
      <c r="C1" s="198"/>
      <c r="D1" s="198"/>
      <c r="E1" s="198"/>
      <c r="F1" s="198"/>
      <c r="G1" s="1126">
        <f>MATCH(B1,'数据-取费表'!A6:A16,0)+5</f>
        <v>7</v>
      </c>
    </row>
    <row r="2" spans="1:9" s="200" customFormat="1" ht="18" customHeight="1">
      <c r="A2" s="201" t="s">
        <v>1458</v>
      </c>
      <c r="B2" s="202" t="e">
        <f ca="1">IF(D2="——",C52,C52-E2)</f>
        <v>#DIV/0!</v>
      </c>
      <c r="C2" s="199" t="s">
        <v>1459</v>
      </c>
      <c r="D2" s="1853" t="s">
        <v>39</v>
      </c>
      <c r="E2" s="1169" t="e">
        <f ca="1">SUMIF(INDIRECT("'"&amp;G2&amp;"'"&amp;"!A:A"),"承租人权益价值",INDIRECT("'"&amp;G2&amp;"'"&amp;"!c:c"))</f>
        <v>#REF!</v>
      </c>
      <c r="F2" s="1854" t="s">
        <v>1459</v>
      </c>
      <c r="G2" s="1855"/>
    </row>
    <row r="3" spans="1:9" s="200" customFormat="1" ht="18" customHeight="1" thickBot="1">
      <c r="A3" s="203" t="s">
        <v>1460</v>
      </c>
      <c r="B3" s="204" t="e">
        <f ca="1">ROUND(B2*10000/(IF(B1="",'数据-汇总表'!E3,INDIRECT("'数据-取费表'!k"&amp;$G$1))),0)</f>
        <v>#DIV/0!</v>
      </c>
      <c r="C3" s="199" t="s">
        <v>1461</v>
      </c>
      <c r="D3" s="199"/>
      <c r="E3" s="199"/>
      <c r="F3" s="199"/>
      <c r="G3" s="199"/>
    </row>
    <row r="4" spans="1:9" s="208" customFormat="1" ht="15.75">
      <c r="A4" s="205" t="s">
        <v>1462</v>
      </c>
      <c r="B4" s="206"/>
      <c r="C4" s="206"/>
      <c r="D4" s="206"/>
      <c r="E4" s="206"/>
      <c r="F4" s="206"/>
      <c r="G4" s="207"/>
    </row>
    <row r="5" spans="1:9" s="214" customFormat="1" ht="13.5" customHeight="1">
      <c r="A5" s="255" t="s">
        <v>1463</v>
      </c>
      <c r="B5" s="210" t="s">
        <v>1464</v>
      </c>
      <c r="C5" s="211">
        <f>C6+C7+C8</f>
        <v>160</v>
      </c>
      <c r="D5" s="211" t="s">
        <v>1465</v>
      </c>
      <c r="E5" s="212" t="s">
        <v>1466</v>
      </c>
      <c r="F5" s="212" t="s">
        <v>1467</v>
      </c>
      <c r="G5" s="213"/>
    </row>
    <row r="6" spans="1:9" s="214" customFormat="1" ht="13.5" customHeight="1">
      <c r="A6" s="778" t="s">
        <v>1468</v>
      </c>
      <c r="B6" s="215" t="s">
        <v>1469</v>
      </c>
      <c r="C6" s="216"/>
      <c r="D6" s="217"/>
      <c r="E6" s="218"/>
      <c r="F6" s="218"/>
      <c r="G6" s="219"/>
    </row>
    <row r="7" spans="1:9" s="214" customFormat="1" ht="13.5" customHeight="1">
      <c r="A7" s="778" t="s">
        <v>1470</v>
      </c>
      <c r="B7" s="215" t="s">
        <v>1471</v>
      </c>
      <c r="C7" s="220">
        <f>ROUND(C6*F7,0)</f>
        <v>0</v>
      </c>
      <c r="D7" s="220"/>
      <c r="E7" s="218"/>
      <c r="F7" s="221">
        <f>IF(项目基本情况!B8="出让",0,'数据-取费表'!B48+'数据-取费表'!B49)</f>
        <v>3.0499999999999999E-2</v>
      </c>
      <c r="G7" s="219"/>
    </row>
    <row r="8" spans="1:9" s="223" customFormat="1">
      <c r="A8" s="778" t="s">
        <v>1472</v>
      </c>
      <c r="B8" s="215" t="s">
        <v>1473</v>
      </c>
      <c r="C8" s="220">
        <f>IF(G8="已包含在土地购买价格中","0",IF(B1="",'数据-取费表'!B29,IF(G9="全部缴纳",C9+C10,H9)))</f>
        <v>160</v>
      </c>
      <c r="D8" s="222"/>
      <c r="E8" s="220"/>
      <c r="F8" s="221"/>
      <c r="G8" s="1856"/>
    </row>
    <row r="9" spans="1:9" s="214" customFormat="1" ht="13.5" customHeight="1">
      <c r="A9" s="779" t="s">
        <v>351</v>
      </c>
      <c r="B9" s="224" t="s">
        <v>1474</v>
      </c>
      <c r="C9" s="225">
        <f ca="1">ROUND(D9*E9/10000,0)</f>
        <v>1</v>
      </c>
      <c r="D9" s="845">
        <f ca="1">IF(B1="",'数据-汇总表'!E5,IF(INDIRECT("'数据-取费表'!c"&amp;$G$1)="住宅",INDIRECT("'数据-取费表'!k"&amp;$G$1),0))</f>
        <v>85.3</v>
      </c>
      <c r="E9" s="225">
        <f>'数据-取费表'!B27</f>
        <v>160</v>
      </c>
      <c r="F9" s="221"/>
      <c r="G9" s="1857"/>
      <c r="H9" s="1137"/>
      <c r="I9" s="1858" t="s">
        <v>1475</v>
      </c>
    </row>
    <row r="10" spans="1:9" s="214" customFormat="1" ht="13.5" customHeight="1">
      <c r="A10" s="779" t="s">
        <v>352</v>
      </c>
      <c r="B10" s="224" t="s">
        <v>1476</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1477</v>
      </c>
      <c r="C11" s="211"/>
      <c r="D11" s="847"/>
      <c r="E11" s="218"/>
      <c r="F11" s="218"/>
      <c r="G11" s="219"/>
    </row>
    <row r="12" spans="1:9" s="214" customFormat="1" ht="13.5" hidden="1" customHeight="1">
      <c r="A12" s="227" t="s">
        <v>5</v>
      </c>
      <c r="B12" s="215" t="s">
        <v>1478</v>
      </c>
      <c r="C12" s="211">
        <v>0</v>
      </c>
      <c r="D12" s="847"/>
      <c r="E12" s="228"/>
      <c r="F12" s="221">
        <v>3.0499999999999999E-2</v>
      </c>
      <c r="G12" s="219"/>
    </row>
    <row r="13" spans="1:9" s="214" customFormat="1" ht="13.5" hidden="1" customHeight="1">
      <c r="A13" s="227" t="s">
        <v>6</v>
      </c>
      <c r="B13" s="215" t="s">
        <v>1479</v>
      </c>
      <c r="C13" s="211"/>
      <c r="D13" s="847"/>
      <c r="E13" s="218"/>
      <c r="F13" s="218"/>
      <c r="G13" s="219"/>
    </row>
    <row r="14" spans="1:9" s="214" customFormat="1" ht="13.5" hidden="1" customHeight="1">
      <c r="A14" s="227" t="s">
        <v>7</v>
      </c>
      <c r="B14" s="215" t="s">
        <v>1480</v>
      </c>
      <c r="C14" s="211"/>
      <c r="D14" s="847"/>
      <c r="E14" s="218"/>
      <c r="F14" s="218"/>
      <c r="G14" s="219" t="s">
        <v>1481</v>
      </c>
    </row>
    <row r="15" spans="1:9" s="214" customFormat="1" ht="13.5" hidden="1" customHeight="1">
      <c r="A15" s="227" t="s">
        <v>8</v>
      </c>
      <c r="B15" s="215" t="s">
        <v>1482</v>
      </c>
      <c r="C15" s="220"/>
      <c r="D15" s="847"/>
      <c r="E15" s="218"/>
      <c r="F15" s="218"/>
      <c r="G15" s="219" t="s">
        <v>1483</v>
      </c>
    </row>
    <row r="16" spans="1:9" s="214" customFormat="1" ht="13.5" hidden="1" customHeight="1">
      <c r="A16" s="227" t="s">
        <v>9</v>
      </c>
      <c r="B16" s="215" t="s">
        <v>1480</v>
      </c>
      <c r="C16" s="220"/>
      <c r="D16" s="847"/>
      <c r="E16" s="218"/>
      <c r="F16" s="218"/>
      <c r="G16" s="219"/>
    </row>
    <row r="17" spans="1:7" s="214" customFormat="1" ht="13.5" hidden="1" customHeight="1">
      <c r="A17" s="227" t="s">
        <v>10</v>
      </c>
      <c r="B17" s="215" t="s">
        <v>1484</v>
      </c>
      <c r="C17" s="229"/>
      <c r="D17" s="848"/>
      <c r="E17" s="229"/>
      <c r="F17" s="229"/>
      <c r="G17" s="219" t="s">
        <v>1483</v>
      </c>
    </row>
    <row r="18" spans="1:7" s="214" customFormat="1" ht="13.5" hidden="1" customHeight="1">
      <c r="A18" s="227" t="s">
        <v>11</v>
      </c>
      <c r="B18" s="215" t="s">
        <v>1485</v>
      </c>
      <c r="C18" s="220">
        <v>0</v>
      </c>
      <c r="D18" s="847"/>
      <c r="E18" s="218"/>
      <c r="F18" s="221">
        <v>3.0499999999999999E-2</v>
      </c>
      <c r="G18" s="219" t="s">
        <v>1486</v>
      </c>
    </row>
    <row r="19" spans="1:7" s="223" customFormat="1" ht="13.5" customHeight="1">
      <c r="A19" s="255" t="s">
        <v>1487</v>
      </c>
      <c r="B19" s="210" t="s">
        <v>1488</v>
      </c>
      <c r="C19" s="211">
        <f ca="1">IF(G19="已包含在土地取得成本中","0",ROUND(D19*E19/10000,0))</f>
        <v>2</v>
      </c>
      <c r="D19" s="849">
        <f ca="1">D9+D10</f>
        <v>85.3</v>
      </c>
      <c r="E19" s="211">
        <f>'数据-取费表'!B31</f>
        <v>200</v>
      </c>
      <c r="F19" s="231"/>
      <c r="G19" s="1856"/>
    </row>
    <row r="20" spans="1:7" s="214" customFormat="1" ht="13.5" customHeight="1">
      <c r="A20" s="255" t="s">
        <v>1489</v>
      </c>
      <c r="B20" s="210" t="s">
        <v>1490</v>
      </c>
      <c r="C20" s="232">
        <f ca="1">ROUND((C5+C19)*F20,0)</f>
        <v>3</v>
      </c>
      <c r="D20" s="232"/>
      <c r="E20" s="232"/>
      <c r="F20" s="233">
        <f>'数据-取费表'!B37</f>
        <v>0.02</v>
      </c>
      <c r="G20" s="234" t="s">
        <v>1491</v>
      </c>
    </row>
    <row r="21" spans="1:7" s="214" customFormat="1" ht="13.5" customHeight="1">
      <c r="A21" s="255" t="s">
        <v>1492</v>
      </c>
      <c r="B21" s="210" t="s">
        <v>1493</v>
      </c>
      <c r="C21" s="235">
        <f>F21</f>
        <v>0.02</v>
      </c>
      <c r="D21" s="236" t="s">
        <v>1494</v>
      </c>
      <c r="E21" s="232"/>
      <c r="F21" s="233">
        <f>'数据-取费表'!B38</f>
        <v>0.02</v>
      </c>
      <c r="G21" s="234" t="s">
        <v>1495</v>
      </c>
    </row>
    <row r="22" spans="1:7" s="214" customFormat="1" ht="13.5" customHeight="1">
      <c r="A22" s="255" t="s">
        <v>1496</v>
      </c>
      <c r="B22" s="210" t="s">
        <v>1497</v>
      </c>
      <c r="C22" s="1104">
        <f ca="1">ROUND(SUM(C23:C25),0)</f>
        <v>12</v>
      </c>
      <c r="D22" s="235">
        <f ca="1">C26</f>
        <v>6.9999999999999999E-4</v>
      </c>
      <c r="E22" s="236" t="s">
        <v>1494</v>
      </c>
      <c r="F22" s="237">
        <f ca="1">'数据-取费表'!B40</f>
        <v>3.6499999999999998E-2</v>
      </c>
      <c r="G22" s="234" t="str">
        <f>IF('数据-取费表'!B22&lt;=1,"单利计息","复利计息")</f>
        <v>复利计息</v>
      </c>
    </row>
    <row r="23" spans="1:7" s="214" customFormat="1" ht="13.5" customHeight="1">
      <c r="A23" s="780" t="s">
        <v>1498</v>
      </c>
      <c r="B23" s="215" t="s">
        <v>1499</v>
      </c>
      <c r="C23" s="1105">
        <f ca="1">ROUND(IF('数据-取费表'!B22&lt;=1,C5*F22*'数据-取费表'!B23,C5*(POWER((1+F22),'数据-取费表'!B23)-1)),0)</f>
        <v>12</v>
      </c>
      <c r="D23" s="238"/>
      <c r="E23" s="238"/>
      <c r="F23" s="239"/>
      <c r="G23" s="240" t="s">
        <v>1500</v>
      </c>
    </row>
    <row r="24" spans="1:7" s="214" customFormat="1" ht="13.5" customHeight="1">
      <c r="A24" s="780" t="s">
        <v>1501</v>
      </c>
      <c r="B24" s="215" t="s">
        <v>1502</v>
      </c>
      <c r="C24" s="1105">
        <f ca="1">ROUND(IF('数据-取费表'!B22&lt;=1,C19*F22*('数据-取费表'!B19/2+'数据-取费表'!B21),C19*(POWER((1+F22),('数据-取费表'!B19/2+'数据-取费表'!B21))-1)),0)</f>
        <v>0</v>
      </c>
      <c r="D24" s="238"/>
      <c r="E24" s="238"/>
      <c r="F24" s="239"/>
      <c r="G24" s="240" t="s">
        <v>1503</v>
      </c>
    </row>
    <row r="25" spans="1:7" s="214" customFormat="1" ht="24">
      <c r="A25" s="780" t="s">
        <v>1504</v>
      </c>
      <c r="B25" s="215" t="s">
        <v>1505</v>
      </c>
      <c r="C25" s="1105">
        <f ca="1">ROUND(IF('数据-取费表'!B22&lt;=1,C20*F22*'数据-取费表'!B23/2,C20*(POWER((1+F22),'数据-取费表'!B23/2)-1)),0)</f>
        <v>0</v>
      </c>
      <c r="D25" s="238"/>
      <c r="E25" s="241"/>
      <c r="F25" s="239"/>
      <c r="G25" s="242" t="s">
        <v>1506</v>
      </c>
    </row>
    <row r="26" spans="1:7" s="214" customFormat="1">
      <c r="A26" s="780" t="s">
        <v>346</v>
      </c>
      <c r="B26" s="215" t="s">
        <v>1507</v>
      </c>
      <c r="C26" s="238">
        <f ca="1">ROUND(IF('数据-取费表'!B22&lt;=1,F21*F22*'数据-取费表'!B23/2,F21*(POWER((1+F22),'数据-取费表'!B23/2)-1)),4)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ROUND((C5+C19+C20)*F27*'数据-取费表'!B21/'数据-取费表'!B20,0)</f>
        <v>#DIV/0!</v>
      </c>
      <c r="D28" s="235"/>
      <c r="E28" s="236"/>
      <c r="F28" s="246"/>
      <c r="G28" s="247"/>
    </row>
    <row r="29" spans="1:7" s="214" customFormat="1" ht="13.5" customHeight="1">
      <c r="A29" s="780" t="s">
        <v>343</v>
      </c>
      <c r="B29" s="248" t="s">
        <v>1513</v>
      </c>
      <c r="C29" s="238" t="e">
        <f ca="1">ROUND(C21*F27*'数据-取费表'!B21/'数据-取费表'!B20,4)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1519</v>
      </c>
      <c r="B32" s="253"/>
      <c r="C32" s="253"/>
      <c r="D32" s="253"/>
      <c r="E32" s="253"/>
      <c r="F32" s="253"/>
      <c r="G32" s="254"/>
    </row>
    <row r="33" spans="1:7" s="214" customFormat="1" ht="13.5" customHeight="1">
      <c r="A33" s="255" t="s">
        <v>333</v>
      </c>
      <c r="B33" s="210" t="s">
        <v>1520</v>
      </c>
      <c r="C33" s="256">
        <f ca="1">SUM(C34:C38)</f>
        <v>2</v>
      </c>
      <c r="D33" s="232"/>
      <c r="E33" s="212"/>
      <c r="F33" s="241"/>
      <c r="G33" s="234"/>
    </row>
    <row r="34" spans="1:7" s="258" customFormat="1" ht="13.5" customHeight="1">
      <c r="A34" s="780" t="s">
        <v>342</v>
      </c>
      <c r="B34" s="215" t="s">
        <v>1521</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1522</v>
      </c>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0.1</v>
      </c>
      <c r="G36" s="260" t="s">
        <v>1526</v>
      </c>
    </row>
    <row r="37" spans="1:7" s="258" customFormat="1" ht="13.5" customHeight="1">
      <c r="A37" s="780" t="s">
        <v>349</v>
      </c>
      <c r="B37" s="215" t="s">
        <v>1527</v>
      </c>
      <c r="C37" s="249">
        <f ca="1">ROUND(E37*D37*F34/10000,0)</f>
        <v>2</v>
      </c>
      <c r="D37" s="217">
        <f ca="1">D19</f>
        <v>85.3</v>
      </c>
      <c r="E37" s="249">
        <f>'数据-取费表'!B35</f>
        <v>200</v>
      </c>
      <c r="F37" s="259"/>
      <c r="G37" s="261" t="s">
        <v>1528</v>
      </c>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0</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0</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ROUND(IF('数据-取费表'!B22&lt;=1,C33*F22*'数据-取费表'!B21/2,C33*(POWER((1+F22),'数据-取费表'!B21/2)-1)),0)</f>
        <v>0</v>
      </c>
      <c r="D42" s="238"/>
      <c r="E42" s="238"/>
      <c r="F42" s="239"/>
      <c r="G42" s="3739" t="s">
        <v>1540</v>
      </c>
    </row>
    <row r="43" spans="1:7" ht="13.5" customHeight="1">
      <c r="A43" s="780" t="s">
        <v>343</v>
      </c>
      <c r="B43" s="215" t="s">
        <v>1541</v>
      </c>
      <c r="C43" s="238">
        <f ca="1">ROUND(IF('数据-取费表'!B22&lt;=1,C39*F22*'数据-取费表'!B21/2,C39*(POWER((1+F22),'数据-取费表'!B21/2)-1)),0)</f>
        <v>0</v>
      </c>
      <c r="D43" s="238"/>
      <c r="E43" s="238"/>
      <c r="F43" s="239"/>
      <c r="G43" s="3740"/>
    </row>
    <row r="44" spans="1:7" ht="13.5" customHeight="1">
      <c r="A44" s="780" t="s">
        <v>344</v>
      </c>
      <c r="B44" s="215" t="s">
        <v>1542</v>
      </c>
      <c r="C44" s="238">
        <f ca="1">ROUND(IF('数据-取费表'!B22&lt;=1,C40*F22*'数据-取费表'!B21/2,C40*(POWER((1+F22),'数据-取费表'!B21/2)-1)),4)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1327">
        <f>ROUND(F30/(1+'数据-取费表'!C42),4)</f>
        <v>5.33E-2</v>
      </c>
      <c r="D48" s="236" t="s">
        <v>1535</v>
      </c>
      <c r="E48" s="232"/>
      <c r="F48" s="237">
        <f>F30</f>
        <v>5.6000000000000001E-2</v>
      </c>
      <c r="G48" s="234" t="s">
        <v>1548</v>
      </c>
    </row>
    <row r="49" spans="1:7" ht="16.5" customHeight="1">
      <c r="A49" s="255" t="s">
        <v>1514</v>
      </c>
      <c r="B49" s="210" t="s">
        <v>1549</v>
      </c>
      <c r="C49" s="232" t="e">
        <f ca="1">ROUND((C33+C39+C41+C45)/(1-C40-D41-D45-C48),0)</f>
        <v>#DIV/0!</v>
      </c>
      <c r="D49" s="232"/>
      <c r="E49" s="232"/>
      <c r="F49" s="264"/>
      <c r="G49" s="234" t="s">
        <v>1550</v>
      </c>
    </row>
    <row r="50" spans="1:7" s="258" customFormat="1" ht="24">
      <c r="A50" s="255" t="s">
        <v>1551</v>
      </c>
      <c r="B50" s="210" t="s">
        <v>1552</v>
      </c>
      <c r="C50" s="232"/>
      <c r="D50" s="232"/>
      <c r="E50" s="232"/>
      <c r="F50" s="264" t="e">
        <f>IF('数据-取费表'!B24=0,'数据-取费表'!N16,1)</f>
        <v>#DIV/0!</v>
      </c>
      <c r="G50" s="247" t="s">
        <v>1553</v>
      </c>
    </row>
    <row r="51" spans="1:7" ht="16.5" customHeight="1">
      <c r="A51" s="255" t="s">
        <v>1554</v>
      </c>
      <c r="B51" s="210" t="s">
        <v>1555</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1457</v>
      </c>
      <c r="B1" s="1470"/>
      <c r="C1" s="1859" t="s">
        <v>1559</v>
      </c>
      <c r="D1" s="198"/>
      <c r="E1" s="198"/>
      <c r="F1" s="198"/>
      <c r="G1" s="1126">
        <f>MATCH(B1,'数据-取费表'!A6:A16,0)+5</f>
        <v>7</v>
      </c>
      <c r="H1" s="1061" t="str">
        <f>IF(ISERROR(FIND("住宅",B1)),"非住宅","住宅")</f>
        <v>非住宅</v>
      </c>
    </row>
    <row r="2" spans="1:8" s="200" customFormat="1" ht="18" customHeight="1">
      <c r="A2" s="201" t="s">
        <v>1458</v>
      </c>
      <c r="B2" s="3421" t="e">
        <f ca="1">ROUND(IF(D2="——",C52/10000,C52/10000-E2),4)</f>
        <v>#DIV/0!</v>
      </c>
      <c r="C2" s="199" t="s">
        <v>1459</v>
      </c>
      <c r="D2" s="1853" t="s">
        <v>39</v>
      </c>
      <c r="E2" s="1169" t="e">
        <f ca="1">SUMIF(INDIRECT("'"&amp;G2&amp;"'"&amp;"!A:A"),"承租人权益价值",INDIRECT("'"&amp;G2&amp;"'"&amp;"!c:c"))</f>
        <v>#REF!</v>
      </c>
      <c r="F2" s="1854" t="s">
        <v>1459</v>
      </c>
      <c r="G2" s="1855"/>
    </row>
    <row r="3" spans="1:8" s="200" customFormat="1" ht="18" customHeight="1" thickBot="1">
      <c r="A3" s="203" t="s">
        <v>1460</v>
      </c>
      <c r="B3" s="204" t="e">
        <f ca="1">ROUND(B2*10000/(IF(B1="",'数据-汇总表'!E3,INDIRECT("'数据-取费表'!k"&amp;$G$1))),0)</f>
        <v>#DIV/0!</v>
      </c>
      <c r="C3" s="199" t="s">
        <v>1461</v>
      </c>
      <c r="D3" s="199"/>
      <c r="E3" s="199"/>
      <c r="F3" s="199"/>
      <c r="G3" s="199"/>
    </row>
    <row r="4" spans="1:8" s="208" customFormat="1" ht="15.75">
      <c r="A4" s="205" t="s">
        <v>1462</v>
      </c>
      <c r="B4" s="206"/>
      <c r="C4" s="206"/>
      <c r="D4" s="206"/>
      <c r="E4" s="206"/>
      <c r="F4" s="206"/>
      <c r="G4" s="207"/>
    </row>
    <row r="5" spans="1:8" s="214" customFormat="1" ht="13.5" customHeight="1">
      <c r="A5" s="255" t="s">
        <v>1463</v>
      </c>
      <c r="B5" s="210" t="s">
        <v>1464</v>
      </c>
      <c r="C5" s="211">
        <f ca="1">C6+C7+C8</f>
        <v>13648</v>
      </c>
      <c r="D5" s="211" t="s">
        <v>1465</v>
      </c>
      <c r="E5" s="212" t="s">
        <v>1466</v>
      </c>
      <c r="F5" s="212" t="s">
        <v>1467</v>
      </c>
      <c r="G5" s="213"/>
    </row>
    <row r="6" spans="1:8" s="214" customFormat="1" ht="13.5" customHeight="1">
      <c r="A6" s="778" t="s">
        <v>1468</v>
      </c>
      <c r="B6" s="215" t="s">
        <v>1469</v>
      </c>
      <c r="C6" s="216"/>
      <c r="D6" s="217"/>
      <c r="E6" s="218"/>
      <c r="F6" s="218"/>
      <c r="G6" s="219"/>
    </row>
    <row r="7" spans="1:8" s="214" customFormat="1" ht="13.5" customHeight="1">
      <c r="A7" s="778" t="s">
        <v>1470</v>
      </c>
      <c r="B7" s="215" t="s">
        <v>1471</v>
      </c>
      <c r="C7" s="220">
        <f>ROUND(C6*F7,0)</f>
        <v>0</v>
      </c>
      <c r="D7" s="220"/>
      <c r="E7" s="218"/>
      <c r="F7" s="221">
        <f>IF(项目基本情况!B8="出让",0,'数据-取费表'!B48+'数据-取费表'!B49)</f>
        <v>3.0499999999999999E-2</v>
      </c>
      <c r="G7" s="219"/>
    </row>
    <row r="8" spans="1:8" s="223" customFormat="1">
      <c r="A8" s="778" t="s">
        <v>1472</v>
      </c>
      <c r="B8" s="215" t="s">
        <v>1473</v>
      </c>
      <c r="C8" s="220">
        <f ca="1">IF(G8="已包含在土地购买价格中",0,C9+C10)</f>
        <v>13648</v>
      </c>
      <c r="D8" s="222"/>
      <c r="E8" s="220"/>
      <c r="F8" s="221"/>
      <c r="G8" s="1856"/>
    </row>
    <row r="9" spans="1:8" s="214" customFormat="1" ht="13.5" customHeight="1">
      <c r="A9" s="779" t="s">
        <v>351</v>
      </c>
      <c r="B9" s="224" t="s">
        <v>1474</v>
      </c>
      <c r="C9" s="225">
        <f ca="1">ROUND(D9*E9,0)</f>
        <v>13648</v>
      </c>
      <c r="D9" s="845">
        <f ca="1">IF(B1="",'数据-汇总表'!E5,IF(INDIRECT("'数据-取费表'!c"&amp;$G$1)="住宅",INDIRECT("'数据-取费表'!k"&amp;$G$1),0))</f>
        <v>85.3</v>
      </c>
      <c r="E9" s="225">
        <f>'数据-取费表'!B27</f>
        <v>160</v>
      </c>
      <c r="F9" s="221"/>
      <c r="G9" s="226"/>
    </row>
    <row r="10" spans="1:8" s="214" customFormat="1" ht="13.5" customHeight="1">
      <c r="A10" s="779" t="s">
        <v>352</v>
      </c>
      <c r="B10" s="224" t="s">
        <v>1476</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1477</v>
      </c>
      <c r="C11" s="211"/>
      <c r="D11" s="847"/>
      <c r="E11" s="218"/>
      <c r="F11" s="218"/>
      <c r="G11" s="219"/>
    </row>
    <row r="12" spans="1:8" s="214" customFormat="1" ht="13.5" hidden="1" customHeight="1">
      <c r="A12" s="227" t="s">
        <v>5</v>
      </c>
      <c r="B12" s="215" t="s">
        <v>1560</v>
      </c>
      <c r="C12" s="211">
        <v>0</v>
      </c>
      <c r="D12" s="847"/>
      <c r="E12" s="228"/>
      <c r="F12" s="221">
        <v>3.0499999999999999E-2</v>
      </c>
      <c r="G12" s="219"/>
    </row>
    <row r="13" spans="1:8" s="214" customFormat="1" ht="13.5" hidden="1" customHeight="1">
      <c r="A13" s="227" t="s">
        <v>6</v>
      </c>
      <c r="B13" s="215" t="s">
        <v>1561</v>
      </c>
      <c r="C13" s="211"/>
      <c r="D13" s="847"/>
      <c r="E13" s="218"/>
      <c r="F13" s="218"/>
      <c r="G13" s="219"/>
    </row>
    <row r="14" spans="1:8" s="214" customFormat="1" ht="13.5" hidden="1" customHeight="1">
      <c r="A14" s="227" t="s">
        <v>7</v>
      </c>
      <c r="B14" s="215" t="s">
        <v>1473</v>
      </c>
      <c r="C14" s="211"/>
      <c r="D14" s="847"/>
      <c r="E14" s="218"/>
      <c r="F14" s="218"/>
      <c r="G14" s="219" t="s">
        <v>1562</v>
      </c>
    </row>
    <row r="15" spans="1:8" s="214" customFormat="1" ht="13.5" hidden="1" customHeight="1">
      <c r="A15" s="227" t="s">
        <v>8</v>
      </c>
      <c r="B15" s="215" t="s">
        <v>1563</v>
      </c>
      <c r="C15" s="220"/>
      <c r="D15" s="847"/>
      <c r="E15" s="218"/>
      <c r="F15" s="218"/>
      <c r="G15" s="219" t="s">
        <v>1564</v>
      </c>
    </row>
    <row r="16" spans="1:8" s="214" customFormat="1" ht="13.5" hidden="1" customHeight="1">
      <c r="A16" s="227" t="s">
        <v>9</v>
      </c>
      <c r="B16" s="215" t="s">
        <v>1473</v>
      </c>
      <c r="C16" s="220"/>
      <c r="D16" s="847"/>
      <c r="E16" s="218"/>
      <c r="F16" s="218"/>
      <c r="G16" s="219"/>
    </row>
    <row r="17" spans="1:7" s="214" customFormat="1" ht="13.5" hidden="1" customHeight="1">
      <c r="A17" s="227" t="s">
        <v>10</v>
      </c>
      <c r="B17" s="215" t="s">
        <v>1565</v>
      </c>
      <c r="C17" s="229"/>
      <c r="D17" s="848"/>
      <c r="E17" s="229"/>
      <c r="F17" s="229"/>
      <c r="G17" s="219" t="s">
        <v>1564</v>
      </c>
    </row>
    <row r="18" spans="1:7" s="214" customFormat="1" ht="13.5" hidden="1" customHeight="1">
      <c r="A18" s="227" t="s">
        <v>11</v>
      </c>
      <c r="B18" s="215" t="s">
        <v>1566</v>
      </c>
      <c r="C18" s="220">
        <v>0</v>
      </c>
      <c r="D18" s="847"/>
      <c r="E18" s="218"/>
      <c r="F18" s="221">
        <v>3.0499999999999999E-2</v>
      </c>
      <c r="G18" s="219" t="s">
        <v>1567</v>
      </c>
    </row>
    <row r="19" spans="1:7" s="223" customFormat="1" ht="13.5" customHeight="1">
      <c r="A19" s="255" t="s">
        <v>1568</v>
      </c>
      <c r="B19" s="210" t="s">
        <v>1569</v>
      </c>
      <c r="C19" s="211">
        <f ca="1">IF(G19="已包含在土地取得成本中","0",ROUND(D19*E19,0))</f>
        <v>17060</v>
      </c>
      <c r="D19" s="849">
        <f ca="1">D9+D10</f>
        <v>85.3</v>
      </c>
      <c r="E19" s="211">
        <f>'数据-取费表'!B31</f>
        <v>200</v>
      </c>
      <c r="F19" s="231"/>
      <c r="G19" s="1856"/>
    </row>
    <row r="20" spans="1:7" s="214" customFormat="1" ht="13.5" customHeight="1">
      <c r="A20" s="255" t="s">
        <v>1570</v>
      </c>
      <c r="B20" s="210" t="s">
        <v>1571</v>
      </c>
      <c r="C20" s="232">
        <f ca="1">ROUND((C5+C19)*F20,0)</f>
        <v>614</v>
      </c>
      <c r="D20" s="232"/>
      <c r="E20" s="232"/>
      <c r="F20" s="233">
        <f>'数据-取费表'!B37</f>
        <v>0.02</v>
      </c>
      <c r="G20" s="234" t="s">
        <v>1572</v>
      </c>
    </row>
    <row r="21" spans="1:7" s="214" customFormat="1" ht="13.5" customHeight="1">
      <c r="A21" s="255" t="s">
        <v>1573</v>
      </c>
      <c r="B21" s="210" t="s">
        <v>1574</v>
      </c>
      <c r="C21" s="235">
        <f>F21</f>
        <v>0.02</v>
      </c>
      <c r="D21" s="236" t="s">
        <v>1575</v>
      </c>
      <c r="E21" s="232"/>
      <c r="F21" s="233">
        <f>'数据-取费表'!B38</f>
        <v>0.02</v>
      </c>
      <c r="G21" s="234" t="s">
        <v>1576</v>
      </c>
    </row>
    <row r="22" spans="1:7" s="214" customFormat="1" ht="13.5" customHeight="1">
      <c r="A22" s="255" t="s">
        <v>1577</v>
      </c>
      <c r="B22" s="210" t="s">
        <v>1578</v>
      </c>
      <c r="C22" s="1127">
        <f ca="1">ROUND(SUM(C23:C25),0)</f>
        <v>2304</v>
      </c>
      <c r="D22" s="235">
        <f ca="1">C26</f>
        <v>6.9999999999999999E-4</v>
      </c>
      <c r="E22" s="236" t="s">
        <v>1575</v>
      </c>
      <c r="F22" s="237">
        <f ca="1">'数据-取费表'!B40</f>
        <v>3.6499999999999998E-2</v>
      </c>
      <c r="G22" s="234" t="str">
        <f>IF('数据-取费表'!B22&lt;=1,"单利计息","复利计息")</f>
        <v>复利计息</v>
      </c>
    </row>
    <row r="23" spans="1:7" s="214" customFormat="1" ht="13.5" customHeight="1">
      <c r="A23" s="780" t="s">
        <v>1468</v>
      </c>
      <c r="B23" s="215" t="s">
        <v>1579</v>
      </c>
      <c r="C23" s="1128">
        <f ca="1">ROUND(IF('数据-取费表'!B22&lt;=1,C5*F22*'数据-取费表'!B22,C5*(POWER((1+F22),'数据-取费表'!B22)-1)),0)</f>
        <v>1014</v>
      </c>
      <c r="D23" s="238"/>
      <c r="E23" s="238"/>
      <c r="F23" s="239"/>
      <c r="G23" s="240" t="s">
        <v>1580</v>
      </c>
    </row>
    <row r="24" spans="1:7" s="214" customFormat="1" ht="13.5" customHeight="1">
      <c r="A24" s="780" t="s">
        <v>1470</v>
      </c>
      <c r="B24" s="215" t="s">
        <v>1581</v>
      </c>
      <c r="C24" s="1128">
        <f ca="1">ROUND(IF('数据-取费表'!B22&lt;=1,C19*F22*('数据-取费表'!B19/2+'数据-取费表'!B20),C19*(POWER((1+F22),('数据-取费表'!B19/2+'数据-取费表'!B20))-1)),0)</f>
        <v>1268</v>
      </c>
      <c r="D24" s="238"/>
      <c r="E24" s="238"/>
      <c r="F24" s="239"/>
      <c r="G24" s="240" t="s">
        <v>1582</v>
      </c>
    </row>
    <row r="25" spans="1:7" s="214" customFormat="1" ht="24">
      <c r="A25" s="780" t="s">
        <v>1472</v>
      </c>
      <c r="B25" s="215" t="s">
        <v>1583</v>
      </c>
      <c r="C25" s="1128">
        <f ca="1">ROUND(IF('数据-取费表'!B22&lt;=1,C20*F22*'数据-取费表'!B22/2,C20*(POWER((1+F22),'数据-取费表'!B22/2)-1)),0)</f>
        <v>22</v>
      </c>
      <c r="D25" s="238"/>
      <c r="E25" s="241"/>
      <c r="F25" s="239"/>
      <c r="G25" s="242" t="s">
        <v>1584</v>
      </c>
    </row>
    <row r="26" spans="1:7" s="214" customFormat="1">
      <c r="A26" s="780" t="s">
        <v>346</v>
      </c>
      <c r="B26" s="215" t="s">
        <v>1507</v>
      </c>
      <c r="C26" s="238">
        <f ca="1">ROUND(IF('数据-取费表'!B22&lt;=1,F21*F22*'数据-取费表'!B22/2,F21*(POWER((1+F22),'数据-取费表'!B22/2)-1)),4)</f>
        <v>6.9999999999999999E-4</v>
      </c>
      <c r="D26" s="238"/>
      <c r="E26" s="241"/>
      <c r="F26" s="239"/>
      <c r="G26" s="243"/>
    </row>
    <row r="27" spans="1:7" s="214" customFormat="1" ht="24.75">
      <c r="A27" s="255" t="s">
        <v>1508</v>
      </c>
      <c r="B27" s="244" t="s">
        <v>1509</v>
      </c>
      <c r="C27" s="245" t="e">
        <f ca="1">C28</f>
        <v>#DIV/0!</v>
      </c>
      <c r="D27" s="235" t="e">
        <f ca="1">C29</f>
        <v>#DIV/0!</v>
      </c>
      <c r="E27" s="236" t="s">
        <v>1510</v>
      </c>
      <c r="F27" s="246" t="e">
        <f ca="1">IF(B1="",'数据-取费表'!Q16,INDIRECT("'数据-取费表'!q"&amp;$G$1))</f>
        <v>#DIV/0!</v>
      </c>
      <c r="G27" s="247" t="s">
        <v>1511</v>
      </c>
    </row>
    <row r="28" spans="1:7" s="214" customFormat="1" ht="13.5" customHeight="1">
      <c r="A28" s="780" t="s">
        <v>342</v>
      </c>
      <c r="B28" s="248" t="s">
        <v>1512</v>
      </c>
      <c r="C28" s="249" t="e">
        <f ca="1">ROUND((C5+C19+C20)*F27,0)</f>
        <v>#DIV/0!</v>
      </c>
      <c r="D28" s="235"/>
      <c r="E28" s="236"/>
      <c r="F28" s="246"/>
      <c r="G28" s="247"/>
    </row>
    <row r="29" spans="1:7" s="214" customFormat="1" ht="13.5" customHeight="1">
      <c r="A29" s="780" t="s">
        <v>343</v>
      </c>
      <c r="B29" s="248" t="s">
        <v>1513</v>
      </c>
      <c r="C29" s="238" t="e">
        <f ca="1">ROUND(C21*F27,4)</f>
        <v>#DIV/0!</v>
      </c>
      <c r="D29" s="235"/>
      <c r="E29" s="236"/>
      <c r="F29" s="246"/>
      <c r="G29" s="247"/>
    </row>
    <row r="30" spans="1:7" s="214" customFormat="1" ht="13.5" customHeight="1">
      <c r="A30" s="255" t="s">
        <v>1514</v>
      </c>
      <c r="B30" s="210" t="s">
        <v>1515</v>
      </c>
      <c r="C30" s="235">
        <f>ROUND(F30/(1+'数据-取费表'!C42),4)</f>
        <v>5.33E-2</v>
      </c>
      <c r="D30" s="236" t="s">
        <v>1510</v>
      </c>
      <c r="E30" s="241"/>
      <c r="F30" s="237">
        <f>'数据-取费表'!B41</f>
        <v>5.6000000000000001E-2</v>
      </c>
      <c r="G30" s="234" t="s">
        <v>1516</v>
      </c>
    </row>
    <row r="31" spans="1:7" ht="16.5" customHeight="1">
      <c r="A31" s="209">
        <v>1</v>
      </c>
      <c r="B31" s="210" t="s">
        <v>1517</v>
      </c>
      <c r="C31" s="211" t="e">
        <f ca="1">ROUND((C5+C19+C20+C22+C27)/(1-C21-D22-D27-C30),0)</f>
        <v>#DIV/0!</v>
      </c>
      <c r="D31" s="230"/>
      <c r="E31" s="211"/>
      <c r="F31" s="250"/>
      <c r="G31" s="234" t="s">
        <v>1518</v>
      </c>
    </row>
    <row r="32" spans="1:7" s="208" customFormat="1" ht="15.75">
      <c r="A32" s="252" t="s">
        <v>1585</v>
      </c>
      <c r="B32" s="253"/>
      <c r="C32" s="253"/>
      <c r="D32" s="253"/>
      <c r="E32" s="253"/>
      <c r="F32" s="253"/>
      <c r="G32" s="254"/>
    </row>
    <row r="33" spans="1:7" s="214" customFormat="1" ht="13.5" customHeight="1">
      <c r="A33" s="255" t="s">
        <v>333</v>
      </c>
      <c r="B33" s="210" t="s">
        <v>1586</v>
      </c>
      <c r="C33" s="256">
        <f ca="1">SUM(C34:C38)</f>
        <v>17060</v>
      </c>
      <c r="D33" s="232"/>
      <c r="E33" s="212"/>
      <c r="F33" s="241"/>
      <c r="G33" s="234"/>
    </row>
    <row r="34" spans="1:7" s="258" customFormat="1" ht="13.5" customHeight="1">
      <c r="A34" s="780" t="s">
        <v>342</v>
      </c>
      <c r="B34" s="215" t="s">
        <v>1521</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347</v>
      </c>
      <c r="B35" s="215" t="s">
        <v>1523</v>
      </c>
      <c r="C35" s="220">
        <f ca="1">ROUND(C34*F35,0)</f>
        <v>0</v>
      </c>
      <c r="D35" s="220"/>
      <c r="E35" s="220"/>
      <c r="F35" s="259">
        <f>'数据-取费表'!B33</f>
        <v>0.03</v>
      </c>
      <c r="G35" s="219" t="s">
        <v>1524</v>
      </c>
    </row>
    <row r="36" spans="1:7" ht="24">
      <c r="A36" s="780" t="s">
        <v>348</v>
      </c>
      <c r="B36" s="215" t="s">
        <v>1525</v>
      </c>
      <c r="C36" s="220">
        <f ca="1">ROUND(IF(B1="",SUM('数据-取费表'!AP6:AP13)*F36,IF(INDIRECT("'数据-取费表'!c"&amp;$G$1)="住宅",INDIRECT("'数据-取费表'!k"&amp;$G$1)*INDIRECT("'数据-取费表'!l"&amp;$G$1)*F36,0)),0)</f>
        <v>0</v>
      </c>
      <c r="D36" s="220"/>
      <c r="E36" s="220"/>
      <c r="F36" s="259">
        <f>'数据-取费表'!B34</f>
        <v>0.1</v>
      </c>
      <c r="G36" s="260" t="s">
        <v>1526</v>
      </c>
    </row>
    <row r="37" spans="1:7" s="258" customFormat="1" ht="13.5" customHeight="1">
      <c r="A37" s="780" t="s">
        <v>349</v>
      </c>
      <c r="B37" s="215" t="s">
        <v>1527</v>
      </c>
      <c r="C37" s="249">
        <f ca="1">ROUND(E37*D37,0)</f>
        <v>17060</v>
      </c>
      <c r="D37" s="217">
        <f ca="1">D19</f>
        <v>85.3</v>
      </c>
      <c r="E37" s="249">
        <f>'数据-取费表'!B35</f>
        <v>200</v>
      </c>
      <c r="F37" s="259"/>
      <c r="G37" s="261"/>
    </row>
    <row r="38" spans="1:7" ht="13.5" customHeight="1">
      <c r="A38" s="780" t="s">
        <v>350</v>
      </c>
      <c r="B38" s="215" t="s">
        <v>1529</v>
      </c>
      <c r="C38" s="220">
        <f ca="1">ROUND(C34*F38,0)</f>
        <v>0</v>
      </c>
      <c r="D38" s="220"/>
      <c r="E38" s="220"/>
      <c r="F38" s="259">
        <f>'数据-取费表'!B36</f>
        <v>1.4999999999999999E-2</v>
      </c>
      <c r="G38" s="219" t="s">
        <v>1524</v>
      </c>
    </row>
    <row r="39" spans="1:7" s="214" customFormat="1" ht="13.5" customHeight="1">
      <c r="A39" s="255" t="s">
        <v>1530</v>
      </c>
      <c r="B39" s="210" t="s">
        <v>1531</v>
      </c>
      <c r="C39" s="232">
        <f ca="1">ROUND(C33*F20,0)</f>
        <v>341</v>
      </c>
      <c r="D39" s="232"/>
      <c r="E39" s="232"/>
      <c r="F39" s="233">
        <f>F20</f>
        <v>0.02</v>
      </c>
      <c r="G39" s="234" t="s">
        <v>1532</v>
      </c>
    </row>
    <row r="40" spans="1:7" s="214" customFormat="1" ht="13.5" customHeight="1">
      <c r="A40" s="255" t="s">
        <v>1533</v>
      </c>
      <c r="B40" s="210" t="s">
        <v>1534</v>
      </c>
      <c r="C40" s="1327">
        <f>F21</f>
        <v>0.02</v>
      </c>
      <c r="D40" s="236" t="s">
        <v>1535</v>
      </c>
      <c r="E40" s="232"/>
      <c r="F40" s="233">
        <f>F21</f>
        <v>0.02</v>
      </c>
      <c r="G40" s="234" t="s">
        <v>1536</v>
      </c>
    </row>
    <row r="41" spans="1:7" s="214" customFormat="1" ht="13.5" customHeight="1">
      <c r="A41" s="255" t="s">
        <v>1537</v>
      </c>
      <c r="B41" s="210" t="s">
        <v>1538</v>
      </c>
      <c r="C41" s="232">
        <f ca="1">ROUND(SUM(C42:C43),0)</f>
        <v>635</v>
      </c>
      <c r="D41" s="235">
        <f ca="1">C44</f>
        <v>6.9999999999999999E-4</v>
      </c>
      <c r="E41" s="236" t="s">
        <v>1535</v>
      </c>
      <c r="F41" s="237">
        <f ca="1">F22</f>
        <v>3.6499999999999998E-2</v>
      </c>
      <c r="G41" s="234" t="str">
        <f>IF('数据-取费表'!B22&lt;=1,"单利计息","复利计息")</f>
        <v>复利计息</v>
      </c>
    </row>
    <row r="42" spans="1:7" ht="13.5" customHeight="1">
      <c r="A42" s="780" t="s">
        <v>342</v>
      </c>
      <c r="B42" s="215" t="s">
        <v>1539</v>
      </c>
      <c r="C42" s="238">
        <f ca="1">ROUND(IF('数据-取费表'!B22&lt;=1,C33*F22*'数据-取费表'!B20/2,C33*(POWER((1+F22),'数据-取费表'!B20/2)-1)),0)</f>
        <v>623</v>
      </c>
      <c r="D42" s="238"/>
      <c r="E42" s="238"/>
      <c r="F42" s="239"/>
      <c r="G42" s="3739" t="s">
        <v>1587</v>
      </c>
    </row>
    <row r="43" spans="1:7" ht="13.5" customHeight="1">
      <c r="A43" s="780" t="s">
        <v>343</v>
      </c>
      <c r="B43" s="215" t="s">
        <v>1541</v>
      </c>
      <c r="C43" s="238">
        <f ca="1">ROUND(IF('数据-取费表'!B22&lt;=1,C39*F22*'数据-取费表'!B20/2,C39*(POWER((1+F22),'数据-取费表'!B20/2)-1)),0)</f>
        <v>12</v>
      </c>
      <c r="D43" s="238"/>
      <c r="E43" s="238"/>
      <c r="F43" s="239"/>
      <c r="G43" s="3740"/>
    </row>
    <row r="44" spans="1:7" ht="13.5" customHeight="1">
      <c r="A44" s="780" t="s">
        <v>344</v>
      </c>
      <c r="B44" s="215" t="s">
        <v>1542</v>
      </c>
      <c r="C44" s="238">
        <f ca="1">ROUND(IF('数据-取费表'!B22&lt;=1,C40*F22*'数据-取费表'!B20/2,C40*(POWER((1+F22),'数据-取费表'!B20/2)-1)),4)</f>
        <v>6.9999999999999999E-4</v>
      </c>
      <c r="D44" s="238"/>
      <c r="E44" s="238"/>
      <c r="F44" s="239"/>
      <c r="G44" s="3741"/>
    </row>
    <row r="45" spans="1:7" s="214" customFormat="1" ht="13.5" customHeight="1">
      <c r="A45" s="255" t="s">
        <v>1543</v>
      </c>
      <c r="B45" s="244" t="s">
        <v>1509</v>
      </c>
      <c r="C45" s="245" t="e">
        <f ca="1">C46</f>
        <v>#DIV/0!</v>
      </c>
      <c r="D45" s="235" t="e">
        <f ca="1">C47</f>
        <v>#DIV/0!</v>
      </c>
      <c r="E45" s="236" t="s">
        <v>1535</v>
      </c>
      <c r="F45" s="246" t="e">
        <f ca="1">F27</f>
        <v>#DIV/0!</v>
      </c>
      <c r="G45" s="247" t="s">
        <v>1544</v>
      </c>
    </row>
    <row r="46" spans="1:7" s="214" customFormat="1" ht="13.5" customHeight="1">
      <c r="A46" s="780" t="s">
        <v>342</v>
      </c>
      <c r="B46" s="248" t="s">
        <v>1545</v>
      </c>
      <c r="C46" s="249" t="e">
        <f ca="1">ROUND((C33+C39)*F27,0)</f>
        <v>#DIV/0!</v>
      </c>
      <c r="D46" s="263"/>
      <c r="E46" s="236"/>
      <c r="F46" s="246"/>
      <c r="G46" s="247"/>
    </row>
    <row r="47" spans="1:7" s="214" customFormat="1" ht="13.5" customHeight="1">
      <c r="A47" s="780" t="s">
        <v>343</v>
      </c>
      <c r="B47" s="248" t="s">
        <v>1546</v>
      </c>
      <c r="C47" s="238" t="e">
        <f ca="1">ROUND(C40*F27,4)</f>
        <v>#DIV/0!</v>
      </c>
      <c r="D47" s="263"/>
      <c r="E47" s="236"/>
      <c r="F47" s="246"/>
      <c r="G47" s="247"/>
    </row>
    <row r="48" spans="1:7" s="214" customFormat="1" ht="13.5" customHeight="1">
      <c r="A48" s="255" t="s">
        <v>1508</v>
      </c>
      <c r="B48" s="210" t="s">
        <v>1547</v>
      </c>
      <c r="C48" s="262">
        <f>ROUND(F30/(1+'数据-取费表'!C42),4)</f>
        <v>5.33E-2</v>
      </c>
      <c r="D48" s="236" t="s">
        <v>1535</v>
      </c>
      <c r="E48" s="232"/>
      <c r="F48" s="237">
        <f>F30</f>
        <v>5.6000000000000001E-2</v>
      </c>
      <c r="G48" s="234" t="s">
        <v>1548</v>
      </c>
    </row>
    <row r="49" spans="1:7" ht="16.5" customHeight="1">
      <c r="A49" s="255" t="s">
        <v>1514</v>
      </c>
      <c r="B49" s="210" t="s">
        <v>1588</v>
      </c>
      <c r="C49" s="232" t="e">
        <f ca="1">ROUND((C33+C39+C41+C45)/(1-C40-D41-D45-C48),0)</f>
        <v>#DIV/0!</v>
      </c>
      <c r="D49" s="232"/>
      <c r="E49" s="232"/>
      <c r="F49" s="264"/>
      <c r="G49" s="234" t="s">
        <v>1550</v>
      </c>
    </row>
    <row r="50" spans="1:7" s="258" customFormat="1">
      <c r="A50" s="255" t="s">
        <v>1551</v>
      </c>
      <c r="B50" s="210" t="s">
        <v>1552</v>
      </c>
      <c r="C50" s="232"/>
      <c r="D50" s="232"/>
      <c r="E50" s="232"/>
      <c r="F50" s="264" t="e">
        <f>IF('数据-取费表'!B24=0,'数据-取费表'!N16,1)</f>
        <v>#DIV/0!</v>
      </c>
      <c r="G50" s="247"/>
    </row>
    <row r="51" spans="1:7" ht="16.5" customHeight="1">
      <c r="A51" s="255" t="s">
        <v>1554</v>
      </c>
      <c r="B51" s="210" t="s">
        <v>1589</v>
      </c>
      <c r="C51" s="232" t="e">
        <f ca="1">ROUND(C49*F50,0)</f>
        <v>#DIV/0!</v>
      </c>
      <c r="D51" s="232"/>
      <c r="E51" s="232"/>
      <c r="F51" s="264"/>
      <c r="G51" s="234" t="s">
        <v>1556</v>
      </c>
    </row>
    <row r="52" spans="1:7" s="208" customFormat="1" ht="16.5" thickBot="1">
      <c r="A52" s="265" t="s">
        <v>1557</v>
      </c>
      <c r="B52" s="266"/>
      <c r="C52" s="267" t="e">
        <f ca="1">C31+C51</f>
        <v>#DIV/0!</v>
      </c>
      <c r="D52" s="266"/>
      <c r="E52" s="266"/>
      <c r="F52" s="266"/>
      <c r="G52" s="268"/>
    </row>
    <row r="55" spans="1:7" ht="15">
      <c r="B55" s="270" t="s">
        <v>1558</v>
      </c>
      <c r="C55" s="271"/>
    </row>
    <row r="56" spans="1:7">
      <c r="B56" s="273" t="s">
        <v>798</v>
      </c>
      <c r="C56" s="275" t="e">
        <f ca="1">1-C57</f>
        <v>#DIV/0!</v>
      </c>
    </row>
    <row r="57" spans="1:7">
      <c r="B57" s="273" t="s">
        <v>799</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367</v>
      </c>
      <c r="B36" s="842" t="s">
        <v>368</v>
      </c>
    </row>
    <row r="37" spans="1:9" ht="27.75" customHeight="1">
      <c r="A37" s="842"/>
      <c r="B37" s="3556" t="str">
        <f>项目基本情况!B1</f>
        <v>北京市预评估</v>
      </c>
      <c r="C37" s="3556"/>
      <c r="D37" s="3556"/>
      <c r="E37" s="3556"/>
      <c r="F37" s="3556"/>
      <c r="G37" s="3556"/>
      <c r="H37" s="3556"/>
      <c r="I37" s="3556"/>
    </row>
    <row r="38" spans="1:9">
      <c r="A38" s="844"/>
      <c r="B38" s="844"/>
    </row>
    <row r="39" spans="1:9">
      <c r="A39" s="842" t="s">
        <v>367</v>
      </c>
      <c r="B39" s="842" t="s">
        <v>369</v>
      </c>
    </row>
    <row r="40" spans="1:9">
      <c r="A40" s="842"/>
      <c r="B40" s="1474" t="str">
        <f>项目基本情况!B5</f>
        <v>武警</v>
      </c>
    </row>
    <row r="41" spans="1:9">
      <c r="A41" s="842"/>
      <c r="B41" s="842"/>
    </row>
    <row r="42" spans="1:9">
      <c r="A42" s="842" t="s">
        <v>367</v>
      </c>
      <c r="B42" s="842" t="s">
        <v>370</v>
      </c>
    </row>
    <row r="43" spans="1:9">
      <c r="A43" s="842"/>
      <c r="B43" s="1474" t="s">
        <v>371</v>
      </c>
    </row>
    <row r="44" spans="1:9">
      <c r="A44" s="842"/>
      <c r="B44" s="842"/>
    </row>
    <row r="45" spans="1:9">
      <c r="A45" s="842" t="s">
        <v>367</v>
      </c>
      <c r="B45" s="842" t="s">
        <v>372</v>
      </c>
    </row>
    <row r="46" spans="1:9" s="842" customFormat="1" ht="12.75">
      <c r="B46" s="1474" t="str">
        <f>项目基本情况!K4</f>
        <v>（注册号：0)、（注册号：0)</v>
      </c>
    </row>
    <row r="47" spans="1:9">
      <c r="A47" s="842"/>
      <c r="B47" s="842" t="str">
        <f>项目基本情况!K5</f>
        <v>（注册号：0)、（注册号：0)</v>
      </c>
    </row>
    <row r="48" spans="1:9">
      <c r="A48" s="842" t="s">
        <v>367</v>
      </c>
      <c r="B48" s="842" t="s">
        <v>373</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1590</v>
      </c>
      <c r="B1" s="1191"/>
      <c r="C1" s="1192"/>
      <c r="D1" s="1190"/>
      <c r="E1" s="2803"/>
      <c r="F1" s="2803"/>
      <c r="G1" s="2668"/>
      <c r="H1" s="2803"/>
      <c r="I1" s="2803"/>
      <c r="J1" s="2803"/>
      <c r="K1" s="2804">
        <f>MATCH(C1,'数据-取费表'!A6:A16,0)+5</f>
        <v>7</v>
      </c>
    </row>
    <row r="2" spans="1:33" ht="18" customHeight="1">
      <c r="A2" s="201" t="s">
        <v>1458</v>
      </c>
      <c r="B2" s="204" t="e">
        <f ca="1">C32</f>
        <v>#DIV/0!</v>
      </c>
      <c r="C2" s="276" t="s">
        <v>1591</v>
      </c>
      <c r="D2" s="276"/>
      <c r="E2" s="2803"/>
      <c r="F2" s="2803"/>
      <c r="G2" s="2803"/>
      <c r="H2" s="2803"/>
      <c r="I2" s="2803"/>
      <c r="J2" s="2803"/>
      <c r="K2" s="2803"/>
    </row>
    <row r="3" spans="1:33" ht="18" customHeight="1" thickBot="1">
      <c r="A3" s="203" t="s">
        <v>1460</v>
      </c>
      <c r="B3" s="204" t="e">
        <f ca="1">ROUND(B2*10000/IF(C1="",'数据-汇总表'!E3,INDIRECT("'数据-取费表'!K"&amp;$K$1)),0)</f>
        <v>#DIV/0!</v>
      </c>
      <c r="C3" s="276" t="s">
        <v>1592</v>
      </c>
      <c r="D3" s="276"/>
      <c r="E3" s="2803"/>
      <c r="F3" s="2803"/>
      <c r="G3" s="2803"/>
      <c r="H3" s="2803"/>
      <c r="I3" s="2803"/>
      <c r="J3" s="2803"/>
      <c r="K3" s="2803"/>
    </row>
    <row r="4" spans="1:33" s="785" customFormat="1" ht="16.5" customHeight="1">
      <c r="A4" s="782" t="s">
        <v>1593</v>
      </c>
      <c r="B4" s="783"/>
      <c r="C4" s="824">
        <f>SUM(C8:K8)</f>
        <v>0</v>
      </c>
      <c r="D4" s="783"/>
      <c r="E4" s="783"/>
      <c r="F4" s="783"/>
      <c r="G4" s="783"/>
      <c r="H4" s="783"/>
      <c r="I4" s="783"/>
      <c r="J4" s="783"/>
      <c r="K4" s="784"/>
    </row>
    <row r="5" spans="1:33" s="789" customFormat="1" ht="15">
      <c r="A5" s="786" t="s">
        <v>1594</v>
      </c>
      <c r="B5" s="787" t="s">
        <v>1595</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353</v>
      </c>
      <c r="B6" s="131" t="s">
        <v>1596</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1597</v>
      </c>
      <c r="B7" s="131" t="s">
        <v>1598</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1599</v>
      </c>
      <c r="B8" s="164" t="s">
        <v>1600</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1601</v>
      </c>
      <c r="B9" s="783"/>
      <c r="C9" s="783"/>
      <c r="D9" s="783"/>
      <c r="E9" s="783"/>
      <c r="F9" s="783"/>
      <c r="G9" s="783"/>
      <c r="H9" s="783"/>
      <c r="I9" s="783"/>
      <c r="J9" s="783"/>
      <c r="K9" s="784"/>
    </row>
    <row r="10" spans="1:33" s="799" customFormat="1" ht="13.5" customHeight="1">
      <c r="A10" s="786" t="s">
        <v>1602</v>
      </c>
      <c r="B10" s="5" t="s">
        <v>1603</v>
      </c>
      <c r="C10" s="795" t="s">
        <v>1604</v>
      </c>
      <c r="D10" s="796" t="s">
        <v>1605</v>
      </c>
      <c r="E10" s="796" t="s">
        <v>1606</v>
      </c>
      <c r="F10" s="796" t="s">
        <v>1607</v>
      </c>
      <c r="G10" s="5"/>
      <c r="H10" s="797"/>
      <c r="I10" s="797"/>
      <c r="J10" s="797"/>
      <c r="K10" s="798"/>
    </row>
    <row r="11" spans="1:33" s="803" customFormat="1" ht="13.5" customHeight="1">
      <c r="A11" s="800" t="s">
        <v>631</v>
      </c>
      <c r="B11" s="801" t="s">
        <v>1608</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632</v>
      </c>
      <c r="B12" s="801" t="s">
        <v>1609</v>
      </c>
      <c r="C12" s="21">
        <f ca="1">ROUND(C11*F12,0)</f>
        <v>0</v>
      </c>
      <c r="D12" s="802"/>
      <c r="E12" s="329"/>
      <c r="F12" s="812">
        <f>'数据-取费表'!B33</f>
        <v>0.03</v>
      </c>
      <c r="G12" s="5" t="s">
        <v>1610</v>
      </c>
      <c r="H12" s="797"/>
      <c r="I12" s="797"/>
      <c r="J12" s="797"/>
      <c r="K12" s="798"/>
    </row>
    <row r="13" spans="1:33" s="803" customFormat="1" ht="13.5" customHeight="1">
      <c r="A13" s="800" t="s">
        <v>633</v>
      </c>
      <c r="B13" s="801" t="s">
        <v>1611</v>
      </c>
      <c r="C13" s="21">
        <f ca="1">ROUND(IF(C1="",SUMIF('数据-取费表'!C:C,"住宅",'数据-取费表'!P:P)*F13,IF(INDIRECT("'数据-取费表'!c"&amp;$K$1)="住宅",INDIRECT("'数据-取费表'!P"&amp;$K$1)*F13,0)),0)</f>
        <v>0</v>
      </c>
      <c r="D13" s="846"/>
      <c r="E13" s="329"/>
      <c r="F13" s="812">
        <f>'数据-取费表'!B34</f>
        <v>0.1</v>
      </c>
      <c r="G13" s="5" t="s">
        <v>1612</v>
      </c>
      <c r="H13" s="797"/>
      <c r="I13" s="797"/>
      <c r="J13" s="797"/>
      <c r="K13" s="798"/>
    </row>
    <row r="14" spans="1:33" s="805" customFormat="1" ht="13.5" customHeight="1">
      <c r="A14" s="800" t="s">
        <v>634</v>
      </c>
      <c r="B14" s="801" t="s">
        <v>1613</v>
      </c>
      <c r="C14" s="21">
        <f ca="1">ROUND(D14*E14*F11/10000,0)</f>
        <v>0</v>
      </c>
      <c r="D14" s="846">
        <f ca="1">IF(C1="",'数据-汇总表'!E3,INDIRECT("'数据-取费表'!K"&amp;$K$1)+INDIRECT("'数据-取费表'!S"&amp;$K$1))</f>
        <v>85.3</v>
      </c>
      <c r="E14" s="21">
        <f>'数据-取费表'!B35</f>
        <v>200</v>
      </c>
      <c r="F14" s="804"/>
      <c r="G14" s="5" t="s">
        <v>1614</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635</v>
      </c>
      <c r="B15" s="801" t="s">
        <v>1615</v>
      </c>
      <c r="C15" s="811">
        <f ca="1">ROUND(C11*F15,0)</f>
        <v>0</v>
      </c>
      <c r="D15" s="806"/>
      <c r="E15" s="811"/>
      <c r="F15" s="812">
        <f>'数据-取费表'!B36</f>
        <v>1.4999999999999999E-2</v>
      </c>
      <c r="G15" s="131" t="s">
        <v>1616</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354</v>
      </c>
      <c r="B16" s="801" t="s">
        <v>1617</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355</v>
      </c>
      <c r="B17" s="801" t="s">
        <v>1618</v>
      </c>
      <c r="C17" s="21">
        <f ca="1">ROUND(D17*E17/10000,0)</f>
        <v>0</v>
      </c>
      <c r="D17" s="846">
        <f ca="1">D14</f>
        <v>85.3</v>
      </c>
      <c r="E17" s="21">
        <f>'数据-取费表'!B32</f>
        <v>0</v>
      </c>
      <c r="F17" s="806"/>
      <c r="G17" s="131" t="s">
        <v>1619</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636</v>
      </c>
      <c r="B18" s="801" t="s">
        <v>1620</v>
      </c>
      <c r="C18" s="21">
        <f ca="1">C19+C20-IF(C1="",'数据-取费表'!B29,IF(G18="已全部缴纳",C19+C20,H18))</f>
        <v>-159</v>
      </c>
      <c r="D18" s="846"/>
      <c r="E18" s="21"/>
      <c r="F18" s="804"/>
      <c r="G18" s="1862"/>
      <c r="H18" s="1187"/>
      <c r="I18" s="1863" t="s">
        <v>1621</v>
      </c>
      <c r="J18" s="807"/>
      <c r="K18" s="808"/>
    </row>
    <row r="19" spans="1:33" s="803" customFormat="1" ht="13.5" customHeight="1">
      <c r="A19" s="800" t="s">
        <v>356</v>
      </c>
      <c r="B19" s="801" t="s">
        <v>1622</v>
      </c>
      <c r="C19" s="21">
        <f ca="1">ROUND(D19*E19/10000,0)</f>
        <v>1</v>
      </c>
      <c r="D19" s="846">
        <f ca="1">IF(C1="",'数据-汇总表'!E5,IF(INDIRECT("'数据-取费表'!c"&amp;$K$1)="住宅",INDIRECT("'数据-取费表'!k"&amp;$K$1),0))</f>
        <v>85.3</v>
      </c>
      <c r="E19" s="21">
        <f>'数据-取费表'!B27</f>
        <v>160</v>
      </c>
      <c r="F19" s="804"/>
      <c r="G19" s="12"/>
      <c r="H19" s="1189"/>
      <c r="I19" s="809"/>
      <c r="J19" s="809"/>
      <c r="K19" s="810"/>
    </row>
    <row r="20" spans="1:33" s="803" customFormat="1" ht="13.5" customHeight="1">
      <c r="A20" s="800" t="s">
        <v>357</v>
      </c>
      <c r="B20" s="801" t="s">
        <v>1623</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353</v>
      </c>
      <c r="B21" s="813" t="s">
        <v>1624</v>
      </c>
      <c r="C21" s="814">
        <f ca="1">C16+C17+C18</f>
        <v>-159</v>
      </c>
      <c r="D21" s="815"/>
      <c r="E21" s="281"/>
      <c r="F21" s="281"/>
      <c r="G21" s="131" t="s">
        <v>1625</v>
      </c>
      <c r="H21" s="807"/>
      <c r="I21" s="807"/>
      <c r="J21" s="807"/>
      <c r="K21" s="808"/>
    </row>
    <row r="22" spans="1:33" s="803" customFormat="1" ht="13.5" customHeight="1">
      <c r="A22" s="790" t="s">
        <v>1597</v>
      </c>
      <c r="B22" s="813" t="s">
        <v>1626</v>
      </c>
      <c r="C22" s="814">
        <f ca="1">ROUND(C21*F22,0)</f>
        <v>-3</v>
      </c>
      <c r="D22" s="281"/>
      <c r="E22" s="281"/>
      <c r="F22" s="816">
        <f>'数据-取费表'!B37</f>
        <v>0.02</v>
      </c>
      <c r="G22" s="5" t="s">
        <v>1627</v>
      </c>
      <c r="H22" s="797"/>
      <c r="I22" s="797"/>
      <c r="J22" s="797"/>
      <c r="K22" s="798"/>
    </row>
    <row r="23" spans="1:33" s="803" customFormat="1" ht="13.5" customHeight="1">
      <c r="A23" s="790" t="s">
        <v>1599</v>
      </c>
      <c r="B23" s="813" t="s">
        <v>1628</v>
      </c>
      <c r="C23" s="814">
        <f ca="1">ROUND(C4*F23*F11,0)</f>
        <v>0</v>
      </c>
      <c r="D23" s="281"/>
      <c r="E23" s="281"/>
      <c r="F23" s="816">
        <f>'数据-取费表'!B38</f>
        <v>0.02</v>
      </c>
      <c r="G23" s="5" t="s">
        <v>1629</v>
      </c>
      <c r="H23" s="797"/>
      <c r="I23" s="797"/>
      <c r="J23" s="797"/>
      <c r="K23" s="798"/>
    </row>
    <row r="24" spans="1:33" s="803" customFormat="1" ht="13.5" customHeight="1">
      <c r="A24" s="790" t="s">
        <v>1630</v>
      </c>
      <c r="B24" s="813" t="s">
        <v>1631</v>
      </c>
      <c r="C24" s="280">
        <f>ROUND(F24/(1+'数据-取费表'!C42),4)</f>
        <v>2.9000000000000001E-2</v>
      </c>
      <c r="D24" s="281" t="s">
        <v>12</v>
      </c>
      <c r="E24" s="281"/>
      <c r="F24" s="816">
        <f>IF(项目基本情况!B8="出让",0,'数据-取费表'!B48+'数据-取费表'!B49)</f>
        <v>3.0499999999999999E-2</v>
      </c>
      <c r="G24" s="5" t="s">
        <v>1632</v>
      </c>
      <c r="H24" s="818"/>
      <c r="I24" s="818"/>
      <c r="J24" s="818"/>
      <c r="K24" s="819"/>
    </row>
    <row r="25" spans="1:33" s="803" customFormat="1" ht="13.5" customHeight="1">
      <c r="A25" s="790" t="s">
        <v>1633</v>
      </c>
      <c r="B25" s="815" t="s">
        <v>1634</v>
      </c>
      <c r="C25" s="1106">
        <f ca="1">C27</f>
        <v>0</v>
      </c>
      <c r="D25" s="280">
        <f ca="1">C26</f>
        <v>0</v>
      </c>
      <c r="E25" s="282" t="s">
        <v>12</v>
      </c>
      <c r="F25" s="283">
        <f ca="1">'数据-取费表'!B40</f>
        <v>3.6499999999999998E-2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354</v>
      </c>
      <c r="B26" s="820" t="s">
        <v>1635</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355</v>
      </c>
      <c r="B27" s="820" t="s">
        <v>1636</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1637</v>
      </c>
      <c r="B28" s="1865" t="s">
        <v>1638</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354</v>
      </c>
      <c r="B29" s="822" t="s">
        <v>1639</v>
      </c>
      <c r="C29" s="284" t="e">
        <f ca="1">ROUND((1+C24)*F28*'数据-取费表'!B24/'数据-取费表'!B20,4)</f>
        <v>#DIV/0!</v>
      </c>
      <c r="D29" s="284"/>
      <c r="E29" s="285"/>
      <c r="F29" s="290"/>
      <c r="G29" s="131" t="s">
        <v>1640</v>
      </c>
      <c r="H29" s="807"/>
      <c r="I29" s="807"/>
      <c r="J29" s="807"/>
      <c r="K29" s="808"/>
    </row>
    <row r="30" spans="1:33" s="291" customFormat="1" ht="13.5" customHeight="1">
      <c r="A30" s="800" t="s">
        <v>355</v>
      </c>
      <c r="B30" s="822" t="s">
        <v>1641</v>
      </c>
      <c r="C30" s="292" t="e">
        <f ca="1">ROUND((C21+C22+C23)*F28,0)</f>
        <v>#DIV/0!</v>
      </c>
      <c r="D30" s="284"/>
      <c r="E30" s="285"/>
      <c r="F30" s="290"/>
      <c r="G30" s="131"/>
      <c r="H30" s="807"/>
      <c r="I30" s="807"/>
      <c r="J30" s="807"/>
      <c r="K30" s="808"/>
    </row>
    <row r="31" spans="1:33" s="803" customFormat="1" ht="13.5" customHeight="1" thickBot="1">
      <c r="A31" s="1866" t="s">
        <v>1642</v>
      </c>
      <c r="B31" s="833" t="s">
        <v>1643</v>
      </c>
      <c r="C31" s="834">
        <f>ROUND(C4*F31/(1+'数据-取费表'!C42),0)</f>
        <v>0</v>
      </c>
      <c r="D31" s="835"/>
      <c r="E31" s="836"/>
      <c r="F31" s="837">
        <f>'数据-取费表'!B41</f>
        <v>5.6000000000000001E-2</v>
      </c>
      <c r="G31" s="838" t="s">
        <v>1644</v>
      </c>
      <c r="H31" s="839"/>
      <c r="I31" s="839"/>
      <c r="J31" s="839"/>
      <c r="K31" s="840"/>
    </row>
    <row r="32" spans="1:33" s="799" customFormat="1" ht="13.5" customHeight="1" thickBot="1">
      <c r="A32" s="828" t="s">
        <v>1645</v>
      </c>
      <c r="B32" s="829"/>
      <c r="C32" s="830" t="e">
        <f ca="1">ROUND((C4-C21-C22-C23-C25-C28-C31)/(1+C24+D25+D28),0)</f>
        <v>#DIV/0!</v>
      </c>
      <c r="D32" s="829"/>
      <c r="E32" s="829"/>
      <c r="F32" s="829"/>
      <c r="G32" s="831" t="s">
        <v>1646</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t="e">
        <f ca="1">C40+J29+L46</f>
        <v>#DIV/0!</v>
      </c>
      <c r="C2" s="1387" t="s">
        <v>801</v>
      </c>
      <c r="D2" s="1387"/>
      <c r="E2" s="1388"/>
      <c r="F2" s="1389"/>
      <c r="G2" s="2703"/>
      <c r="H2" s="2692"/>
      <c r="I2" s="2692"/>
      <c r="J2" s="2692"/>
      <c r="K2" s="2693"/>
      <c r="L2" s="2692"/>
      <c r="M2" s="2692"/>
    </row>
    <row r="3" spans="1:37" ht="18" customHeight="1" thickBot="1">
      <c r="A3" s="1390" t="s">
        <v>802</v>
      </c>
      <c r="B3" s="1391">
        <f ca="1">IF(ISERROR(B2*10000/F43),0,ROUND(B2*10000/F43,0))</f>
        <v>0</v>
      </c>
      <c r="C3" s="1387" t="s">
        <v>803</v>
      </c>
      <c r="D3" s="1387"/>
      <c r="E3" s="1388"/>
      <c r="F3" s="1389"/>
      <c r="G3" s="2703"/>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0</v>
      </c>
      <c r="D5" s="1364" t="s">
        <v>689</v>
      </c>
      <c r="E5" s="1071"/>
      <c r="F5" s="1072"/>
      <c r="G5" s="1384"/>
      <c r="H5" s="299">
        <v>1</v>
      </c>
      <c r="I5" s="300" t="s">
        <v>688</v>
      </c>
      <c r="J5" s="1070">
        <f ca="1">J6+J10+J12</f>
        <v>0</v>
      </c>
      <c r="K5" s="1364" t="s">
        <v>689</v>
      </c>
      <c r="L5" s="1071"/>
      <c r="M5" s="1072"/>
    </row>
    <row r="6" spans="1:37" ht="18" customHeight="1">
      <c r="A6" s="1069" t="s">
        <v>394</v>
      </c>
      <c r="B6" s="3744" t="s">
        <v>690</v>
      </c>
      <c r="C6" s="1074">
        <f ca="1">ROUND(F6*F8*F7*(1-F9)/10000,0)</f>
        <v>0</v>
      </c>
      <c r="D6" s="155" t="s">
        <v>2101</v>
      </c>
      <c r="E6" s="302" t="s">
        <v>692</v>
      </c>
      <c r="F6" s="303">
        <f ca="1">INDIRECT("'数据-取费表'!u"&amp;$G$1)</f>
        <v>0</v>
      </c>
      <c r="G6" s="1384"/>
      <c r="H6" s="1069" t="s">
        <v>394</v>
      </c>
      <c r="I6" s="3744" t="s">
        <v>690</v>
      </c>
      <c r="J6" s="301">
        <f ca="1">ROUND(M6*M8*M7*(1-M9)/10000,0)</f>
        <v>0</v>
      </c>
      <c r="K6" s="155" t="s">
        <v>2100</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2109</v>
      </c>
      <c r="E10" s="313" t="s">
        <v>697</v>
      </c>
      <c r="F10" s="1116"/>
      <c r="G10" s="1384"/>
      <c r="H10" s="1069" t="s">
        <v>398</v>
      </c>
      <c r="I10" s="1365" t="s">
        <v>696</v>
      </c>
      <c r="J10" s="301">
        <f ca="1">ROUND(IF(M10="押一",J6/12*M11,IF(M10="押二",J6/12*2*M11,IF(M10="押三",J6/12*3*M11,J11*M11))),0)</f>
        <v>0</v>
      </c>
      <c r="K10" s="1366" t="s">
        <v>2108</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INDIRECT("'数据-取费表'!m"&amp;$G$1)+INDIRECT("'数据-取费表'!t"&amp;$G$1)</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ROUND(F17*(F43+INDIRECT("'数据-取费表'!S"&amp;$G$1))/10000,0)</f>
        <v>0</v>
      </c>
      <c r="D17" s="302" t="s">
        <v>713</v>
      </c>
      <c r="E17" s="302" t="s">
        <v>714</v>
      </c>
      <c r="F17" s="23">
        <f>'数据-取费表'!B35</f>
        <v>200</v>
      </c>
      <c r="G17" s="1396"/>
      <c r="H17" s="982" t="s">
        <v>394</v>
      </c>
      <c r="I17" s="302" t="s">
        <v>715</v>
      </c>
      <c r="J17" s="2314">
        <f ca="1">ROUND(IF(AND(项目基本情况!B11="自然人",项目基本情况!B10="北京市"),J6*M17/(1+'数据-取费表'!C42),J18+J19+J20),2)</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ROUND(J6*M18/(1+'数据-取费表'!C42),2)</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ROUND(M20*M21/10000,2)</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15</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ROUND(J14*M22,2)</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ROUND(J13*M23,2)</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ROUND(J5*M24,2)</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ROUND(IF(AND(项目基本情况!B11="自然人",项目基本情况!B10="北京市"),C6*F31/(1+'数据-取费表'!C42),C32+C33+C34),2)</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IF(项目基本情况!B11="自然人","——",ROUND(C6*F32/(1+'数据-取费表'!C42),2))</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IF(项目基本情况!B11="自然人","——",IF(D33="按租金收入计税",ROUND(C6*F33/(1+'数据-取费表'!C42),2),IF(D33="按房产原值计税",ROUND(C29*F33*0.7,2),INDIRECT("'数据-取费表'!Aj"&amp;$G$1))))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IF(项目基本情况!B11="自然人","——",ROUND(F34*F35/10000,2))</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ROUND(C29*F36,2)</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ROUND(C13*F37,2)</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ROUND(C5*F38,2)</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ROUND(C40*10000/F43,0)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804</v>
      </c>
      <c r="P45" s="1461"/>
      <c r="Q45" s="1461"/>
      <c r="R45" s="1461"/>
    </row>
    <row r="46" spans="1:18" s="1384" customFormat="1" ht="13.5" thickBot="1">
      <c r="A46" s="1404" t="s">
        <v>805</v>
      </c>
      <c r="C46" s="1405" t="e">
        <f ca="1">C68-C40</f>
        <v>#DIV/0!</v>
      </c>
      <c r="D46" s="1406" t="str">
        <f>C2</f>
        <v>万元</v>
      </c>
      <c r="E46" s="1400"/>
      <c r="F46" s="1400"/>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ROUND(F49*F51*F50*(1-F52)/10000,0)</f>
        <v>0</v>
      </c>
      <c r="D49" s="1055" t="s">
        <v>2102</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1118"/>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24.75" thickBot="1">
      <c r="A53" s="1152" t="s">
        <v>436</v>
      </c>
      <c r="B53" s="1373" t="s">
        <v>696</v>
      </c>
      <c r="C53" s="316">
        <f ca="1">ROUND(IF(F53="押一",C49/12*F11,IF(F53="押二",C49/12*2*F11,IF(F53="押三",C49/12*3*F11,C54*F11))),0)</f>
        <v>0</v>
      </c>
      <c r="D53" s="1366" t="s">
        <v>2108</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25.5" thickTop="1" thickBot="1">
      <c r="A56" s="957">
        <v>2</v>
      </c>
      <c r="B56" s="958" t="s">
        <v>700</v>
      </c>
      <c r="C56" s="232">
        <f ca="1">C13</f>
        <v>0</v>
      </c>
      <c r="D56" s="1447"/>
      <c r="E56" s="1448"/>
      <c r="F56" s="1440"/>
      <c r="I56" s="1449" t="s">
        <v>838</v>
      </c>
      <c r="J56" s="1450"/>
      <c r="K56" s="1421" t="s">
        <v>839</v>
      </c>
      <c r="L56" s="1424">
        <f ca="1">IF(L48&lt;J51,"——",L48-J53)</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841</v>
      </c>
      <c r="L57" s="1424">
        <f ca="1">IF(L48&lt;J51,"——",IF(L55="比较法",L49,IF(L55="基准地价",L50,L51)))</f>
        <v>0</v>
      </c>
      <c r="O57" s="1418" t="s">
        <v>400</v>
      </c>
      <c r="P57" s="1419" t="s">
        <v>842</v>
      </c>
      <c r="Q57" s="1420" t="e">
        <f ca="1">L60</f>
        <v>#DIV/0!</v>
      </c>
      <c r="R57" s="1420" t="s">
        <v>843</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845</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IF(项目基本情况!B11="自然人","——",ROUND(C48*F60/(1+'数据-取费表'!C42),2))</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IF(项目基本情况!B11="自然人","——",IF(D61="按租金收入计税",ROUND(C49*F61/(1+'数据-取费表'!C42),2),IF(D61="按房产原值计税",ROUND(C57*F61*0.7,2),INDIRECT("'数据-取费表'!Aj"&amp;$G$1))))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IF(项目基本情况!B11="自然人","——",ROUND(F62*F63/10000,2))</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ROUND(C48*F66,2)</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ROUND(C68*10000/F71,0)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4" priority="56">
      <formula>$L$48&gt;$J$51</formula>
    </cfRule>
  </conditionalFormatting>
  <conditionalFormatting sqref="I55 I60">
    <cfRule type="expression" dxfId="183" priority="57">
      <formula>$J$51&gt;$L$48</formula>
    </cfRule>
  </conditionalFormatting>
  <conditionalFormatting sqref="C11">
    <cfRule type="expression" dxfId="182" priority="3">
      <formula>$F$10="自定义"</formula>
    </cfRule>
  </conditionalFormatting>
  <conditionalFormatting sqref="J11">
    <cfRule type="expression" dxfId="181" priority="2">
      <formula>$M$10="自定义"</formula>
    </cfRule>
  </conditionalFormatting>
  <conditionalFormatting sqref="C54">
    <cfRule type="expression" dxfId="180"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0" zoomScaleNormal="70" zoomScaleSheetLayoutView="80" workbookViewId="0">
      <selection activeCell="M21" sqref="M2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39</v>
      </c>
      <c r="E1" s="1363" t="s">
        <v>674</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2" t="e">
        <f ca="1">ROUND(D2/10000,4)</f>
        <v>#DIV/0!</v>
      </c>
      <c r="C2" s="1387" t="s">
        <v>875</v>
      </c>
      <c r="D2" s="1471" t="e">
        <f ca="1">C40+J29+L46</f>
        <v>#DIV/0!</v>
      </c>
      <c r="E2" s="1388" t="s">
        <v>876</v>
      </c>
      <c r="F2" s="1389"/>
      <c r="G2" s="2703"/>
      <c r="H2" s="2692"/>
      <c r="I2" s="2692"/>
      <c r="J2" s="2692"/>
      <c r="K2" s="2693"/>
      <c r="L2" s="2692"/>
      <c r="M2" s="2692"/>
    </row>
    <row r="3" spans="1:37" ht="18" customHeight="1" thickBot="1">
      <c r="A3" s="1390" t="s">
        <v>877</v>
      </c>
      <c r="B3" s="1391">
        <f ca="1">IF(ISERROR(D2/F43),0,ROUND(D2/F43,0))</f>
        <v>0</v>
      </c>
      <c r="C3" s="1387" t="s">
        <v>878</v>
      </c>
      <c r="D3" s="1387"/>
      <c r="E3" s="1388"/>
      <c r="F3" s="1389"/>
      <c r="G3" s="2703"/>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394</v>
      </c>
      <c r="B6" s="3744" t="s">
        <v>690</v>
      </c>
      <c r="C6" s="1074">
        <f ca="1">ROUND(F6*F8*F7*(1-F9),0)</f>
        <v>0</v>
      </c>
      <c r="D6" s="155" t="s">
        <v>2098</v>
      </c>
      <c r="E6" s="302" t="s">
        <v>692</v>
      </c>
      <c r="F6" s="303">
        <f ca="1">INDIRECT("'数据-取费表'!u"&amp;$G$1)</f>
        <v>0</v>
      </c>
      <c r="G6" s="1384"/>
      <c r="H6" s="1069" t="s">
        <v>394</v>
      </c>
      <c r="I6" s="3744" t="s">
        <v>690</v>
      </c>
      <c r="J6" s="301">
        <f ca="1">ROUND(M6*M8*M7*(1-M9),0)</f>
        <v>0</v>
      </c>
      <c r="K6" s="1376" t="s">
        <v>2099</v>
      </c>
      <c r="L6" s="302" t="s">
        <v>692</v>
      </c>
      <c r="M6" s="303">
        <f ca="1">INDIRECT("'数据-取费表'!z"&amp;$G$1)</f>
        <v>0</v>
      </c>
    </row>
    <row r="7" spans="1:37" ht="18" customHeight="1">
      <c r="A7" s="1073"/>
      <c r="B7" s="3745"/>
      <c r="C7" s="1075"/>
      <c r="D7" s="307"/>
      <c r="E7" s="1076" t="s">
        <v>693</v>
      </c>
      <c r="F7" s="303">
        <f ca="1">IF(INDIRECT("'数据-取费表'!ah"&amp;$G$1)="",INDIRECT("'数据-取费表'!k"&amp;$G$1),INDIRECT("'数据-取费表'!ah"&amp;$G$1))</f>
        <v>0</v>
      </c>
      <c r="G7" s="1384"/>
      <c r="H7" s="304"/>
      <c r="I7" s="3745"/>
      <c r="J7" s="306"/>
      <c r="K7" s="307"/>
      <c r="L7" s="302" t="s">
        <v>693</v>
      </c>
      <c r="M7" s="303">
        <f ca="1">F7</f>
        <v>0</v>
      </c>
    </row>
    <row r="8" spans="1:37" ht="18" customHeight="1">
      <c r="A8" s="304"/>
      <c r="B8" s="3745"/>
      <c r="C8" s="306"/>
      <c r="D8" s="307"/>
      <c r="E8" s="302" t="s">
        <v>694</v>
      </c>
      <c r="F8" s="303">
        <f ca="1">INDIRECT("'数据-取费表'!ai"&amp;$G$1)</f>
        <v>0</v>
      </c>
      <c r="G8" s="1384"/>
      <c r="H8" s="304"/>
      <c r="I8" s="3745"/>
      <c r="J8" s="306"/>
      <c r="K8" s="307"/>
      <c r="L8" s="302" t="s">
        <v>694</v>
      </c>
      <c r="M8" s="303">
        <f ca="1">INDIRECT("'数据-取费表'!ai"&amp;$G$1)</f>
        <v>0</v>
      </c>
    </row>
    <row r="9" spans="1:37" ht="18" customHeight="1">
      <c r="A9" s="304"/>
      <c r="B9" s="3746"/>
      <c r="C9" s="306"/>
      <c r="D9" s="307"/>
      <c r="E9" s="302" t="s">
        <v>695</v>
      </c>
      <c r="F9" s="312">
        <f ca="1">INDIRECT("'数据-取费表'!w"&amp;$G$1)</f>
        <v>0</v>
      </c>
      <c r="G9" s="1384"/>
      <c r="H9" s="304"/>
      <c r="I9" s="3746"/>
      <c r="J9" s="306"/>
      <c r="K9" s="307"/>
      <c r="L9" s="313" t="s">
        <v>695</v>
      </c>
      <c r="M9" s="314">
        <f ca="1">INDIRECT("'数据-取费表'!ab"&amp;$G$1)</f>
        <v>0</v>
      </c>
    </row>
    <row r="10" spans="1:37" ht="18" customHeight="1">
      <c r="A10" s="1069" t="s">
        <v>398</v>
      </c>
      <c r="B10" s="1365" t="s">
        <v>696</v>
      </c>
      <c r="C10" s="316">
        <f ca="1">ROUND(IF(F10="押一",C6/12*F11,IF(F10="押二",C6/12*2*F11,IF(F10="押三",C6/12*3*F11,C11*F11))),0)</f>
        <v>0</v>
      </c>
      <c r="D10" s="1366" t="s">
        <v>2108</v>
      </c>
      <c r="E10" s="313" t="s">
        <v>697</v>
      </c>
      <c r="F10" s="1116"/>
      <c r="G10" s="1384"/>
      <c r="H10" s="1069" t="s">
        <v>398</v>
      </c>
      <c r="I10" s="1365" t="s">
        <v>696</v>
      </c>
      <c r="J10" s="301">
        <f ca="1">ROUND(IF(M10="押一",J6/12*M11,IF(M10="押二",J6/12*2*M11,IF(M10="押三",J6/12*3*M11,J11*M11))),0)</f>
        <v>0</v>
      </c>
      <c r="K10" s="1377" t="s">
        <v>2110</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433</v>
      </c>
      <c r="B12" s="1369" t="s">
        <v>699</v>
      </c>
      <c r="C12" s="1084"/>
      <c r="D12" s="1085"/>
      <c r="E12" s="1090"/>
      <c r="F12" s="1086"/>
      <c r="G12" s="1384"/>
      <c r="H12" s="1083" t="s">
        <v>433</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393</v>
      </c>
      <c r="B14" s="302" t="s">
        <v>703</v>
      </c>
      <c r="C14" s="318">
        <f ca="1">ROUND(INDIRECT("'数据-取费表'!l"&amp;$G$1)*F43+'数据-取费表'!L14*INDIRECT("'数据-取费表'!S"&amp;$G$1),0)</f>
        <v>0</v>
      </c>
      <c r="D14" s="1345" t="s">
        <v>704</v>
      </c>
      <c r="E14" s="1342"/>
      <c r="F14" s="319"/>
      <c r="G14" s="1384"/>
      <c r="H14" s="982" t="s">
        <v>394</v>
      </c>
      <c r="I14" s="302" t="s">
        <v>705</v>
      </c>
      <c r="J14" s="21">
        <f ca="1">C29</f>
        <v>0</v>
      </c>
      <c r="K14" s="12"/>
      <c r="L14" s="807"/>
      <c r="M14" s="808"/>
    </row>
    <row r="15" spans="1:37" s="1397" customFormat="1" ht="18" customHeight="1" thickBot="1">
      <c r="A15" s="982" t="s">
        <v>395</v>
      </c>
      <c r="B15" s="302" t="s">
        <v>706</v>
      </c>
      <c r="C15" s="21">
        <f ca="1">ROUND(C14*F15,0)</f>
        <v>0</v>
      </c>
      <c r="D15" s="320" t="s">
        <v>707</v>
      </c>
      <c r="E15" s="320" t="s">
        <v>708</v>
      </c>
      <c r="F15" s="321">
        <f>'数据-取费表'!B33</f>
        <v>0.03</v>
      </c>
      <c r="G15" s="1396"/>
      <c r="H15" s="1089" t="s">
        <v>398</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389</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394</v>
      </c>
      <c r="I17" s="302" t="s">
        <v>715</v>
      </c>
      <c r="J17" s="2314">
        <f ca="1">ROUND(IF(AND(项目基本情况!B11="自然人",项目基本情况!B10="北京市"),J6*M17/(1+'数据-取费表'!C42),J18+J19+J20),0)</f>
        <v>0</v>
      </c>
      <c r="K17" s="1345" t="s">
        <v>716</v>
      </c>
      <c r="L17" s="1344" t="s">
        <v>717</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393</v>
      </c>
      <c r="I18" s="302" t="s">
        <v>719</v>
      </c>
      <c r="J18" s="21">
        <f ca="1">ROUND(J6*M18/(1+'数据-取费表'!C42),0)</f>
        <v>0</v>
      </c>
      <c r="K18" s="1344" t="s">
        <v>720</v>
      </c>
      <c r="L18" s="302" t="s">
        <v>708</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394</v>
      </c>
      <c r="B19" s="302" t="s">
        <v>721</v>
      </c>
      <c r="C19" s="21">
        <f ca="1">SUM(C14:C18)</f>
        <v>0</v>
      </c>
      <c r="D19" s="131" t="s">
        <v>722</v>
      </c>
      <c r="E19" s="1360"/>
      <c r="F19" s="23"/>
      <c r="G19" s="1384"/>
      <c r="H19" s="982" t="s">
        <v>395</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398</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433</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复利计息。建造成本、管理费用、销售费用产生的利息。</v>
      </c>
      <c r="E22" s="1360"/>
      <c r="F22" s="23"/>
      <c r="G22" s="1384"/>
      <c r="H22" s="982" t="s">
        <v>398</v>
      </c>
      <c r="I22" s="302" t="s">
        <v>734</v>
      </c>
      <c r="J22" s="21">
        <f ca="1">ROUND(J14*M22,0)</f>
        <v>0</v>
      </c>
      <c r="K22" s="1344" t="s">
        <v>735</v>
      </c>
      <c r="L22" s="302" t="s">
        <v>708</v>
      </c>
      <c r="M22" s="328">
        <f ca="1">INDIRECT("'数据-取费表'!Ak"&amp;$G$1)</f>
        <v>0</v>
      </c>
    </row>
    <row r="23" spans="1:37" s="1397" customFormat="1" ht="18" customHeight="1">
      <c r="A23" s="982" t="s">
        <v>393</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737</v>
      </c>
      <c r="F23" s="325">
        <f>'数据-取费表'!B20</f>
        <v>2</v>
      </c>
      <c r="G23" s="1396"/>
      <c r="H23" s="982" t="s">
        <v>433</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6.9999999999999999E-4</v>
      </c>
      <c r="D24" s="329" t="str">
        <f>IF(F23&lt;=1,"销售费用×利率×(建设周期÷2)","销售费用×((1+利率)^(建设周期÷2)-1)")</f>
        <v>销售费用×((1+利率)^(建设周期÷2)-1)</v>
      </c>
      <c r="E24" s="302" t="s">
        <v>743</v>
      </c>
      <c r="F24" s="331">
        <f ca="1">'数据-取费表'!B40</f>
        <v>3.6499999999999998E-2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390</v>
      </c>
      <c r="I25" s="1094" t="s">
        <v>748</v>
      </c>
      <c r="J25" s="310">
        <f ca="1">J5-J16</f>
        <v>0</v>
      </c>
      <c r="K25" s="1095" t="s">
        <v>749</v>
      </c>
      <c r="L25" s="1096"/>
      <c r="M25" s="1097"/>
    </row>
    <row r="26" spans="1:37" ht="18" customHeight="1">
      <c r="A26" s="982" t="s">
        <v>393</v>
      </c>
      <c r="B26" s="302" t="s">
        <v>750</v>
      </c>
      <c r="C26" s="21">
        <f ca="1">ROUND((C19+C20)*F26,0)</f>
        <v>0</v>
      </c>
      <c r="D26" s="323" t="s">
        <v>751</v>
      </c>
      <c r="E26" s="313" t="s">
        <v>752</v>
      </c>
      <c r="F26" s="312">
        <f ca="1">INDIRECT("'数据-取费表'!q"&amp;$G$1)</f>
        <v>0</v>
      </c>
      <c r="G26" s="1384"/>
      <c r="H26" s="299" t="s">
        <v>391</v>
      </c>
      <c r="I26" s="300" t="s">
        <v>753</v>
      </c>
      <c r="J26" s="301">
        <f ca="1">IF(J5&lt;&gt;0,ROUND(J25*(1-((1+M28)/(1+M26))^M27)/(M26-M28),0),0)</f>
        <v>0</v>
      </c>
      <c r="K26" s="324" t="s">
        <v>754</v>
      </c>
      <c r="L26" s="302" t="s">
        <v>755</v>
      </c>
      <c r="M26" s="312">
        <f ca="1">INDIRECT("'数据-取费表'!I"&amp;$G$1)</f>
        <v>0</v>
      </c>
    </row>
    <row r="27" spans="1:37" ht="18" customHeight="1">
      <c r="A27" s="982" t="s">
        <v>395</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396</v>
      </c>
      <c r="B28" s="302" t="s">
        <v>760</v>
      </c>
      <c r="C28" s="21">
        <f>ROUND(F28/(1+'数据-取费表'!C42),4)</f>
        <v>5.33E-2</v>
      </c>
      <c r="D28" s="323" t="s">
        <v>761</v>
      </c>
      <c r="E28" s="302" t="s">
        <v>708</v>
      </c>
      <c r="F28" s="322">
        <f>'数据-取费表'!B41</f>
        <v>5.6000000000000001E-2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397</v>
      </c>
      <c r="B29" s="1090" t="s">
        <v>763</v>
      </c>
      <c r="C29" s="1091">
        <f ca="1">ROUND((C19+C20+C23+C26)/(1-F21-C24-C27-C28),0)</f>
        <v>0</v>
      </c>
      <c r="D29" s="1092"/>
      <c r="E29" s="1090"/>
      <c r="F29" s="1093"/>
      <c r="G29" s="1396"/>
      <c r="H29" s="334" t="s">
        <v>392</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389</v>
      </c>
      <c r="B30" s="1080" t="s">
        <v>710</v>
      </c>
      <c r="C30" s="310">
        <f ca="1">ROUND(C31+C36+C37+C38,0)</f>
        <v>0</v>
      </c>
      <c r="D30" s="1087" t="s">
        <v>711</v>
      </c>
      <c r="E30" s="1088"/>
      <c r="F30" s="1072"/>
      <c r="G30" s="1384"/>
      <c r="H30" s="2694"/>
      <c r="I30" s="1398"/>
      <c r="J30" s="1399"/>
      <c r="K30" s="2472"/>
      <c r="L30" s="2695"/>
      <c r="M30" s="2696"/>
    </row>
    <row r="31" spans="1:37" ht="18" customHeight="1">
      <c r="A31" s="982" t="s">
        <v>394</v>
      </c>
      <c r="B31" s="302" t="s">
        <v>715</v>
      </c>
      <c r="C31" s="2314">
        <f ca="1">ROUND(IF(AND(项目基本情况!B11="自然人",项目基本情况!B10="北京市"),C6*F31/(1+'数据-取费表'!C42),C32+C33+C34),0)</f>
        <v>0</v>
      </c>
      <c r="D31" s="1345" t="s">
        <v>716</v>
      </c>
      <c r="E31" s="1344" t="s">
        <v>766</v>
      </c>
      <c r="F31" s="2313">
        <f ca="1">IF(项目基本情况!B11="企业","——",IF(M47="住宅",IF(F6*F7*F8/12/(1+'数据-取费表'!F30)&gt;100000,4%,2.5%),IF(F6*F7*F8/12/(1+'数据-取费表'!F30)&gt;100000,12%,7%)))</f>
        <v>7.0000000000000007E-2</v>
      </c>
      <c r="G31" s="1384"/>
      <c r="H31" s="2805" t="s">
        <v>2302</v>
      </c>
      <c r="I31" s="1398"/>
      <c r="J31" s="1399"/>
      <c r="K31" s="2472"/>
      <c r="L31" s="2695"/>
      <c r="M31" s="2696"/>
    </row>
    <row r="32" spans="1:37" ht="18" customHeight="1">
      <c r="A32" s="982" t="s">
        <v>393</v>
      </c>
      <c r="B32" s="302" t="s">
        <v>719</v>
      </c>
      <c r="C32" s="21" t="str">
        <f>IF(项目基本情况!B11="自然人","——",ROUND(C6*F32/(1+'数据-取费表'!C42),0))</f>
        <v>——</v>
      </c>
      <c r="D32" s="1344" t="s">
        <v>720</v>
      </c>
      <c r="E32" s="302" t="s">
        <v>708</v>
      </c>
      <c r="F32" s="331">
        <f>'数据-取费表'!B41</f>
        <v>5.6000000000000001E-2</v>
      </c>
      <c r="G32" s="1384"/>
      <c r="H32" s="2694"/>
      <c r="I32" s="1398"/>
      <c r="J32" s="1399"/>
      <c r="K32" s="2472"/>
      <c r="L32" s="2695"/>
      <c r="M32" s="2696"/>
    </row>
    <row r="33" spans="1:18" ht="18" customHeight="1">
      <c r="A33" s="982" t="s">
        <v>395</v>
      </c>
      <c r="B33" s="302" t="s">
        <v>723</v>
      </c>
      <c r="C33" s="21" t="str">
        <f ca="1">IF(项目基本情况!B11="自然人","——",IF(D33="按租金收入计税",ROUND(C6*F33/(1+'数据-取费表'!C42),0),IF(D33="按房产原值计税",ROUND(C29*F33*0.7,0),INDIRECT("'数据-取费表'!Aj"&amp;$G$1))))</f>
        <v>——</v>
      </c>
      <c r="D33" s="1370" t="s">
        <v>3336</v>
      </c>
      <c r="E33" s="302" t="s">
        <v>708</v>
      </c>
      <c r="F33" s="322">
        <f>IF(D33="按票据","——",IF(D33="按租金收入计税",'数据-取费表'!B51,'数据-取费表'!B50))</f>
        <v>0.12</v>
      </c>
      <c r="G33" s="1384"/>
      <c r="H33" s="2697"/>
      <c r="I33" s="1398"/>
      <c r="J33" s="1399"/>
      <c r="K33" s="2698"/>
      <c r="L33" s="2697"/>
      <c r="M33" s="2697"/>
    </row>
    <row r="34" spans="1:18" ht="18" customHeight="1">
      <c r="A34" s="1069" t="s">
        <v>676</v>
      </c>
      <c r="B34" s="155" t="s">
        <v>726</v>
      </c>
      <c r="C34" s="22" t="str">
        <f>IF(项目基本情况!B11="自然人","——",ROUND(F34*F35,0))</f>
        <v>——</v>
      </c>
      <c r="D34" s="324" t="s">
        <v>727</v>
      </c>
      <c r="E34" s="302" t="s">
        <v>728</v>
      </c>
      <c r="F34" s="325">
        <f>'数据-取费表'!B52</f>
        <v>0</v>
      </c>
      <c r="G34" s="1384"/>
      <c r="H34" s="2694"/>
      <c r="I34" s="1398"/>
      <c r="J34" s="1399"/>
      <c r="K34" s="2699"/>
      <c r="L34" s="2700"/>
      <c r="M34" s="2700"/>
    </row>
    <row r="35" spans="1:18" ht="18" customHeight="1">
      <c r="A35" s="1103"/>
      <c r="B35" s="1101"/>
      <c r="C35" s="26"/>
      <c r="D35" s="327"/>
      <c r="E35" s="302" t="s">
        <v>732</v>
      </c>
      <c r="F35" s="303">
        <f ca="1">INDIRECT("'数据-取费表'!r"&amp;$G$1)</f>
        <v>0</v>
      </c>
      <c r="G35" s="1384"/>
      <c r="H35" s="2694"/>
      <c r="I35" s="1398"/>
      <c r="J35" s="1399"/>
      <c r="K35" s="2698"/>
      <c r="L35" s="2697"/>
      <c r="M35" s="2697"/>
    </row>
    <row r="36" spans="1:18" ht="18" customHeight="1">
      <c r="A36" s="1102" t="s">
        <v>398</v>
      </c>
      <c r="B36" s="302" t="s">
        <v>734</v>
      </c>
      <c r="C36" s="21">
        <f ca="1">ROUND(C29*F36,0)</f>
        <v>0</v>
      </c>
      <c r="D36" s="1344" t="s">
        <v>767</v>
      </c>
      <c r="E36" s="302" t="s">
        <v>708</v>
      </c>
      <c r="F36" s="328">
        <f ca="1">INDIRECT("'数据-取费表'!Ak"&amp;$G$1)</f>
        <v>0</v>
      </c>
      <c r="G36" s="1384"/>
      <c r="H36" s="2697"/>
      <c r="I36" s="1398"/>
      <c r="J36" s="1399"/>
      <c r="K36" s="2541"/>
      <c r="L36" s="2697"/>
      <c r="M36" s="2697"/>
    </row>
    <row r="37" spans="1:18" ht="18" customHeight="1">
      <c r="A37" s="982" t="s">
        <v>433</v>
      </c>
      <c r="B37" s="302" t="s">
        <v>738</v>
      </c>
      <c r="C37" s="21">
        <f ca="1">ROUND(C13*F37,0)</f>
        <v>0</v>
      </c>
      <c r="D37" s="1344" t="s">
        <v>739</v>
      </c>
      <c r="E37" s="302" t="s">
        <v>740</v>
      </c>
      <c r="F37" s="330">
        <f ca="1">INDIRECT("'数据-取费表'!Al"&amp;$G$1)</f>
        <v>0</v>
      </c>
      <c r="G37" s="1384"/>
      <c r="H37" s="2697"/>
      <c r="I37" s="1398"/>
      <c r="J37" s="1399"/>
      <c r="K37" s="2541"/>
      <c r="L37" s="2697"/>
      <c r="M37" s="2697"/>
    </row>
    <row r="38" spans="1:18" ht="18" customHeight="1" thickBot="1">
      <c r="A38" s="1089" t="s">
        <v>680</v>
      </c>
      <c r="B38" s="1090" t="s">
        <v>724</v>
      </c>
      <c r="C38" s="1091">
        <f ca="1">ROUND(C5*F38,0)</f>
        <v>0</v>
      </c>
      <c r="D38" s="1092" t="s">
        <v>744</v>
      </c>
      <c r="E38" s="1090" t="s">
        <v>740</v>
      </c>
      <c r="F38" s="1086">
        <f ca="1">INDIRECT("'数据-取费表'!Am"&amp;$G$1)</f>
        <v>0</v>
      </c>
      <c r="G38" s="1384"/>
      <c r="H38" s="2697"/>
      <c r="I38" s="1398"/>
      <c r="J38" s="1399"/>
      <c r="K38" s="2701"/>
      <c r="L38" s="2697"/>
      <c r="M38" s="2697"/>
    </row>
    <row r="39" spans="1:18" ht="24.6" customHeight="1" thickTop="1">
      <c r="A39" s="1079" t="s">
        <v>390</v>
      </c>
      <c r="B39" s="1094" t="s">
        <v>768</v>
      </c>
      <c r="C39" s="310">
        <f ca="1">C5-C30</f>
        <v>0</v>
      </c>
      <c r="D39" s="1095" t="s">
        <v>769</v>
      </c>
      <c r="E39" s="1096"/>
      <c r="F39" s="1097"/>
      <c r="G39" s="1384"/>
      <c r="H39" s="2697"/>
      <c r="I39" s="1398"/>
      <c r="J39" s="1399"/>
      <c r="K39" s="2701"/>
      <c r="L39" s="2697"/>
      <c r="M39" s="2697"/>
    </row>
    <row r="40" spans="1:18" ht="18" customHeight="1">
      <c r="A40" s="299" t="s">
        <v>391</v>
      </c>
      <c r="B40" s="300" t="s">
        <v>770</v>
      </c>
      <c r="C40" s="301" t="e">
        <f ca="1">ROUND(C39*(1-((1+F42)/(1+F40))^F41)/(F40-F42),0)</f>
        <v>#DIV/0!</v>
      </c>
      <c r="D40" s="324" t="s">
        <v>754</v>
      </c>
      <c r="E40" s="302" t="s">
        <v>755</v>
      </c>
      <c r="F40" s="312">
        <f ca="1">INDIRECT("'数据-取费表'!I"&amp;$G$1)</f>
        <v>0</v>
      </c>
      <c r="G40" s="1384"/>
      <c r="H40" s="1461"/>
      <c r="I40" s="1398"/>
      <c r="J40" s="1399"/>
      <c r="K40" s="2701"/>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762</v>
      </c>
      <c r="F42" s="312">
        <f ca="1">INDIRECT("'数据-取费表'!v"&amp;$G$1)</f>
        <v>0</v>
      </c>
      <c r="G42" s="1384"/>
      <c r="H42" s="1191"/>
      <c r="I42" s="1398"/>
      <c r="J42" s="1399"/>
      <c r="K42" s="2541"/>
      <c r="L42" s="1191"/>
      <c r="M42" s="1191"/>
    </row>
    <row r="43" spans="1:18" ht="18" customHeight="1" thickBot="1">
      <c r="A43" s="334" t="s">
        <v>392</v>
      </c>
      <c r="B43" s="335" t="s">
        <v>772</v>
      </c>
      <c r="C43" s="336" t="e">
        <f ca="1">ROUND(C40/F43,0)</f>
        <v>#DIV/0!</v>
      </c>
      <c r="D43" s="337" t="s">
        <v>773</v>
      </c>
      <c r="E43" s="338" t="s">
        <v>774</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3352</v>
      </c>
      <c r="B45" s="1400"/>
      <c r="C45" s="1472" t="e">
        <f ca="1">ROUND((C68-C40)/10000,4)</f>
        <v>#DIV/0!</v>
      </c>
      <c r="D45" s="3429"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399</v>
      </c>
      <c r="P47" s="1419" t="s">
        <v>813</v>
      </c>
      <c r="Q47" s="1420" t="e">
        <f ca="1">C40+J29</f>
        <v>#DIV/0!</v>
      </c>
      <c r="R47" s="1420" t="s">
        <v>814</v>
      </c>
    </row>
    <row r="48" spans="1:18" s="1384" customFormat="1" ht="28.5" thickBot="1">
      <c r="A48" s="1110" t="s">
        <v>434</v>
      </c>
      <c r="B48" s="300" t="s">
        <v>688</v>
      </c>
      <c r="C48" s="1359">
        <f ca="1">C49+C53+C55</f>
        <v>0</v>
      </c>
      <c r="D48" s="1112"/>
      <c r="E48" s="1113"/>
      <c r="F48" s="962"/>
      <c r="G48" s="722"/>
      <c r="H48" s="723"/>
      <c r="I48" s="1421" t="s">
        <v>815</v>
      </c>
      <c r="J48" s="1422"/>
      <c r="K48" s="1423" t="s">
        <v>816</v>
      </c>
      <c r="L48" s="1424">
        <f ca="1">INDIRECT("'数据-取费表'!f"&amp;$G$1)</f>
        <v>0</v>
      </c>
      <c r="O48" s="1418" t="s">
        <v>400</v>
      </c>
      <c r="P48" s="1419" t="s">
        <v>817</v>
      </c>
      <c r="Q48" s="1420" t="e">
        <f ca="1">J60</f>
        <v>#DIV/0!</v>
      </c>
      <c r="R48" s="1420" t="s">
        <v>818</v>
      </c>
    </row>
    <row r="49" spans="1:18" s="1384" customFormat="1" ht="13.5" thickBot="1">
      <c r="A49" s="975" t="s">
        <v>435</v>
      </c>
      <c r="B49" s="1371" t="s">
        <v>775</v>
      </c>
      <c r="C49" s="1114">
        <f ca="1">ROUND(F49*F51*F50*(1-F52),0)</f>
        <v>0</v>
      </c>
      <c r="D49" s="1055" t="s">
        <v>691</v>
      </c>
      <c r="E49" s="1372" t="s">
        <v>776</v>
      </c>
      <c r="F49" s="1060"/>
      <c r="G49" s="1425"/>
      <c r="H49" s="723"/>
      <c r="I49" s="1421" t="s">
        <v>819</v>
      </c>
      <c r="J49" s="1426"/>
      <c r="K49" s="1423" t="s">
        <v>820</v>
      </c>
      <c r="L49" s="1427"/>
      <c r="O49" s="1428" t="s">
        <v>401</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402</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403</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404</v>
      </c>
      <c r="P52" s="1419" t="s">
        <v>830</v>
      </c>
      <c r="Q52" s="1420">
        <f ca="1">J53</f>
        <v>0</v>
      </c>
      <c r="R52" s="1420" t="s">
        <v>831</v>
      </c>
    </row>
    <row r="53" spans="1:18" s="1384" customFormat="1" ht="30.75" customHeight="1" thickBot="1">
      <c r="A53" s="1111" t="s">
        <v>436</v>
      </c>
      <c r="B53" s="323" t="s">
        <v>696</v>
      </c>
      <c r="C53" s="316">
        <f ca="1">ROUND(IF(F53="押一",C49/12*F11,IF(F53="押二",C49/12*2*F11,IF(F53="押三",C49/12*3*F11,C54*F11))),0)</f>
        <v>0</v>
      </c>
      <c r="D53" s="1366" t="s">
        <v>2111</v>
      </c>
      <c r="E53" s="313" t="s">
        <v>697</v>
      </c>
      <c r="F53" s="1116"/>
      <c r="I53" s="1439" t="s">
        <v>832</v>
      </c>
      <c r="J53" s="2166">
        <f ca="1">IF(M47="住宅",IF(D1="——",MAX(J51,L48),MAX(J51,L48-'数据-取费表'!B24)),IF(D1="——",MIN(J51,L48),MIN(J51,L48-'数据-取费表'!B24)))</f>
        <v>0</v>
      </c>
      <c r="K53" s="3742" t="s">
        <v>833</v>
      </c>
      <c r="L53" s="3743"/>
      <c r="O53" s="1418" t="s">
        <v>405</v>
      </c>
      <c r="P53" s="1419" t="s">
        <v>834</v>
      </c>
      <c r="Q53" s="1420" t="e">
        <f ca="1">Q47+Q48</f>
        <v>#DIV/0!</v>
      </c>
      <c r="R53" s="1420" t="s">
        <v>406</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433</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399</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400</v>
      </c>
      <c r="P57" s="1419" t="s">
        <v>889</v>
      </c>
      <c r="Q57" s="1420" t="e">
        <f ca="1">L60</f>
        <v>#DIV/0!</v>
      </c>
      <c r="R57" s="1420" t="s">
        <v>890</v>
      </c>
    </row>
    <row r="58" spans="1:18" s="1384" customFormat="1" ht="24.75" thickBot="1">
      <c r="A58" s="315" t="s">
        <v>389</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401</v>
      </c>
      <c r="P58" s="1419" t="s">
        <v>846</v>
      </c>
      <c r="Q58" s="1420">
        <f>IF(L55="比较法",L49,IF(L55="基准地价",L50,0))</f>
        <v>0</v>
      </c>
      <c r="R58" s="1420" t="s">
        <v>814</v>
      </c>
    </row>
    <row r="59" spans="1:18" s="1384" customFormat="1" ht="24.75" thickBot="1">
      <c r="A59" s="982" t="s">
        <v>394</v>
      </c>
      <c r="B59" s="950" t="s">
        <v>715</v>
      </c>
      <c r="C59" s="2314">
        <f ca="1">ROUND(IF(AND(项目基本情况!B11="自然人",项目基本情况!B10="北京市"),C49*F59/(1+'数据-取费表'!C42),C60+C61+C62),0)</f>
        <v>0</v>
      </c>
      <c r="D59" s="963" t="s">
        <v>716</v>
      </c>
      <c r="E59" s="964" t="s">
        <v>717</v>
      </c>
      <c r="F59" s="2313">
        <f ca="1">IF(项目基本情况!B11="企业","——",IF('数据-取费表'!B10="住宅",IF(F49*F50*F51/12/(1+'数据-取费表'!F30)&gt;100000,4%,2.5%),IF(F49*F50*F51/12/(1+'数据-取费表'!F30)&gt;100000,12%,7%)))</f>
        <v>7.0000000000000007E-2</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402</v>
      </c>
      <c r="P59" s="1419" t="s">
        <v>848</v>
      </c>
      <c r="Q59" s="1431">
        <f>L52</f>
        <v>0</v>
      </c>
      <c r="R59" s="1420"/>
    </row>
    <row r="60" spans="1:18" s="1384" customFormat="1" ht="16.5" thickBot="1">
      <c r="A60" s="982" t="s">
        <v>393</v>
      </c>
      <c r="B60" s="950" t="s">
        <v>719</v>
      </c>
      <c r="C60" s="21" t="str">
        <f>IF(项目基本情况!B11="自然人","——",ROUND(C48*F60/(1+'数据-取费表'!C42),0))</f>
        <v>——</v>
      </c>
      <c r="D60" s="964" t="s">
        <v>720</v>
      </c>
      <c r="E60" s="950" t="s">
        <v>708</v>
      </c>
      <c r="F60" s="331">
        <f t="shared" ref="F60:F66" si="0">F32</f>
        <v>5.6000000000000001E-2</v>
      </c>
      <c r="I60" s="1458" t="s">
        <v>849</v>
      </c>
      <c r="J60" s="1459" t="e">
        <f ca="1">IF(OR(M47="住宅",J51&lt;L48,J56="是"),"0",ROUND(J59/(1+J52)^J53,0))</f>
        <v>#DIV/0!</v>
      </c>
      <c r="K60" s="1460" t="s">
        <v>850</v>
      </c>
      <c r="L60" s="1459" t="e">
        <f ca="1">IF(OR(M47="住宅",L48&lt;J51),0,ROUND(L57*(L58/L59-1),0))</f>
        <v>#DIV/0!</v>
      </c>
      <c r="O60" s="1428" t="s">
        <v>403</v>
      </c>
      <c r="P60" s="1419" t="s">
        <v>851</v>
      </c>
      <c r="Q60" s="1420" t="e">
        <f ca="1">L58</f>
        <v>#DIV/0!</v>
      </c>
      <c r="R60" s="1420" t="s">
        <v>852</v>
      </c>
    </row>
    <row r="61" spans="1:18" s="1384" customFormat="1" ht="13.5" thickBot="1">
      <c r="A61" s="982" t="s">
        <v>777</v>
      </c>
      <c r="B61" s="950" t="s">
        <v>778</v>
      </c>
      <c r="C61" s="21" t="str">
        <f ca="1">IF(项目基本情况!B11="自然人","——",IF(D61="按租金收入计税",ROUND(C49*F61/(1+'数据-取费表'!C42),0),IF(D61="按房产原值计税",ROUND(C57*F61*0.7,0),INDIRECT("'数据-取费表'!Aj"&amp;$G$1))))</f>
        <v>——</v>
      </c>
      <c r="D61" s="1370" t="s">
        <v>3336</v>
      </c>
      <c r="E61" s="950" t="s">
        <v>779</v>
      </c>
      <c r="F61" s="322">
        <f t="shared" si="0"/>
        <v>0.12</v>
      </c>
      <c r="I61" s="1461"/>
      <c r="J61" s="1461"/>
      <c r="K61" s="1461"/>
      <c r="L61" s="1461"/>
      <c r="O61" s="1428" t="s">
        <v>404</v>
      </c>
      <c r="P61" s="1419" t="str">
        <f>K59</f>
        <v>建筑物剩余耐用年限下的土地年期修正系数Kn</v>
      </c>
      <c r="Q61" s="1420" t="e">
        <f ca="1">L59</f>
        <v>#DIV/0!</v>
      </c>
      <c r="R61" s="1420" t="s">
        <v>853</v>
      </c>
    </row>
    <row r="62" spans="1:18" s="1384" customFormat="1" ht="13.5" thickBot="1">
      <c r="A62" s="982" t="s">
        <v>780</v>
      </c>
      <c r="B62" s="949" t="s">
        <v>781</v>
      </c>
      <c r="C62" s="22" t="str">
        <f>IF(项目基本情况!B11="自然人","——",ROUND(F62*F63,0))</f>
        <v>——</v>
      </c>
      <c r="D62" s="965" t="s">
        <v>782</v>
      </c>
      <c r="E62" s="950" t="s">
        <v>783</v>
      </c>
      <c r="F62" s="325">
        <f t="shared" si="0"/>
        <v>0</v>
      </c>
      <c r="I62" s="1462" t="s">
        <v>854</v>
      </c>
      <c r="J62" s="1463" t="s">
        <v>855</v>
      </c>
      <c r="K62" s="1463" t="s">
        <v>856</v>
      </c>
      <c r="L62" s="1463" t="s">
        <v>857</v>
      </c>
      <c r="M62" s="1464" t="s">
        <v>858</v>
      </c>
      <c r="O62" s="1418" t="s">
        <v>405</v>
      </c>
      <c r="P62" s="1419" t="s">
        <v>859</v>
      </c>
      <c r="Q62" s="1420" t="e">
        <f ca="1">Q56+Q57</f>
        <v>#DIV/0!</v>
      </c>
      <c r="R62" s="1420" t="s">
        <v>406</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399</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400</v>
      </c>
      <c r="P66" s="1419" t="s">
        <v>842</v>
      </c>
      <c r="Q66" s="1420" t="e">
        <f ca="1">L60</f>
        <v>#DIV/0!</v>
      </c>
      <c r="R66" s="1420" t="s">
        <v>865</v>
      </c>
    </row>
    <row r="67" spans="1:18" s="1384" customFormat="1" ht="16.5" thickBot="1">
      <c r="A67" s="957" t="s">
        <v>390</v>
      </c>
      <c r="B67" s="967" t="s">
        <v>748</v>
      </c>
      <c r="C67" s="316">
        <f ca="1">C48-C58</f>
        <v>0</v>
      </c>
      <c r="D67" s="963" t="s">
        <v>749</v>
      </c>
      <c r="E67" s="968"/>
      <c r="F67" s="969"/>
      <c r="O67" s="1428" t="s">
        <v>401</v>
      </c>
      <c r="P67" s="1419" t="s">
        <v>846</v>
      </c>
      <c r="Q67" s="1466">
        <f ca="1">L51</f>
        <v>0</v>
      </c>
      <c r="R67" s="1420" t="s">
        <v>866</v>
      </c>
    </row>
    <row r="68" spans="1:18" s="1384" customFormat="1" ht="16.5" thickBot="1">
      <c r="A68" s="947" t="s">
        <v>391</v>
      </c>
      <c r="B68" s="948" t="s">
        <v>770</v>
      </c>
      <c r="C68" s="301" t="e">
        <f ca="1">ROUND(C67*(1-((1+F70)/(1+F68))^F69)/(F68-F70),0)</f>
        <v>#DIV/0!</v>
      </c>
      <c r="D68" s="965" t="s">
        <v>754</v>
      </c>
      <c r="E68" s="950" t="s">
        <v>755</v>
      </c>
      <c r="F68" s="312">
        <f ca="1">F40</f>
        <v>0</v>
      </c>
      <c r="O68" s="1428" t="s">
        <v>402</v>
      </c>
      <c r="P68" s="1467" t="s">
        <v>867</v>
      </c>
      <c r="Q68" s="1420">
        <f ca="1">ROUND(Q69-Q70*Q71,0)</f>
        <v>0</v>
      </c>
      <c r="R68" s="1420" t="s">
        <v>410</v>
      </c>
    </row>
    <row r="69" spans="1:18" s="1384" customFormat="1" ht="13.5" thickBot="1">
      <c r="A69" s="951"/>
      <c r="B69" s="952"/>
      <c r="C69" s="306"/>
      <c r="D69" s="970" t="s">
        <v>758</v>
      </c>
      <c r="E69" s="950" t="s">
        <v>759</v>
      </c>
      <c r="F69" s="333">
        <f ca="1">F41</f>
        <v>0</v>
      </c>
      <c r="O69" s="1428" t="s">
        <v>407</v>
      </c>
      <c r="P69" s="1467" t="s">
        <v>868</v>
      </c>
      <c r="Q69" s="1420">
        <f ca="1">C39</f>
        <v>0</v>
      </c>
      <c r="R69" s="1420" t="s">
        <v>814</v>
      </c>
    </row>
    <row r="70" spans="1:18" s="1384" customFormat="1" ht="13.5" thickBot="1">
      <c r="A70" s="954"/>
      <c r="B70" s="955"/>
      <c r="C70" s="310"/>
      <c r="D70" s="966"/>
      <c r="E70" s="950" t="s">
        <v>762</v>
      </c>
      <c r="F70" s="1054"/>
      <c r="O70" s="1428" t="s">
        <v>408</v>
      </c>
      <c r="P70" s="1467" t="s">
        <v>869</v>
      </c>
      <c r="Q70" s="1420">
        <f ca="1">C13</f>
        <v>0</v>
      </c>
      <c r="R70" s="1420" t="s">
        <v>814</v>
      </c>
    </row>
    <row r="71" spans="1:18" s="1384" customFormat="1" ht="13.5" thickBot="1">
      <c r="A71" s="971" t="s">
        <v>392</v>
      </c>
      <c r="B71" s="972" t="s">
        <v>772</v>
      </c>
      <c r="C71" s="336" t="e">
        <f ca="1">ROUND(C68/F71,0)</f>
        <v>#DIV/0!</v>
      </c>
      <c r="D71" s="973" t="s">
        <v>773</v>
      </c>
      <c r="E71" s="974" t="s">
        <v>774</v>
      </c>
      <c r="F71" s="339">
        <f ca="1">F43</f>
        <v>0</v>
      </c>
      <c r="O71" s="1428" t="s">
        <v>409</v>
      </c>
      <c r="P71" s="1467" t="s">
        <v>870</v>
      </c>
      <c r="Q71" s="1431">
        <f ca="1">C76</f>
        <v>0</v>
      </c>
      <c r="R71" s="1420"/>
    </row>
    <row r="72" spans="1:18" s="1384" customFormat="1" ht="13.5" thickBot="1">
      <c r="B72" s="726"/>
      <c r="C72" s="726"/>
      <c r="O72" s="1428" t="s">
        <v>403</v>
      </c>
      <c r="P72" s="1419" t="s">
        <v>848</v>
      </c>
      <c r="Q72" s="1431">
        <f>L52</f>
        <v>0</v>
      </c>
      <c r="R72" s="1420"/>
    </row>
    <row r="73" spans="1:18" ht="16.5" thickBot="1">
      <c r="A73" s="1384"/>
      <c r="B73" s="726"/>
      <c r="C73" s="726"/>
      <c r="D73" s="1384"/>
      <c r="E73" s="1384"/>
      <c r="F73" s="1384"/>
      <c r="O73" s="1428" t="s">
        <v>404</v>
      </c>
      <c r="P73" s="1419" t="s">
        <v>851</v>
      </c>
      <c r="Q73" s="1420" t="e">
        <f ca="1">L58</f>
        <v>#DIV/0!</v>
      </c>
      <c r="R73" s="1420" t="s">
        <v>852</v>
      </c>
    </row>
    <row r="74" spans="1:18" ht="13.5" thickBot="1">
      <c r="A74" s="1384"/>
      <c r="B74" s="273" t="s">
        <v>871</v>
      </c>
      <c r="C74" s="1469"/>
      <c r="D74" s="1384"/>
      <c r="E74" s="1384"/>
      <c r="F74" s="1384"/>
      <c r="O74" s="1428" t="s">
        <v>411</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405</v>
      </c>
      <c r="P75" s="1419" t="s">
        <v>834</v>
      </c>
      <c r="Q75" s="1420" t="e">
        <f ca="1">Q65+Q66</f>
        <v>#DIV/0!</v>
      </c>
      <c r="R75" s="1420" t="s">
        <v>406</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9" priority="4">
      <formula>$L$48&gt;$J$51</formula>
    </cfRule>
  </conditionalFormatting>
  <conditionalFormatting sqref="I55 I60">
    <cfRule type="expression" dxfId="178" priority="5">
      <formula>$J$51&gt;$L$48</formula>
    </cfRule>
  </conditionalFormatting>
  <conditionalFormatting sqref="C11">
    <cfRule type="expression" dxfId="177" priority="3">
      <formula>$F$10="自定义"</formula>
    </cfRule>
  </conditionalFormatting>
  <conditionalFormatting sqref="J11">
    <cfRule type="expression" dxfId="176" priority="2">
      <formula>$M$10="自定义"</formula>
    </cfRule>
  </conditionalFormatting>
  <conditionalFormatting sqref="C54">
    <cfRule type="expression" dxfId="175"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2431</v>
      </c>
      <c r="B1" s="2829"/>
      <c r="C1" s="2841"/>
      <c r="D1" s="2841"/>
      <c r="E1" s="2830"/>
      <c r="F1" s="2831"/>
      <c r="G1" s="2832"/>
      <c r="J1" s="2835" t="s">
        <v>2310</v>
      </c>
      <c r="K1" s="2836"/>
      <c r="L1" s="2836"/>
      <c r="M1" s="2836"/>
      <c r="N1" s="2836"/>
      <c r="O1" s="2836"/>
      <c r="P1" s="2836"/>
      <c r="Q1" s="2836"/>
      <c r="R1" s="2837"/>
      <c r="S1" s="2838"/>
      <c r="T1" s="2838"/>
      <c r="U1" s="2838"/>
    </row>
    <row r="2" spans="1:22" s="2850" customFormat="1" ht="13.15" customHeight="1">
      <c r="A2" s="1385" t="s">
        <v>2311</v>
      </c>
      <c r="B2" s="2840" t="e">
        <f>IF(D2="——",C40,C40+E2)</f>
        <v>#DIV/0!</v>
      </c>
      <c r="C2" s="2841" t="s">
        <v>2312</v>
      </c>
      <c r="D2" s="3440" t="s">
        <v>3359</v>
      </c>
      <c r="E2" s="3441"/>
      <c r="F2" s="2843"/>
      <c r="G2" s="2844"/>
      <c r="H2" s="2845"/>
      <c r="I2" s="2846"/>
      <c r="J2" s="3747" t="s">
        <v>2313</v>
      </c>
      <c r="K2" s="3748"/>
      <c r="L2" s="2847" t="s">
        <v>2314</v>
      </c>
      <c r="M2" s="2847" t="s">
        <v>2315</v>
      </c>
      <c r="N2" s="2847" t="s">
        <v>2316</v>
      </c>
      <c r="O2" s="2847" t="s">
        <v>2317</v>
      </c>
      <c r="P2" s="2847" t="s">
        <v>2318</v>
      </c>
      <c r="Q2" s="2848" t="s">
        <v>2319</v>
      </c>
      <c r="R2" s="2849" t="s">
        <v>2320</v>
      </c>
      <c r="S2" s="2838"/>
      <c r="T2" s="2838"/>
      <c r="U2" s="2838"/>
      <c r="V2" s="2846"/>
    </row>
    <row r="3" spans="1:22" s="2850" customFormat="1" ht="13.15" customHeight="1">
      <c r="A3" s="2851" t="s">
        <v>2321</v>
      </c>
      <c r="B3" s="2852" t="e">
        <f>ROUND(B2*10000/B4,0)</f>
        <v>#DIV/0!</v>
      </c>
      <c r="C3" s="2841" t="s">
        <v>2322</v>
      </c>
      <c r="D3" s="2841"/>
      <c r="E3" s="2842"/>
      <c r="F3" s="2843"/>
      <c r="G3" s="2844"/>
      <c r="H3" s="2845"/>
      <c r="I3" s="2846"/>
      <c r="J3" s="3749" t="s">
        <v>2323</v>
      </c>
      <c r="K3" s="3750"/>
      <c r="L3" s="2853"/>
      <c r="M3" s="2853"/>
      <c r="N3" s="2853"/>
      <c r="O3" s="2853"/>
      <c r="P3" s="2853"/>
      <c r="Q3" s="2854"/>
      <c r="R3" s="2855">
        <f>SUM(L3:Q3)</f>
        <v>0</v>
      </c>
      <c r="S3" s="2838"/>
      <c r="T3" s="2838"/>
      <c r="U3" s="2838"/>
      <c r="V3" s="2846"/>
    </row>
    <row r="4" spans="1:22" s="2850" customFormat="1" ht="13.15" customHeight="1">
      <c r="A4" s="2856" t="s">
        <v>2324</v>
      </c>
      <c r="B4" s="2857"/>
      <c r="C4" s="2841"/>
      <c r="D4" s="2841"/>
      <c r="E4" s="2842"/>
      <c r="F4" s="2843"/>
      <c r="G4" s="2844"/>
      <c r="H4" s="2845"/>
      <c r="I4" s="2846"/>
      <c r="J4" s="3749" t="s">
        <v>2325</v>
      </c>
      <c r="K4" s="3750"/>
      <c r="L4" s="2858"/>
      <c r="M4" s="2858"/>
      <c r="N4" s="2858"/>
      <c r="O4" s="2858"/>
      <c r="P4" s="2858"/>
      <c r="Q4" s="2859"/>
      <c r="R4" s="2860">
        <f>SUM(L4:Q4)</f>
        <v>0</v>
      </c>
      <c r="S4" s="2838"/>
      <c r="T4" s="2838"/>
      <c r="U4" s="2838"/>
      <c r="V4" s="2846"/>
    </row>
    <row r="5" spans="1:22" s="2850" customFormat="1" ht="13.15" customHeight="1" thickBot="1">
      <c r="A5" s="2861" t="s">
        <v>2326</v>
      </c>
      <c r="B5" s="2862"/>
      <c r="C5" s="2841"/>
      <c r="D5" s="2863"/>
      <c r="E5" s="2843"/>
      <c r="F5" s="2843"/>
      <c r="G5" s="2844"/>
      <c r="H5" s="2845"/>
      <c r="I5" s="2846"/>
      <c r="J5" s="2864" t="s">
        <v>2327</v>
      </c>
      <c r="K5" s="2865"/>
      <c r="L5" s="2865"/>
      <c r="M5" s="2866"/>
      <c r="N5" s="2866"/>
      <c r="O5" s="2866"/>
      <c r="P5" s="2866"/>
      <c r="Q5" s="2866"/>
      <c r="R5" s="2849">
        <f>SUM(R14,R19,R24,R25,R27,R28)</f>
        <v>0</v>
      </c>
      <c r="S5" s="2838"/>
      <c r="T5" s="2838" t="s">
        <v>2328</v>
      </c>
      <c r="U5" s="2838" t="e">
        <f>ROUND(R5*10000/365/R3,1)</f>
        <v>#DIV/0!</v>
      </c>
      <c r="V5" s="2846"/>
    </row>
    <row r="6" spans="1:22" s="2850" customFormat="1" ht="13.15" customHeight="1" thickBot="1">
      <c r="A6" s="3751" t="s">
        <v>2329</v>
      </c>
      <c r="B6" s="3752"/>
      <c r="C6" s="3753"/>
      <c r="D6" s="2867"/>
      <c r="E6" s="2868"/>
      <c r="F6" s="2869"/>
      <c r="G6" s="2870"/>
      <c r="H6" s="2845"/>
      <c r="I6" s="2846"/>
      <c r="J6" s="3754">
        <v>1</v>
      </c>
      <c r="K6" s="3755" t="s">
        <v>2330</v>
      </c>
      <c r="L6" s="2871" t="s">
        <v>2331</v>
      </c>
      <c r="M6" s="2872" t="s">
        <v>2332</v>
      </c>
      <c r="N6" s="2872" t="s">
        <v>2333</v>
      </c>
      <c r="O6" s="2872" t="s">
        <v>2334</v>
      </c>
      <c r="P6" s="2872" t="s">
        <v>2335</v>
      </c>
      <c r="Q6" s="2872" t="s">
        <v>2336</v>
      </c>
      <c r="R6" s="2855" t="s">
        <v>2337</v>
      </c>
      <c r="S6" s="2838"/>
      <c r="T6" s="2838" t="s">
        <v>2338</v>
      </c>
      <c r="U6" s="2838"/>
      <c r="V6" s="2846"/>
    </row>
    <row r="7" spans="1:22" s="2850" customFormat="1" ht="13.15" customHeight="1">
      <c r="A7" s="2873" t="s">
        <v>2339</v>
      </c>
      <c r="B7" s="2874"/>
      <c r="C7" s="2875"/>
      <c r="D7" s="2876">
        <f>SUM(D9,D10,D11,D17,0)</f>
        <v>0</v>
      </c>
      <c r="E7" s="2877" t="e">
        <f>E9+E10+E11+E17</f>
        <v>#DIV/0!</v>
      </c>
      <c r="F7" s="2878"/>
      <c r="G7" s="2879"/>
      <c r="H7" s="2845"/>
      <c r="I7" s="2846"/>
      <c r="J7" s="3754"/>
      <c r="K7" s="3756"/>
      <c r="L7" s="2880" t="s">
        <v>2340</v>
      </c>
      <c r="M7" s="2881"/>
      <c r="N7" s="2857"/>
      <c r="O7" s="2882"/>
      <c r="P7" s="2882"/>
      <c r="Q7" s="2883">
        <v>365</v>
      </c>
      <c r="R7" s="2884">
        <f>ROUND(M7*N7*O7*P7*Q7/10000,0)</f>
        <v>0</v>
      </c>
      <c r="S7" s="2838"/>
      <c r="T7" s="2838" t="s">
        <v>2341</v>
      </c>
      <c r="U7" s="2838"/>
      <c r="V7" s="2846"/>
    </row>
    <row r="8" spans="1:22" s="2850" customFormat="1" ht="13.15" customHeight="1">
      <c r="A8" s="2885" t="s">
        <v>2342</v>
      </c>
      <c r="B8" s="3758" t="s">
        <v>2343</v>
      </c>
      <c r="C8" s="3759"/>
      <c r="D8" s="2886" t="s">
        <v>2344</v>
      </c>
      <c r="E8" s="2887" t="s">
        <v>2345</v>
      </c>
      <c r="F8" s="2888" t="s">
        <v>2346</v>
      </c>
      <c r="G8" s="2889"/>
      <c r="H8" s="2845"/>
      <c r="I8" s="2846"/>
      <c r="J8" s="3754"/>
      <c r="K8" s="3756"/>
      <c r="L8" s="2880" t="s">
        <v>2347</v>
      </c>
      <c r="M8" s="2881"/>
      <c r="N8" s="2857"/>
      <c r="O8" s="2882"/>
      <c r="P8" s="2882"/>
      <c r="Q8" s="2883">
        <v>365</v>
      </c>
      <c r="R8" s="2884">
        <f t="shared" ref="R8:R13" si="0">ROUND(M8*N8*O8*P8*Q8/10000,0)</f>
        <v>0</v>
      </c>
      <c r="S8" s="2838"/>
      <c r="T8" s="2838" t="s">
        <v>2348</v>
      </c>
      <c r="U8" s="2838"/>
      <c r="V8" s="2846"/>
    </row>
    <row r="9" spans="1:22" s="2850" customFormat="1" ht="13.15" customHeight="1">
      <c r="A9" s="2885">
        <v>1</v>
      </c>
      <c r="B9" s="3758" t="s">
        <v>2349</v>
      </c>
      <c r="C9" s="3759"/>
      <c r="D9" s="2886">
        <f>ROUND(D6*E9,0)</f>
        <v>0</v>
      </c>
      <c r="E9" s="2890"/>
      <c r="F9" s="2891" t="s">
        <v>2350</v>
      </c>
      <c r="G9" s="2870"/>
      <c r="H9" s="2845"/>
      <c r="I9" s="2846"/>
      <c r="J9" s="3754"/>
      <c r="K9" s="3756"/>
      <c r="L9" s="2880" t="s">
        <v>2351</v>
      </c>
      <c r="M9" s="2881"/>
      <c r="N9" s="2857"/>
      <c r="O9" s="2882"/>
      <c r="P9" s="2882"/>
      <c r="Q9" s="2883">
        <v>365</v>
      </c>
      <c r="R9" s="2884">
        <f t="shared" si="0"/>
        <v>0</v>
      </c>
      <c r="S9" s="2838"/>
      <c r="T9" s="2838"/>
      <c r="U9" s="2838"/>
      <c r="V9" s="2846"/>
    </row>
    <row r="10" spans="1:22" s="2850" customFormat="1" ht="13.15" customHeight="1">
      <c r="A10" s="2885">
        <v>2</v>
      </c>
      <c r="B10" s="3758" t="s">
        <v>2352</v>
      </c>
      <c r="C10" s="3759"/>
      <c r="D10" s="2886">
        <f>ROUND(D6*E10,0)</f>
        <v>0</v>
      </c>
      <c r="E10" s="2890"/>
      <c r="F10" s="2891" t="s">
        <v>2353</v>
      </c>
      <c r="G10" s="2870"/>
      <c r="H10" s="2845"/>
      <c r="I10" s="2846"/>
      <c r="J10" s="3754"/>
      <c r="K10" s="3756"/>
      <c r="L10" s="2880" t="s">
        <v>2354</v>
      </c>
      <c r="M10" s="2881"/>
      <c r="N10" s="2857"/>
      <c r="O10" s="2882"/>
      <c r="P10" s="2882"/>
      <c r="Q10" s="2883">
        <v>365</v>
      </c>
      <c r="R10" s="2884">
        <f t="shared" si="0"/>
        <v>0</v>
      </c>
      <c r="S10" s="2838"/>
      <c r="T10" s="2838"/>
      <c r="U10" s="2838"/>
      <c r="V10" s="2846"/>
    </row>
    <row r="11" spans="1:22" s="2850" customFormat="1" ht="13.15" customHeight="1">
      <c r="A11" s="2885">
        <v>3</v>
      </c>
      <c r="B11" s="3758" t="s">
        <v>2355</v>
      </c>
      <c r="C11" s="3759"/>
      <c r="D11" s="2886">
        <f>D12+D14+D15+D16</f>
        <v>0</v>
      </c>
      <c r="E11" s="2892" t="e">
        <f>D11/D6</f>
        <v>#DIV/0!</v>
      </c>
      <c r="F11" s="2888"/>
      <c r="G11" s="2889"/>
      <c r="H11" s="2845"/>
      <c r="I11" s="2846"/>
      <c r="J11" s="3754"/>
      <c r="K11" s="3756"/>
      <c r="L11" s="2880" t="s">
        <v>2356</v>
      </c>
      <c r="M11" s="2881"/>
      <c r="N11" s="2857"/>
      <c r="O11" s="2882"/>
      <c r="P11" s="2882"/>
      <c r="Q11" s="2883">
        <v>365</v>
      </c>
      <c r="R11" s="2884">
        <f t="shared" si="0"/>
        <v>0</v>
      </c>
      <c r="S11" s="2838"/>
      <c r="T11" s="2838"/>
      <c r="U11" s="2838"/>
      <c r="V11" s="2846"/>
    </row>
    <row r="12" spans="1:22" s="2850" customFormat="1" ht="13.15" customHeight="1">
      <c r="A12" s="2893" t="s">
        <v>2357</v>
      </c>
      <c r="B12" s="3760" t="s">
        <v>2358</v>
      </c>
      <c r="C12" s="3761"/>
      <c r="D12" s="2894">
        <f>ROUND(D13*1.2%*(1-30%),0)</f>
        <v>0</v>
      </c>
      <c r="E12" s="2895">
        <v>1.2E-2</v>
      </c>
      <c r="F12" s="2888" t="s">
        <v>2359</v>
      </c>
      <c r="G12" s="2889"/>
      <c r="H12" s="2845"/>
      <c r="I12" s="2846"/>
      <c r="J12" s="3754"/>
      <c r="K12" s="3756"/>
      <c r="L12" s="2880" t="s">
        <v>2360</v>
      </c>
      <c r="M12" s="2881"/>
      <c r="N12" s="2857"/>
      <c r="O12" s="2882"/>
      <c r="P12" s="2882"/>
      <c r="Q12" s="2883">
        <v>365</v>
      </c>
      <c r="R12" s="2884">
        <f t="shared" si="0"/>
        <v>0</v>
      </c>
      <c r="S12" s="2838"/>
      <c r="T12" s="2838"/>
      <c r="U12" s="2838"/>
      <c r="V12" s="2846"/>
    </row>
    <row r="13" spans="1:22" s="2850" customFormat="1" ht="13.15" customHeight="1">
      <c r="A13" s="2893"/>
      <c r="B13" s="2896"/>
      <c r="C13" s="2897" t="s">
        <v>2361</v>
      </c>
      <c r="D13" s="2898"/>
      <c r="E13" s="2899"/>
      <c r="F13" s="2888"/>
      <c r="G13" s="2889"/>
      <c r="H13" s="2845"/>
      <c r="I13" s="2846"/>
      <c r="J13" s="3754"/>
      <c r="K13" s="3756"/>
      <c r="L13" s="2880" t="s">
        <v>2362</v>
      </c>
      <c r="M13" s="2881"/>
      <c r="N13" s="2857"/>
      <c r="O13" s="2882"/>
      <c r="P13" s="2882"/>
      <c r="Q13" s="2883">
        <v>365</v>
      </c>
      <c r="R13" s="2884">
        <f t="shared" si="0"/>
        <v>0</v>
      </c>
      <c r="S13" s="2838"/>
      <c r="T13" s="2838"/>
      <c r="U13" s="2838"/>
      <c r="V13" s="2846"/>
    </row>
    <row r="14" spans="1:22" s="2850" customFormat="1" ht="13.15" customHeight="1">
      <c r="A14" s="2893" t="s">
        <v>2363</v>
      </c>
      <c r="B14" s="3760" t="s">
        <v>2364</v>
      </c>
      <c r="C14" s="3761"/>
      <c r="D14" s="2894">
        <f>ROUND(E14*B5/10000,0)</f>
        <v>0</v>
      </c>
      <c r="E14" s="2883"/>
      <c r="F14" s="2888" t="s">
        <v>2365</v>
      </c>
      <c r="G14" s="2889"/>
      <c r="H14" s="2845"/>
      <c r="I14" s="2846"/>
      <c r="J14" s="3754"/>
      <c r="K14" s="3757"/>
      <c r="L14" s="2900" t="s">
        <v>2366</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2367</v>
      </c>
      <c r="B15" s="3760" t="s">
        <v>2368</v>
      </c>
      <c r="C15" s="3761"/>
      <c r="D15" s="2894">
        <f>ROUND(D6*E15,0)</f>
        <v>0</v>
      </c>
      <c r="E15" s="2895">
        <v>5.5E-2</v>
      </c>
      <c r="F15" s="2888" t="s">
        <v>2369</v>
      </c>
      <c r="G15" s="2870"/>
      <c r="H15" s="2845"/>
      <c r="I15" s="2846"/>
      <c r="J15" s="3754">
        <v>2</v>
      </c>
      <c r="K15" s="3755" t="s">
        <v>2370</v>
      </c>
      <c r="L15" s="2880" t="s">
        <v>2371</v>
      </c>
      <c r="M15" s="2881" t="s">
        <v>2372</v>
      </c>
      <c r="N15" s="2881" t="s">
        <v>2373</v>
      </c>
      <c r="O15" s="2882" t="s">
        <v>2374</v>
      </c>
      <c r="P15" s="2882" t="s">
        <v>2336</v>
      </c>
      <c r="Q15" s="2857" t="s">
        <v>2375</v>
      </c>
      <c r="R15" s="2904" t="s">
        <v>2337</v>
      </c>
      <c r="S15" s="2838"/>
      <c r="T15" s="2838"/>
      <c r="U15" s="2838"/>
      <c r="V15" s="2846"/>
    </row>
    <row r="16" spans="1:22" s="2850" customFormat="1" ht="13.15" customHeight="1">
      <c r="A16" s="2893" t="s">
        <v>2376</v>
      </c>
      <c r="B16" s="3760" t="s">
        <v>2377</v>
      </c>
      <c r="C16" s="3761"/>
      <c r="D16" s="2905">
        <f>D6*E16</f>
        <v>0</v>
      </c>
      <c r="E16" s="2906"/>
      <c r="F16" s="2891" t="s">
        <v>2378</v>
      </c>
      <c r="G16" s="2870"/>
      <c r="H16" s="2845"/>
      <c r="I16" s="2846"/>
      <c r="J16" s="3754"/>
      <c r="K16" s="3756"/>
      <c r="L16" s="2880" t="s">
        <v>2379</v>
      </c>
      <c r="M16" s="2881"/>
      <c r="N16" s="2881"/>
      <c r="O16" s="2882"/>
      <c r="P16" s="2883">
        <v>365</v>
      </c>
      <c r="Q16" s="2857"/>
      <c r="R16" s="2904">
        <f>ROUND(M16*N16*O16*P16/10000,0)</f>
        <v>0</v>
      </c>
      <c r="S16" s="2838"/>
      <c r="T16" s="2838"/>
      <c r="U16" s="2838"/>
      <c r="V16" s="2846"/>
    </row>
    <row r="17" spans="1:22" s="2850" customFormat="1" ht="13.15" customHeight="1" thickBot="1">
      <c r="A17" s="2907">
        <v>4</v>
      </c>
      <c r="B17" s="3762" t="s">
        <v>2380</v>
      </c>
      <c r="C17" s="3763"/>
      <c r="D17" s="2908">
        <f>ROUND(D6*E17,0)</f>
        <v>0</v>
      </c>
      <c r="E17" s="2909"/>
      <c r="F17" s="2910" t="s">
        <v>2381</v>
      </c>
      <c r="G17" s="2870"/>
      <c r="H17" s="2845"/>
      <c r="I17" s="2846"/>
      <c r="J17" s="3754"/>
      <c r="K17" s="3756"/>
      <c r="L17" s="2880" t="s">
        <v>2382</v>
      </c>
      <c r="M17" s="2881"/>
      <c r="N17" s="2881"/>
      <c r="O17" s="2882"/>
      <c r="P17" s="2883">
        <v>365</v>
      </c>
      <c r="Q17" s="2857"/>
      <c r="R17" s="2904">
        <f>ROUND(M17*N17*O17*P17/10000,0)</f>
        <v>0</v>
      </c>
      <c r="S17" s="2838"/>
      <c r="T17" s="2838"/>
      <c r="U17" s="2838"/>
      <c r="V17" s="2846"/>
    </row>
    <row r="18" spans="1:22" s="2850" customFormat="1" ht="13.15" customHeight="1" thickBot="1">
      <c r="A18" s="2873" t="s">
        <v>2383</v>
      </c>
      <c r="B18" s="2874"/>
      <c r="C18" s="2874"/>
      <c r="D18" s="2911">
        <f>ROUND(D6*E18,0)</f>
        <v>0</v>
      </c>
      <c r="E18" s="2912"/>
      <c r="F18" s="2913" t="s">
        <v>2384</v>
      </c>
      <c r="G18" s="2870"/>
      <c r="H18" s="2845"/>
      <c r="I18" s="2846"/>
      <c r="J18" s="3754"/>
      <c r="K18" s="3756"/>
      <c r="L18" s="2880" t="s">
        <v>2385</v>
      </c>
      <c r="M18" s="2881"/>
      <c r="N18" s="2881"/>
      <c r="O18" s="2882"/>
      <c r="P18" s="2883">
        <v>365</v>
      </c>
      <c r="Q18" s="2857"/>
      <c r="R18" s="2904">
        <f>ROUND(M18*N18*O18*P18/10000,0)</f>
        <v>0</v>
      </c>
      <c r="S18" s="2838"/>
      <c r="T18" s="2838"/>
      <c r="U18" s="2838"/>
      <c r="V18" s="2846"/>
    </row>
    <row r="19" spans="1:22" s="2850" customFormat="1" ht="13.15" customHeight="1" thickBot="1">
      <c r="A19" s="2914" t="s">
        <v>2386</v>
      </c>
      <c r="B19" s="2868"/>
      <c r="C19" s="2868"/>
      <c r="D19" s="2868"/>
      <c r="E19" s="2868"/>
      <c r="F19" s="2869"/>
      <c r="G19" s="2889"/>
      <c r="H19" s="2845"/>
      <c r="I19" s="2846"/>
      <c r="J19" s="3754"/>
      <c r="K19" s="3757"/>
      <c r="L19" s="2900" t="s">
        <v>2366</v>
      </c>
      <c r="M19" s="2901"/>
      <c r="N19" s="2901">
        <f>SUM(N16:N18)</f>
        <v>0</v>
      </c>
      <c r="O19" s="2902"/>
      <c r="P19" s="2915" t="s">
        <v>2430</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54">
        <v>3</v>
      </c>
      <c r="K20" s="3755" t="s">
        <v>2387</v>
      </c>
      <c r="L20" s="2880" t="s">
        <v>2388</v>
      </c>
      <c r="M20" s="2881" t="s">
        <v>2389</v>
      </c>
      <c r="N20" s="2918" t="s">
        <v>2390</v>
      </c>
      <c r="O20" s="2882" t="s">
        <v>2391</v>
      </c>
      <c r="P20" s="2883" t="s">
        <v>2392</v>
      </c>
      <c r="Q20" s="2857" t="s">
        <v>2393</v>
      </c>
      <c r="R20" s="2904" t="s">
        <v>2394</v>
      </c>
      <c r="S20" s="2919"/>
      <c r="T20" s="2919"/>
      <c r="U20" s="2919"/>
      <c r="V20" s="2846"/>
    </row>
    <row r="21" spans="1:22" s="2850" customFormat="1" ht="13.15" customHeight="1">
      <c r="A21" s="2873"/>
      <c r="B21" s="2874"/>
      <c r="C21" s="2920" t="s">
        <v>2395</v>
      </c>
      <c r="D21" s="2921" t="s">
        <v>2396</v>
      </c>
      <c r="E21" s="2922" t="s">
        <v>2397</v>
      </c>
      <c r="F21" s="2917"/>
      <c r="G21" s="2889"/>
      <c r="H21" s="2845"/>
      <c r="I21" s="2846"/>
      <c r="J21" s="3754"/>
      <c r="K21" s="3756"/>
      <c r="L21" s="2880" t="s">
        <v>2398</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2399</v>
      </c>
      <c r="D22" s="2925" t="s">
        <v>2400</v>
      </c>
      <c r="E22" s="2926" t="s">
        <v>2401</v>
      </c>
      <c r="F22" s="2917"/>
      <c r="G22" s="2927"/>
      <c r="H22" s="2845"/>
      <c r="I22" s="2846"/>
      <c r="J22" s="3754"/>
      <c r="K22" s="3756"/>
      <c r="L22" s="2880" t="s">
        <v>2402</v>
      </c>
      <c r="M22" s="2881"/>
      <c r="N22" s="2881"/>
      <c r="O22" s="2882"/>
      <c r="P22" s="2883">
        <v>365</v>
      </c>
      <c r="Q22" s="2857"/>
      <c r="R22" s="2923">
        <f>ROUND(M22*N22*O22*P22/10000,0)</f>
        <v>0</v>
      </c>
      <c r="S22" s="2919"/>
      <c r="T22" s="2919"/>
      <c r="U22" s="2919"/>
      <c r="V22" s="2846"/>
    </row>
    <row r="23" spans="1:22" s="2850" customFormat="1" ht="13.15" customHeight="1">
      <c r="A23" s="2928">
        <v>1</v>
      </c>
      <c r="B23" s="2929" t="s">
        <v>2403</v>
      </c>
      <c r="C23" s="2930">
        <f>D6</f>
        <v>0</v>
      </c>
      <c r="D23" s="2931">
        <f>C23*(1+D24)</f>
        <v>0</v>
      </c>
      <c r="E23" s="2932">
        <f>D23*(1+E24)</f>
        <v>0</v>
      </c>
      <c r="F23" s="2933"/>
      <c r="G23" s="2934"/>
      <c r="H23" s="2845"/>
      <c r="I23" s="2846"/>
      <c r="J23" s="3754"/>
      <c r="K23" s="3756"/>
      <c r="L23" s="2880" t="s">
        <v>2404</v>
      </c>
      <c r="M23" s="2881"/>
      <c r="N23" s="2881"/>
      <c r="O23" s="2882"/>
      <c r="P23" s="2883">
        <v>365</v>
      </c>
      <c r="Q23" s="2857"/>
      <c r="R23" s="2923">
        <f>ROUND(M23*N23*O23*P23/10000,0)</f>
        <v>0</v>
      </c>
      <c r="S23" s="2838"/>
      <c r="T23" s="2838"/>
      <c r="U23" s="2838"/>
      <c r="V23" s="2846"/>
    </row>
    <row r="24" spans="1:22" s="2850" customFormat="1" ht="13.15" customHeight="1">
      <c r="A24" s="2935"/>
      <c r="B24" s="2936" t="s">
        <v>2405</v>
      </c>
      <c r="C24" s="2937"/>
      <c r="D24" s="2938"/>
      <c r="E24" s="2939"/>
      <c r="F24" s="2940"/>
      <c r="G24" s="2934"/>
      <c r="H24" s="2845"/>
      <c r="I24" s="2846"/>
      <c r="J24" s="3754"/>
      <c r="K24" s="3757"/>
      <c r="L24" s="2900" t="s">
        <v>2366</v>
      </c>
      <c r="M24" s="2901">
        <f>SUM(M21:M23)</f>
        <v>0</v>
      </c>
      <c r="N24" s="2901"/>
      <c r="O24" s="2902"/>
      <c r="P24" s="2915" t="s">
        <v>2430</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2406</v>
      </c>
      <c r="L25" s="2943"/>
      <c r="M25" s="2943"/>
      <c r="N25" s="2943"/>
      <c r="O25" s="2943"/>
      <c r="P25" s="2944"/>
      <c r="Q25" s="2945">
        <v>0</v>
      </c>
      <c r="R25" s="2916">
        <f>ROUND(R14*Q25,0)</f>
        <v>0</v>
      </c>
      <c r="S25" s="2838"/>
      <c r="T25" s="2838"/>
      <c r="U25" s="2838"/>
      <c r="V25" s="2946"/>
    </row>
    <row r="26" spans="1:22" s="2947" customFormat="1" ht="13.15" customHeight="1">
      <c r="A26" s="2928">
        <v>2</v>
      </c>
      <c r="B26" s="2929" t="s">
        <v>2407</v>
      </c>
      <c r="C26" s="2930">
        <f>D7</f>
        <v>0</v>
      </c>
      <c r="D26" s="2931">
        <f>D23*D27</f>
        <v>0</v>
      </c>
      <c r="E26" s="2932">
        <f>E23*E27</f>
        <v>0</v>
      </c>
      <c r="F26" s="2933"/>
      <c r="G26" s="2934"/>
      <c r="H26" s="2845"/>
      <c r="I26" s="2846"/>
      <c r="J26" s="3764">
        <v>5</v>
      </c>
      <c r="K26" s="2948" t="s">
        <v>2408</v>
      </c>
      <c r="L26" s="2949"/>
      <c r="M26" s="2950"/>
      <c r="N26" s="2951" t="s">
        <v>2409</v>
      </c>
      <c r="O26" s="2951" t="s">
        <v>2410</v>
      </c>
      <c r="P26" s="2952" t="s">
        <v>2411</v>
      </c>
      <c r="Q26" s="2952" t="s">
        <v>2412</v>
      </c>
      <c r="R26" s="2855" t="s">
        <v>2337</v>
      </c>
      <c r="S26" s="2953"/>
      <c r="T26" s="2953"/>
      <c r="U26" s="2953"/>
      <c r="V26" s="2946"/>
    </row>
    <row r="27" spans="1:22" s="2850" customFormat="1" ht="13.15" customHeight="1">
      <c r="A27" s="2935"/>
      <c r="B27" s="2936" t="s">
        <v>2413</v>
      </c>
      <c r="C27" s="2954" t="e">
        <f>E7</f>
        <v>#DIV/0!</v>
      </c>
      <c r="D27" s="2938"/>
      <c r="E27" s="2939"/>
      <c r="F27" s="2940"/>
      <c r="G27" s="2934"/>
      <c r="H27" s="2955"/>
      <c r="I27" s="2946"/>
      <c r="J27" s="37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2414</v>
      </c>
      <c r="F28" s="2940"/>
      <c r="G28" s="2927"/>
      <c r="H28" s="2955"/>
      <c r="I28" s="2946"/>
      <c r="J28" s="2961">
        <v>6</v>
      </c>
      <c r="K28" s="2962" t="s">
        <v>2415</v>
      </c>
      <c r="L28" s="2963" t="s">
        <v>2416</v>
      </c>
      <c r="M28" s="2964"/>
      <c r="N28" s="2963" t="s">
        <v>2417</v>
      </c>
      <c r="O28" s="2965"/>
      <c r="P28" s="2963" t="s">
        <v>2418</v>
      </c>
      <c r="Q28" s="2966">
        <v>1.4999999999999999E-2</v>
      </c>
      <c r="R28" s="2967"/>
      <c r="S28" s="2919"/>
      <c r="T28" s="2919"/>
      <c r="U28" s="2919"/>
      <c r="V28" s="2946"/>
    </row>
    <row r="29" spans="1:22" s="2947" customFormat="1" ht="13.15" customHeight="1">
      <c r="A29" s="2928">
        <v>3</v>
      </c>
      <c r="B29" s="2929" t="s">
        <v>2419</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2413</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2420</v>
      </c>
      <c r="K31" s="2836"/>
      <c r="L31" s="2836"/>
      <c r="M31" s="2836"/>
      <c r="N31" s="2836"/>
      <c r="O31" s="2836"/>
      <c r="P31" s="2836"/>
      <c r="Q31" s="2836"/>
      <c r="R31" s="2837"/>
      <c r="S31" s="2919"/>
      <c r="T31" s="2838"/>
      <c r="U31" s="2838"/>
      <c r="V31" s="2946"/>
    </row>
    <row r="32" spans="1:22" s="2947" customFormat="1" ht="13.15" customHeight="1">
      <c r="A32" s="2928">
        <v>4</v>
      </c>
      <c r="B32" s="2929" t="s">
        <v>2421</v>
      </c>
      <c r="C32" s="2930">
        <f>C23-C26-C29</f>
        <v>0</v>
      </c>
      <c r="D32" s="2931">
        <f>D23-D26-D29</f>
        <v>0</v>
      </c>
      <c r="E32" s="2932">
        <f>E23-E26-E29</f>
        <v>0</v>
      </c>
      <c r="F32" s="2933"/>
      <c r="G32" s="2927"/>
      <c r="H32" s="2845"/>
      <c r="I32" s="2846"/>
      <c r="J32" s="3747" t="s">
        <v>2313</v>
      </c>
      <c r="K32" s="3748"/>
      <c r="L32" s="2847" t="s">
        <v>2314</v>
      </c>
      <c r="M32" s="2847" t="s">
        <v>2315</v>
      </c>
      <c r="N32" s="2847" t="s">
        <v>2316</v>
      </c>
      <c r="O32" s="2847" t="s">
        <v>2317</v>
      </c>
      <c r="P32" s="2847" t="s">
        <v>2318</v>
      </c>
      <c r="Q32" s="2848" t="s">
        <v>2319</v>
      </c>
      <c r="R32" s="2970" t="s">
        <v>2320</v>
      </c>
      <c r="S32" s="2919"/>
      <c r="T32" s="2838"/>
      <c r="U32" s="2838"/>
      <c r="V32" s="2946"/>
    </row>
    <row r="33" spans="1:23" s="2850" customFormat="1" ht="13.15" customHeight="1">
      <c r="A33" s="2928"/>
      <c r="B33" s="2929"/>
      <c r="C33" s="2930"/>
      <c r="D33" s="2971"/>
      <c r="E33" s="2972"/>
      <c r="F33" s="2933"/>
      <c r="G33" s="2927"/>
      <c r="H33" s="2955"/>
      <c r="I33" s="2946"/>
      <c r="J33" s="3749" t="s">
        <v>2323</v>
      </c>
      <c r="K33" s="3750"/>
      <c r="L33" s="2853"/>
      <c r="M33" s="2853"/>
      <c r="N33" s="2853"/>
      <c r="O33" s="2853"/>
      <c r="P33" s="2853"/>
      <c r="Q33" s="2854"/>
      <c r="R33" s="2973">
        <f>SUM(L33:Q33)</f>
        <v>0</v>
      </c>
      <c r="S33" s="2919"/>
      <c r="T33" s="2838"/>
      <c r="U33" s="2838"/>
      <c r="V33" s="2846"/>
    </row>
    <row r="34" spans="1:23" s="2850" customFormat="1" ht="13.15" customHeight="1">
      <c r="A34" s="2928">
        <v>5</v>
      </c>
      <c r="B34" s="2929" t="s">
        <v>2422</v>
      </c>
      <c r="C34" s="2974"/>
      <c r="D34" s="2975"/>
      <c r="E34" s="2976"/>
      <c r="F34" s="2933"/>
      <c r="G34" s="2927"/>
      <c r="H34" s="2955"/>
      <c r="I34" s="2946"/>
      <c r="J34" s="3749" t="s">
        <v>2325</v>
      </c>
      <c r="K34" s="37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2423</v>
      </c>
      <c r="C35" s="2978"/>
      <c r="D35" s="2979"/>
      <c r="E35" s="2980"/>
      <c r="F35" s="2933"/>
      <c r="G35" s="2981"/>
      <c r="H35" s="2845"/>
      <c r="I35" s="2946"/>
      <c r="J35" s="2864" t="s">
        <v>2327</v>
      </c>
      <c r="K35" s="2865"/>
      <c r="L35" s="2865"/>
      <c r="M35" s="2866"/>
      <c r="N35" s="2866"/>
      <c r="O35" s="2866"/>
      <c r="P35" s="2866"/>
      <c r="Q35" s="2866"/>
      <c r="R35" s="2982">
        <f>R40+R41+R43</f>
        <v>0</v>
      </c>
      <c r="S35" s="2919"/>
      <c r="T35" s="2838" t="s">
        <v>2328</v>
      </c>
      <c r="U35" s="2838"/>
      <c r="V35" s="2846"/>
    </row>
    <row r="36" spans="1:23" s="2850" customFormat="1" ht="13.15" customHeight="1" thickBot="1">
      <c r="A36" s="2928">
        <v>7</v>
      </c>
      <c r="B36" s="2983" t="s">
        <v>2424</v>
      </c>
      <c r="C36" s="2984"/>
      <c r="D36" s="2985"/>
      <c r="E36" s="2986"/>
      <c r="F36" s="2987">
        <f>C36+D36+E36</f>
        <v>0</v>
      </c>
      <c r="G36" s="2927"/>
      <c r="H36" s="2845"/>
      <c r="I36" s="2846"/>
      <c r="J36" s="3754">
        <v>1</v>
      </c>
      <c r="K36" s="3755" t="s">
        <v>2425</v>
      </c>
      <c r="L36" s="2871"/>
      <c r="M36" s="2872"/>
      <c r="N36" s="2872"/>
      <c r="O36" s="2872"/>
      <c r="P36" s="2872"/>
      <c r="Q36" s="2872"/>
      <c r="R36" s="2855" t="s">
        <v>2337</v>
      </c>
      <c r="S36" s="2919"/>
      <c r="T36" s="2838" t="s">
        <v>2338</v>
      </c>
      <c r="U36" s="2838"/>
      <c r="V36" s="2846"/>
    </row>
    <row r="37" spans="1:23" s="2850" customFormat="1" ht="13.15" customHeight="1">
      <c r="A37" s="2928"/>
      <c r="B37" s="2929"/>
      <c r="C37" s="2929"/>
      <c r="D37" s="2929"/>
      <c r="E37" s="2929"/>
      <c r="F37" s="2933"/>
      <c r="G37" s="2927"/>
      <c r="H37" s="2845"/>
      <c r="I37" s="2846"/>
      <c r="J37" s="3754"/>
      <c r="K37" s="3756"/>
      <c r="L37" s="2880"/>
      <c r="M37" s="2881"/>
      <c r="N37" s="2857"/>
      <c r="O37" s="2882"/>
      <c r="P37" s="2882"/>
      <c r="Q37" s="2883"/>
      <c r="R37" s="2884"/>
      <c r="S37" s="2919"/>
      <c r="T37" s="2838" t="s">
        <v>2341</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54"/>
      <c r="K38" s="3756"/>
      <c r="L38" s="2880"/>
      <c r="M38" s="2881"/>
      <c r="N38" s="2857"/>
      <c r="O38" s="2882"/>
      <c r="P38" s="2882"/>
      <c r="Q38" s="2883"/>
      <c r="R38" s="2884"/>
      <c r="S38" s="2919"/>
      <c r="T38" s="2838" t="s">
        <v>2348</v>
      </c>
      <c r="U38" s="2838"/>
      <c r="V38" s="2846"/>
    </row>
    <row r="39" spans="1:23" s="2850" customFormat="1" ht="13.15" customHeight="1">
      <c r="A39" s="2928">
        <v>9</v>
      </c>
      <c r="B39" s="2929" t="s">
        <v>2426</v>
      </c>
      <c r="C39" s="2894" t="e">
        <f>C38</f>
        <v>#DIV/0!</v>
      </c>
      <c r="D39" s="2929">
        <f>D38/(1+D34)^C36</f>
        <v>0</v>
      </c>
      <c r="E39" s="2929">
        <f>E38/(1+E34)^(C36+D36)</f>
        <v>0</v>
      </c>
      <c r="F39" s="2933"/>
      <c r="G39" s="2988"/>
      <c r="H39" s="2845"/>
      <c r="I39" s="2846"/>
      <c r="J39" s="3754"/>
      <c r="K39" s="3756"/>
      <c r="L39" s="2880"/>
      <c r="M39" s="2881"/>
      <c r="N39" s="2857"/>
      <c r="O39" s="2882"/>
      <c r="P39" s="2882"/>
      <c r="Q39" s="2883"/>
      <c r="R39" s="2884"/>
      <c r="S39" s="2919"/>
      <c r="T39" s="2838"/>
      <c r="U39" s="2838"/>
      <c r="V39" s="2846"/>
    </row>
    <row r="40" spans="1:23" s="2850" customFormat="1" ht="13.15" customHeight="1">
      <c r="A40" s="2989">
        <v>10</v>
      </c>
      <c r="B40" s="2929" t="s">
        <v>2427</v>
      </c>
      <c r="C40" s="2990" t="e">
        <f>C39+D39+E39</f>
        <v>#DIV/0!</v>
      </c>
      <c r="D40" s="2991"/>
      <c r="E40" s="2991"/>
      <c r="F40" s="2992"/>
      <c r="G40" s="2927"/>
      <c r="H40" s="2845"/>
      <c r="I40" s="2846"/>
      <c r="J40" s="3754"/>
      <c r="K40" s="3757"/>
      <c r="L40" s="2900" t="s">
        <v>2366</v>
      </c>
      <c r="M40" s="2901"/>
      <c r="N40" s="2901"/>
      <c r="O40" s="2902"/>
      <c r="P40" s="2902"/>
      <c r="Q40" s="2903"/>
      <c r="R40" s="2849">
        <f>SUM(R37:R39)</f>
        <v>0</v>
      </c>
      <c r="S40" s="2919"/>
      <c r="T40" s="2838"/>
      <c r="U40" s="2838"/>
      <c r="V40" s="2846"/>
    </row>
    <row r="41" spans="1:23" s="2850" customFormat="1" ht="13.15" customHeight="1" thickBot="1">
      <c r="A41" s="2993">
        <v>11</v>
      </c>
      <c r="B41" s="2994" t="s">
        <v>2428</v>
      </c>
      <c r="C41" s="2994" t="e">
        <f>ROUND(C40*10000/B4,0)</f>
        <v>#DIV/0!</v>
      </c>
      <c r="D41" s="2995"/>
      <c r="E41" s="2995"/>
      <c r="F41" s="2996"/>
      <c r="G41" s="2997"/>
      <c r="H41" s="2845"/>
      <c r="I41" s="2846"/>
      <c r="J41" s="2941">
        <v>2</v>
      </c>
      <c r="K41" s="2942" t="s">
        <v>2406</v>
      </c>
      <c r="L41" s="2943"/>
      <c r="M41" s="2943"/>
      <c r="N41" s="2943"/>
      <c r="O41" s="2943"/>
      <c r="P41" s="2944"/>
      <c r="Q41" s="2945"/>
      <c r="R41" s="2916">
        <f>ROUND(R40*Q41,0)</f>
        <v>0</v>
      </c>
      <c r="S41" s="2919"/>
      <c r="T41" s="2838"/>
      <c r="U41" s="2953"/>
      <c r="V41" s="2846"/>
    </row>
    <row r="42" spans="1:23" s="2850" customFormat="1" ht="13.15" customHeight="1">
      <c r="G42" s="2997"/>
      <c r="H42" s="2845"/>
      <c r="I42" s="2846"/>
      <c r="J42" s="3764">
        <v>3</v>
      </c>
      <c r="K42" s="2948" t="s">
        <v>2408</v>
      </c>
      <c r="L42" s="2949"/>
      <c r="M42" s="2950"/>
      <c r="N42" s="2951" t="s">
        <v>2409</v>
      </c>
      <c r="O42" s="2951" t="s">
        <v>2410</v>
      </c>
      <c r="P42" s="2952" t="s">
        <v>2411</v>
      </c>
      <c r="Q42" s="2952" t="s">
        <v>2412</v>
      </c>
      <c r="R42" s="2855" t="s">
        <v>2337</v>
      </c>
      <c r="S42" s="2953"/>
      <c r="T42" s="2953"/>
      <c r="U42" s="2838"/>
      <c r="V42" s="2846"/>
    </row>
    <row r="43" spans="1:23" ht="13.15" customHeight="1">
      <c r="A43" s="2850"/>
      <c r="B43" s="2850"/>
      <c r="C43" s="2850"/>
      <c r="D43" s="2850"/>
      <c r="E43" s="2850"/>
      <c r="F43" s="2850"/>
      <c r="I43" s="2833"/>
      <c r="J43" s="37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2415</v>
      </c>
      <c r="L44" s="3001" t="s">
        <v>2416</v>
      </c>
      <c r="M44" s="2964"/>
      <c r="N44" s="3001" t="s">
        <v>2417</v>
      </c>
      <c r="O44" s="2964"/>
      <c r="P44" s="3001" t="s">
        <v>2418</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1654</v>
      </c>
      <c r="B1" s="1868"/>
      <c r="C1" s="1868"/>
      <c r="D1" s="1868"/>
      <c r="E1" s="1869"/>
      <c r="F1" s="2704"/>
      <c r="G1" s="1489"/>
      <c r="H1" s="1489"/>
      <c r="I1" s="1489"/>
      <c r="J1" s="1489"/>
      <c r="K1" s="1489"/>
      <c r="L1" s="1489"/>
      <c r="M1" s="1489"/>
      <c r="N1" s="1489"/>
      <c r="O1" s="1489"/>
      <c r="P1" s="1489"/>
      <c r="Q1" s="1489"/>
      <c r="R1" s="1489"/>
      <c r="S1" s="1489"/>
    </row>
    <row r="2" spans="1:22" ht="15.75">
      <c r="A2" s="1870" t="s">
        <v>1458</v>
      </c>
      <c r="B2" s="1871">
        <f ca="1">SUMIF(B6:B13,"&lt;&gt;#ref!",B6:B13)</f>
        <v>0</v>
      </c>
      <c r="C2" s="1872" t="s">
        <v>1647</v>
      </c>
      <c r="D2" s="1873" t="s">
        <v>1648</v>
      </c>
      <c r="E2" s="2604">
        <f>SUM(E6:E13)</f>
        <v>0</v>
      </c>
      <c r="F2" s="2704"/>
      <c r="G2" s="1489"/>
      <c r="H2" s="1489"/>
      <c r="I2" s="1489"/>
      <c r="J2" s="1489"/>
      <c r="K2" s="1489"/>
      <c r="L2" s="1489"/>
      <c r="M2" s="1489"/>
      <c r="N2" s="1489"/>
      <c r="O2" s="1489"/>
      <c r="P2" s="1489"/>
      <c r="Q2" s="1489"/>
      <c r="R2" s="1489"/>
      <c r="S2" s="1489"/>
    </row>
    <row r="3" spans="1:22" ht="15.75">
      <c r="A3" s="1870" t="s">
        <v>682</v>
      </c>
      <c r="B3" s="2598" t="e">
        <f ca="1">ROUND(B2*10000/E2,0)</f>
        <v>#DIV/0!</v>
      </c>
      <c r="C3" s="1872" t="s">
        <v>1655</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1649</v>
      </c>
      <c r="B5" s="3766" t="s">
        <v>1650</v>
      </c>
      <c r="C5" s="3767"/>
      <c r="D5" s="2705"/>
      <c r="E5" s="1874" t="s">
        <v>1651</v>
      </c>
      <c r="F5" s="1875" t="s">
        <v>1652</v>
      </c>
      <c r="G5" s="1489"/>
      <c r="H5" s="1489"/>
      <c r="I5" s="1489"/>
      <c r="J5" s="1489"/>
      <c r="K5" s="1489"/>
      <c r="L5" s="1489"/>
      <c r="M5" s="1489"/>
      <c r="N5" s="1489"/>
      <c r="O5" s="1489"/>
      <c r="P5" s="1489"/>
      <c r="Q5" s="1489"/>
      <c r="R5" s="1489"/>
      <c r="S5" s="1489"/>
    </row>
    <row r="6" spans="1:22">
      <c r="A6" s="2601">
        <f>'数据-取费表'!AN6</f>
        <v>0</v>
      </c>
      <c r="B6" s="2599" t="e">
        <f ca="1">IF(F6="是",'数据-取费表'!AO6,0)</f>
        <v>#REF!</v>
      </c>
      <c r="C6" s="1872" t="s">
        <v>1647</v>
      </c>
      <c r="D6" s="2706"/>
      <c r="E6" s="2603">
        <f>IF(OR(A6=0,F6="否"),0,'数据-取费表'!K6+'数据-取费表'!S6)</f>
        <v>0</v>
      </c>
      <c r="F6" s="1876" t="s">
        <v>1653</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1647</v>
      </c>
      <c r="D7" s="2706"/>
      <c r="E7" s="2603">
        <f>IF(OR(A7=0,F7="否"),0,'数据-取费表'!K7+'数据-取费表'!S7)</f>
        <v>0</v>
      </c>
      <c r="F7" s="1876" t="s">
        <v>1653</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1647</v>
      </c>
      <c r="D8" s="2706"/>
      <c r="E8" s="2603">
        <f>IF(OR(A8=0,F8="否"),0,'数据-取费表'!K8+'数据-取费表'!S8)</f>
        <v>0</v>
      </c>
      <c r="F8" s="1876" t="s">
        <v>1653</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1647</v>
      </c>
      <c r="D9" s="2706"/>
      <c r="E9" s="2603">
        <f>IF(OR(A9=0,F9="否"),0,'数据-取费表'!K9+'数据-取费表'!S9)</f>
        <v>0</v>
      </c>
      <c r="F9" s="1876" t="s">
        <v>1653</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1647</v>
      </c>
      <c r="D10" s="2706"/>
      <c r="E10" s="2603">
        <f>IF(OR(A10=0,F10="否"),0,'数据-取费表'!K10+'数据-取费表'!S10)</f>
        <v>0</v>
      </c>
      <c r="F10" s="1876" t="s">
        <v>1653</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1647</v>
      </c>
      <c r="D11" s="2706"/>
      <c r="E11" s="2603">
        <f>IF(OR(A11=0,F11="否"),0,'数据-取费表'!K11+'数据-取费表'!S11)</f>
        <v>0</v>
      </c>
      <c r="F11" s="1876" t="s">
        <v>1653</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1647</v>
      </c>
      <c r="D12" s="2706"/>
      <c r="E12" s="2603">
        <f>IF(OR(A12=0,F12="否"),0,'数据-取费表'!K12+'数据-取费表'!S12)</f>
        <v>0</v>
      </c>
      <c r="F12" s="1876" t="s">
        <v>1653</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1647</v>
      </c>
      <c r="D13" s="2707"/>
      <c r="E13" s="2603">
        <f>IF(OR(A13=0,F13="否"),0,'数据-取费表'!K13+'数据-取费表'!S13)</f>
        <v>0</v>
      </c>
      <c r="F13" s="1876" t="s">
        <v>1653</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C232-9A9D-47EB-9461-89E13E8C4CFB}">
  <sheetPr>
    <tabColor rgb="FFFF0000"/>
  </sheetPr>
  <dimension ref="A1:P49"/>
  <sheetViews>
    <sheetView tabSelected="1" view="pageBreakPreview" topLeftCell="C31" zoomScaleNormal="100" zoomScaleSheetLayoutView="100" workbookViewId="0">
      <selection activeCell="H44" sqref="H44"/>
    </sheetView>
  </sheetViews>
  <sheetFormatPr defaultRowHeight="13.5"/>
  <cols>
    <col min="1" max="1" width="6.375" style="3525" customWidth="1"/>
    <col min="2" max="2" width="19.375" style="3529" customWidth="1"/>
    <col min="3" max="3" width="6.25" style="3525" customWidth="1"/>
    <col min="4" max="4" width="6.375" style="3525" customWidth="1"/>
    <col min="5" max="5" width="7.375" style="3525" customWidth="1"/>
    <col min="6" max="6" width="3.5" style="3525" customWidth="1"/>
    <col min="7" max="7" width="19.375" style="3530" customWidth="1"/>
    <col min="8" max="8" width="19.5" style="3525" customWidth="1"/>
    <col min="9" max="9" width="8.625" style="3525" customWidth="1"/>
    <col min="10" max="10" width="10.5" style="3523" customWidth="1"/>
    <col min="11" max="11" width="4.875" style="3523" customWidth="1"/>
    <col min="12" max="12" width="16.375" style="3523" customWidth="1"/>
    <col min="13" max="16" width="8.125" style="3525" customWidth="1"/>
    <col min="17" max="256" width="9" style="3525"/>
    <col min="257" max="257" width="6.375" style="3525" customWidth="1"/>
    <col min="258" max="258" width="19.375" style="3525" customWidth="1"/>
    <col min="259" max="259" width="6.25" style="3525" customWidth="1"/>
    <col min="260" max="260" width="6.375" style="3525" customWidth="1"/>
    <col min="261" max="261" width="7.375" style="3525" customWidth="1"/>
    <col min="262" max="262" width="3.5" style="3525" customWidth="1"/>
    <col min="263" max="263" width="19.375" style="3525" customWidth="1"/>
    <col min="264" max="264" width="19.5" style="3525" customWidth="1"/>
    <col min="265" max="265" width="8.625" style="3525" customWidth="1"/>
    <col min="266" max="266" width="10.5" style="3525" customWidth="1"/>
    <col min="267" max="267" width="4.875" style="3525" customWidth="1"/>
    <col min="268" max="268" width="16.375" style="3525" customWidth="1"/>
    <col min="269" max="272" width="8.125" style="3525" customWidth="1"/>
    <col min="273" max="512" width="9" style="3525"/>
    <col min="513" max="513" width="6.375" style="3525" customWidth="1"/>
    <col min="514" max="514" width="19.375" style="3525" customWidth="1"/>
    <col min="515" max="515" width="6.25" style="3525" customWidth="1"/>
    <col min="516" max="516" width="6.375" style="3525" customWidth="1"/>
    <col min="517" max="517" width="7.375" style="3525" customWidth="1"/>
    <col min="518" max="518" width="3.5" style="3525" customWidth="1"/>
    <col min="519" max="519" width="19.375" style="3525" customWidth="1"/>
    <col min="520" max="520" width="19.5" style="3525" customWidth="1"/>
    <col min="521" max="521" width="8.625" style="3525" customWidth="1"/>
    <col min="522" max="522" width="10.5" style="3525" customWidth="1"/>
    <col min="523" max="523" width="4.875" style="3525" customWidth="1"/>
    <col min="524" max="524" width="16.375" style="3525" customWidth="1"/>
    <col min="525" max="528" width="8.125" style="3525" customWidth="1"/>
    <col min="529" max="768" width="9" style="3525"/>
    <col min="769" max="769" width="6.375" style="3525" customWidth="1"/>
    <col min="770" max="770" width="19.375" style="3525" customWidth="1"/>
    <col min="771" max="771" width="6.25" style="3525" customWidth="1"/>
    <col min="772" max="772" width="6.375" style="3525" customWidth="1"/>
    <col min="773" max="773" width="7.375" style="3525" customWidth="1"/>
    <col min="774" max="774" width="3.5" style="3525" customWidth="1"/>
    <col min="775" max="775" width="19.375" style="3525" customWidth="1"/>
    <col min="776" max="776" width="19.5" style="3525" customWidth="1"/>
    <col min="777" max="777" width="8.625" style="3525" customWidth="1"/>
    <col min="778" max="778" width="10.5" style="3525" customWidth="1"/>
    <col min="779" max="779" width="4.875" style="3525" customWidth="1"/>
    <col min="780" max="780" width="16.375" style="3525" customWidth="1"/>
    <col min="781" max="784" width="8.125" style="3525" customWidth="1"/>
    <col min="785" max="1024" width="9" style="3525"/>
    <col min="1025" max="1025" width="6.375" style="3525" customWidth="1"/>
    <col min="1026" max="1026" width="19.375" style="3525" customWidth="1"/>
    <col min="1027" max="1027" width="6.25" style="3525" customWidth="1"/>
    <col min="1028" max="1028" width="6.375" style="3525" customWidth="1"/>
    <col min="1029" max="1029" width="7.375" style="3525" customWidth="1"/>
    <col min="1030" max="1030" width="3.5" style="3525" customWidth="1"/>
    <col min="1031" max="1031" width="19.375" style="3525" customWidth="1"/>
    <col min="1032" max="1032" width="19.5" style="3525" customWidth="1"/>
    <col min="1033" max="1033" width="8.625" style="3525" customWidth="1"/>
    <col min="1034" max="1034" width="10.5" style="3525" customWidth="1"/>
    <col min="1035" max="1035" width="4.875" style="3525" customWidth="1"/>
    <col min="1036" max="1036" width="16.375" style="3525" customWidth="1"/>
    <col min="1037" max="1040" width="8.125" style="3525" customWidth="1"/>
    <col min="1041" max="1280" width="9" style="3525"/>
    <col min="1281" max="1281" width="6.375" style="3525" customWidth="1"/>
    <col min="1282" max="1282" width="19.375" style="3525" customWidth="1"/>
    <col min="1283" max="1283" width="6.25" style="3525" customWidth="1"/>
    <col min="1284" max="1284" width="6.375" style="3525" customWidth="1"/>
    <col min="1285" max="1285" width="7.375" style="3525" customWidth="1"/>
    <col min="1286" max="1286" width="3.5" style="3525" customWidth="1"/>
    <col min="1287" max="1287" width="19.375" style="3525" customWidth="1"/>
    <col min="1288" max="1288" width="19.5" style="3525" customWidth="1"/>
    <col min="1289" max="1289" width="8.625" style="3525" customWidth="1"/>
    <col min="1290" max="1290" width="10.5" style="3525" customWidth="1"/>
    <col min="1291" max="1291" width="4.875" style="3525" customWidth="1"/>
    <col min="1292" max="1292" width="16.375" style="3525" customWidth="1"/>
    <col min="1293" max="1296" width="8.125" style="3525" customWidth="1"/>
    <col min="1297" max="1536" width="9" style="3525"/>
    <col min="1537" max="1537" width="6.375" style="3525" customWidth="1"/>
    <col min="1538" max="1538" width="19.375" style="3525" customWidth="1"/>
    <col min="1539" max="1539" width="6.25" style="3525" customWidth="1"/>
    <col min="1540" max="1540" width="6.375" style="3525" customWidth="1"/>
    <col min="1541" max="1541" width="7.375" style="3525" customWidth="1"/>
    <col min="1542" max="1542" width="3.5" style="3525" customWidth="1"/>
    <col min="1543" max="1543" width="19.375" style="3525" customWidth="1"/>
    <col min="1544" max="1544" width="19.5" style="3525" customWidth="1"/>
    <col min="1545" max="1545" width="8.625" style="3525" customWidth="1"/>
    <col min="1546" max="1546" width="10.5" style="3525" customWidth="1"/>
    <col min="1547" max="1547" width="4.875" style="3525" customWidth="1"/>
    <col min="1548" max="1548" width="16.375" style="3525" customWidth="1"/>
    <col min="1549" max="1552" width="8.125" style="3525" customWidth="1"/>
    <col min="1553" max="1792" width="9" style="3525"/>
    <col min="1793" max="1793" width="6.375" style="3525" customWidth="1"/>
    <col min="1794" max="1794" width="19.375" style="3525" customWidth="1"/>
    <col min="1795" max="1795" width="6.25" style="3525" customWidth="1"/>
    <col min="1796" max="1796" width="6.375" style="3525" customWidth="1"/>
    <col min="1797" max="1797" width="7.375" style="3525" customWidth="1"/>
    <col min="1798" max="1798" width="3.5" style="3525" customWidth="1"/>
    <col min="1799" max="1799" width="19.375" style="3525" customWidth="1"/>
    <col min="1800" max="1800" width="19.5" style="3525" customWidth="1"/>
    <col min="1801" max="1801" width="8.625" style="3525" customWidth="1"/>
    <col min="1802" max="1802" width="10.5" style="3525" customWidth="1"/>
    <col min="1803" max="1803" width="4.875" style="3525" customWidth="1"/>
    <col min="1804" max="1804" width="16.375" style="3525" customWidth="1"/>
    <col min="1805" max="1808" width="8.125" style="3525" customWidth="1"/>
    <col min="1809" max="2048" width="9" style="3525"/>
    <col min="2049" max="2049" width="6.375" style="3525" customWidth="1"/>
    <col min="2050" max="2050" width="19.375" style="3525" customWidth="1"/>
    <col min="2051" max="2051" width="6.25" style="3525" customWidth="1"/>
    <col min="2052" max="2052" width="6.375" style="3525" customWidth="1"/>
    <col min="2053" max="2053" width="7.375" style="3525" customWidth="1"/>
    <col min="2054" max="2054" width="3.5" style="3525" customWidth="1"/>
    <col min="2055" max="2055" width="19.375" style="3525" customWidth="1"/>
    <col min="2056" max="2056" width="19.5" style="3525" customWidth="1"/>
    <col min="2057" max="2057" width="8.625" style="3525" customWidth="1"/>
    <col min="2058" max="2058" width="10.5" style="3525" customWidth="1"/>
    <col min="2059" max="2059" width="4.875" style="3525" customWidth="1"/>
    <col min="2060" max="2060" width="16.375" style="3525" customWidth="1"/>
    <col min="2061" max="2064" width="8.125" style="3525" customWidth="1"/>
    <col min="2065" max="2304" width="9" style="3525"/>
    <col min="2305" max="2305" width="6.375" style="3525" customWidth="1"/>
    <col min="2306" max="2306" width="19.375" style="3525" customWidth="1"/>
    <col min="2307" max="2307" width="6.25" style="3525" customWidth="1"/>
    <col min="2308" max="2308" width="6.375" style="3525" customWidth="1"/>
    <col min="2309" max="2309" width="7.375" style="3525" customWidth="1"/>
    <col min="2310" max="2310" width="3.5" style="3525" customWidth="1"/>
    <col min="2311" max="2311" width="19.375" style="3525" customWidth="1"/>
    <col min="2312" max="2312" width="19.5" style="3525" customWidth="1"/>
    <col min="2313" max="2313" width="8.625" style="3525" customWidth="1"/>
    <col min="2314" max="2314" width="10.5" style="3525" customWidth="1"/>
    <col min="2315" max="2315" width="4.875" style="3525" customWidth="1"/>
    <col min="2316" max="2316" width="16.375" style="3525" customWidth="1"/>
    <col min="2317" max="2320" width="8.125" style="3525" customWidth="1"/>
    <col min="2321" max="2560" width="9" style="3525"/>
    <col min="2561" max="2561" width="6.375" style="3525" customWidth="1"/>
    <col min="2562" max="2562" width="19.375" style="3525" customWidth="1"/>
    <col min="2563" max="2563" width="6.25" style="3525" customWidth="1"/>
    <col min="2564" max="2564" width="6.375" style="3525" customWidth="1"/>
    <col min="2565" max="2565" width="7.375" style="3525" customWidth="1"/>
    <col min="2566" max="2566" width="3.5" style="3525" customWidth="1"/>
    <col min="2567" max="2567" width="19.375" style="3525" customWidth="1"/>
    <col min="2568" max="2568" width="19.5" style="3525" customWidth="1"/>
    <col min="2569" max="2569" width="8.625" style="3525" customWidth="1"/>
    <col min="2570" max="2570" width="10.5" style="3525" customWidth="1"/>
    <col min="2571" max="2571" width="4.875" style="3525" customWidth="1"/>
    <col min="2572" max="2572" width="16.375" style="3525" customWidth="1"/>
    <col min="2573" max="2576" width="8.125" style="3525" customWidth="1"/>
    <col min="2577" max="2816" width="9" style="3525"/>
    <col min="2817" max="2817" width="6.375" style="3525" customWidth="1"/>
    <col min="2818" max="2818" width="19.375" style="3525" customWidth="1"/>
    <col min="2819" max="2819" width="6.25" style="3525" customWidth="1"/>
    <col min="2820" max="2820" width="6.375" style="3525" customWidth="1"/>
    <col min="2821" max="2821" width="7.375" style="3525" customWidth="1"/>
    <col min="2822" max="2822" width="3.5" style="3525" customWidth="1"/>
    <col min="2823" max="2823" width="19.375" style="3525" customWidth="1"/>
    <col min="2824" max="2824" width="19.5" style="3525" customWidth="1"/>
    <col min="2825" max="2825" width="8.625" style="3525" customWidth="1"/>
    <col min="2826" max="2826" width="10.5" style="3525" customWidth="1"/>
    <col min="2827" max="2827" width="4.875" style="3525" customWidth="1"/>
    <col min="2828" max="2828" width="16.375" style="3525" customWidth="1"/>
    <col min="2829" max="2832" width="8.125" style="3525" customWidth="1"/>
    <col min="2833" max="3072" width="9" style="3525"/>
    <col min="3073" max="3073" width="6.375" style="3525" customWidth="1"/>
    <col min="3074" max="3074" width="19.375" style="3525" customWidth="1"/>
    <col min="3075" max="3075" width="6.25" style="3525" customWidth="1"/>
    <col min="3076" max="3076" width="6.375" style="3525" customWidth="1"/>
    <col min="3077" max="3077" width="7.375" style="3525" customWidth="1"/>
    <col min="3078" max="3078" width="3.5" style="3525" customWidth="1"/>
    <col min="3079" max="3079" width="19.375" style="3525" customWidth="1"/>
    <col min="3080" max="3080" width="19.5" style="3525" customWidth="1"/>
    <col min="3081" max="3081" width="8.625" style="3525" customWidth="1"/>
    <col min="3082" max="3082" width="10.5" style="3525" customWidth="1"/>
    <col min="3083" max="3083" width="4.875" style="3525" customWidth="1"/>
    <col min="3084" max="3084" width="16.375" style="3525" customWidth="1"/>
    <col min="3085" max="3088" width="8.125" style="3525" customWidth="1"/>
    <col min="3089" max="3328" width="9" style="3525"/>
    <col min="3329" max="3329" width="6.375" style="3525" customWidth="1"/>
    <col min="3330" max="3330" width="19.375" style="3525" customWidth="1"/>
    <col min="3331" max="3331" width="6.25" style="3525" customWidth="1"/>
    <col min="3332" max="3332" width="6.375" style="3525" customWidth="1"/>
    <col min="3333" max="3333" width="7.375" style="3525" customWidth="1"/>
    <col min="3334" max="3334" width="3.5" style="3525" customWidth="1"/>
    <col min="3335" max="3335" width="19.375" style="3525" customWidth="1"/>
    <col min="3336" max="3336" width="19.5" style="3525" customWidth="1"/>
    <col min="3337" max="3337" width="8.625" style="3525" customWidth="1"/>
    <col min="3338" max="3338" width="10.5" style="3525" customWidth="1"/>
    <col min="3339" max="3339" width="4.875" style="3525" customWidth="1"/>
    <col min="3340" max="3340" width="16.375" style="3525" customWidth="1"/>
    <col min="3341" max="3344" width="8.125" style="3525" customWidth="1"/>
    <col min="3345" max="3584" width="9" style="3525"/>
    <col min="3585" max="3585" width="6.375" style="3525" customWidth="1"/>
    <col min="3586" max="3586" width="19.375" style="3525" customWidth="1"/>
    <col min="3587" max="3587" width="6.25" style="3525" customWidth="1"/>
    <col min="3588" max="3588" width="6.375" style="3525" customWidth="1"/>
    <col min="3589" max="3589" width="7.375" style="3525" customWidth="1"/>
    <col min="3590" max="3590" width="3.5" style="3525" customWidth="1"/>
    <col min="3591" max="3591" width="19.375" style="3525" customWidth="1"/>
    <col min="3592" max="3592" width="19.5" style="3525" customWidth="1"/>
    <col min="3593" max="3593" width="8.625" style="3525" customWidth="1"/>
    <col min="3594" max="3594" width="10.5" style="3525" customWidth="1"/>
    <col min="3595" max="3595" width="4.875" style="3525" customWidth="1"/>
    <col min="3596" max="3596" width="16.375" style="3525" customWidth="1"/>
    <col min="3597" max="3600" width="8.125" style="3525" customWidth="1"/>
    <col min="3601" max="3840" width="9" style="3525"/>
    <col min="3841" max="3841" width="6.375" style="3525" customWidth="1"/>
    <col min="3842" max="3842" width="19.375" style="3525" customWidth="1"/>
    <col min="3843" max="3843" width="6.25" style="3525" customWidth="1"/>
    <col min="3844" max="3844" width="6.375" style="3525" customWidth="1"/>
    <col min="3845" max="3845" width="7.375" style="3525" customWidth="1"/>
    <col min="3846" max="3846" width="3.5" style="3525" customWidth="1"/>
    <col min="3847" max="3847" width="19.375" style="3525" customWidth="1"/>
    <col min="3848" max="3848" width="19.5" style="3525" customWidth="1"/>
    <col min="3849" max="3849" width="8.625" style="3525" customWidth="1"/>
    <col min="3850" max="3850" width="10.5" style="3525" customWidth="1"/>
    <col min="3851" max="3851" width="4.875" style="3525" customWidth="1"/>
    <col min="3852" max="3852" width="16.375" style="3525" customWidth="1"/>
    <col min="3853" max="3856" width="8.125" style="3525" customWidth="1"/>
    <col min="3857" max="4096" width="9" style="3525"/>
    <col min="4097" max="4097" width="6.375" style="3525" customWidth="1"/>
    <col min="4098" max="4098" width="19.375" style="3525" customWidth="1"/>
    <col min="4099" max="4099" width="6.25" style="3525" customWidth="1"/>
    <col min="4100" max="4100" width="6.375" style="3525" customWidth="1"/>
    <col min="4101" max="4101" width="7.375" style="3525" customWidth="1"/>
    <col min="4102" max="4102" width="3.5" style="3525" customWidth="1"/>
    <col min="4103" max="4103" width="19.375" style="3525" customWidth="1"/>
    <col min="4104" max="4104" width="19.5" style="3525" customWidth="1"/>
    <col min="4105" max="4105" width="8.625" style="3525" customWidth="1"/>
    <col min="4106" max="4106" width="10.5" style="3525" customWidth="1"/>
    <col min="4107" max="4107" width="4.875" style="3525" customWidth="1"/>
    <col min="4108" max="4108" width="16.375" style="3525" customWidth="1"/>
    <col min="4109" max="4112" width="8.125" style="3525" customWidth="1"/>
    <col min="4113" max="4352" width="9" style="3525"/>
    <col min="4353" max="4353" width="6.375" style="3525" customWidth="1"/>
    <col min="4354" max="4354" width="19.375" style="3525" customWidth="1"/>
    <col min="4355" max="4355" width="6.25" style="3525" customWidth="1"/>
    <col min="4356" max="4356" width="6.375" style="3525" customWidth="1"/>
    <col min="4357" max="4357" width="7.375" style="3525" customWidth="1"/>
    <col min="4358" max="4358" width="3.5" style="3525" customWidth="1"/>
    <col min="4359" max="4359" width="19.375" style="3525" customWidth="1"/>
    <col min="4360" max="4360" width="19.5" style="3525" customWidth="1"/>
    <col min="4361" max="4361" width="8.625" style="3525" customWidth="1"/>
    <col min="4362" max="4362" width="10.5" style="3525" customWidth="1"/>
    <col min="4363" max="4363" width="4.875" style="3525" customWidth="1"/>
    <col min="4364" max="4364" width="16.375" style="3525" customWidth="1"/>
    <col min="4365" max="4368" width="8.125" style="3525" customWidth="1"/>
    <col min="4369" max="4608" width="9" style="3525"/>
    <col min="4609" max="4609" width="6.375" style="3525" customWidth="1"/>
    <col min="4610" max="4610" width="19.375" style="3525" customWidth="1"/>
    <col min="4611" max="4611" width="6.25" style="3525" customWidth="1"/>
    <col min="4612" max="4612" width="6.375" style="3525" customWidth="1"/>
    <col min="4613" max="4613" width="7.375" style="3525" customWidth="1"/>
    <col min="4614" max="4614" width="3.5" style="3525" customWidth="1"/>
    <col min="4615" max="4615" width="19.375" style="3525" customWidth="1"/>
    <col min="4616" max="4616" width="19.5" style="3525" customWidth="1"/>
    <col min="4617" max="4617" width="8.625" style="3525" customWidth="1"/>
    <col min="4618" max="4618" width="10.5" style="3525" customWidth="1"/>
    <col min="4619" max="4619" width="4.875" style="3525" customWidth="1"/>
    <col min="4620" max="4620" width="16.375" style="3525" customWidth="1"/>
    <col min="4621" max="4624" width="8.125" style="3525" customWidth="1"/>
    <col min="4625" max="4864" width="9" style="3525"/>
    <col min="4865" max="4865" width="6.375" style="3525" customWidth="1"/>
    <col min="4866" max="4866" width="19.375" style="3525" customWidth="1"/>
    <col min="4867" max="4867" width="6.25" style="3525" customWidth="1"/>
    <col min="4868" max="4868" width="6.375" style="3525" customWidth="1"/>
    <col min="4869" max="4869" width="7.375" style="3525" customWidth="1"/>
    <col min="4870" max="4870" width="3.5" style="3525" customWidth="1"/>
    <col min="4871" max="4871" width="19.375" style="3525" customWidth="1"/>
    <col min="4872" max="4872" width="19.5" style="3525" customWidth="1"/>
    <col min="4873" max="4873" width="8.625" style="3525" customWidth="1"/>
    <col min="4874" max="4874" width="10.5" style="3525" customWidth="1"/>
    <col min="4875" max="4875" width="4.875" style="3525" customWidth="1"/>
    <col min="4876" max="4876" width="16.375" style="3525" customWidth="1"/>
    <col min="4877" max="4880" width="8.125" style="3525" customWidth="1"/>
    <col min="4881" max="5120" width="9" style="3525"/>
    <col min="5121" max="5121" width="6.375" style="3525" customWidth="1"/>
    <col min="5122" max="5122" width="19.375" style="3525" customWidth="1"/>
    <col min="5123" max="5123" width="6.25" style="3525" customWidth="1"/>
    <col min="5124" max="5124" width="6.375" style="3525" customWidth="1"/>
    <col min="5125" max="5125" width="7.375" style="3525" customWidth="1"/>
    <col min="5126" max="5126" width="3.5" style="3525" customWidth="1"/>
    <col min="5127" max="5127" width="19.375" style="3525" customWidth="1"/>
    <col min="5128" max="5128" width="19.5" style="3525" customWidth="1"/>
    <col min="5129" max="5129" width="8.625" style="3525" customWidth="1"/>
    <col min="5130" max="5130" width="10.5" style="3525" customWidth="1"/>
    <col min="5131" max="5131" width="4.875" style="3525" customWidth="1"/>
    <col min="5132" max="5132" width="16.375" style="3525" customWidth="1"/>
    <col min="5133" max="5136" width="8.125" style="3525" customWidth="1"/>
    <col min="5137" max="5376" width="9" style="3525"/>
    <col min="5377" max="5377" width="6.375" style="3525" customWidth="1"/>
    <col min="5378" max="5378" width="19.375" style="3525" customWidth="1"/>
    <col min="5379" max="5379" width="6.25" style="3525" customWidth="1"/>
    <col min="5380" max="5380" width="6.375" style="3525" customWidth="1"/>
    <col min="5381" max="5381" width="7.375" style="3525" customWidth="1"/>
    <col min="5382" max="5382" width="3.5" style="3525" customWidth="1"/>
    <col min="5383" max="5383" width="19.375" style="3525" customWidth="1"/>
    <col min="5384" max="5384" width="19.5" style="3525" customWidth="1"/>
    <col min="5385" max="5385" width="8.625" style="3525" customWidth="1"/>
    <col min="5386" max="5386" width="10.5" style="3525" customWidth="1"/>
    <col min="5387" max="5387" width="4.875" style="3525" customWidth="1"/>
    <col min="5388" max="5388" width="16.375" style="3525" customWidth="1"/>
    <col min="5389" max="5392" width="8.125" style="3525" customWidth="1"/>
    <col min="5393" max="5632" width="9" style="3525"/>
    <col min="5633" max="5633" width="6.375" style="3525" customWidth="1"/>
    <col min="5634" max="5634" width="19.375" style="3525" customWidth="1"/>
    <col min="5635" max="5635" width="6.25" style="3525" customWidth="1"/>
    <col min="5636" max="5636" width="6.375" style="3525" customWidth="1"/>
    <col min="5637" max="5637" width="7.375" style="3525" customWidth="1"/>
    <col min="5638" max="5638" width="3.5" style="3525" customWidth="1"/>
    <col min="5639" max="5639" width="19.375" style="3525" customWidth="1"/>
    <col min="5640" max="5640" width="19.5" style="3525" customWidth="1"/>
    <col min="5641" max="5641" width="8.625" style="3525" customWidth="1"/>
    <col min="5642" max="5642" width="10.5" style="3525" customWidth="1"/>
    <col min="5643" max="5643" width="4.875" style="3525" customWidth="1"/>
    <col min="5644" max="5644" width="16.375" style="3525" customWidth="1"/>
    <col min="5645" max="5648" width="8.125" style="3525" customWidth="1"/>
    <col min="5649" max="5888" width="9" style="3525"/>
    <col min="5889" max="5889" width="6.375" style="3525" customWidth="1"/>
    <col min="5890" max="5890" width="19.375" style="3525" customWidth="1"/>
    <col min="5891" max="5891" width="6.25" style="3525" customWidth="1"/>
    <col min="5892" max="5892" width="6.375" style="3525" customWidth="1"/>
    <col min="5893" max="5893" width="7.375" style="3525" customWidth="1"/>
    <col min="5894" max="5894" width="3.5" style="3525" customWidth="1"/>
    <col min="5895" max="5895" width="19.375" style="3525" customWidth="1"/>
    <col min="5896" max="5896" width="19.5" style="3525" customWidth="1"/>
    <col min="5897" max="5897" width="8.625" style="3525" customWidth="1"/>
    <col min="5898" max="5898" width="10.5" style="3525" customWidth="1"/>
    <col min="5899" max="5899" width="4.875" style="3525" customWidth="1"/>
    <col min="5900" max="5900" width="16.375" style="3525" customWidth="1"/>
    <col min="5901" max="5904" width="8.125" style="3525" customWidth="1"/>
    <col min="5905" max="6144" width="9" style="3525"/>
    <col min="6145" max="6145" width="6.375" style="3525" customWidth="1"/>
    <col min="6146" max="6146" width="19.375" style="3525" customWidth="1"/>
    <col min="6147" max="6147" width="6.25" style="3525" customWidth="1"/>
    <col min="6148" max="6148" width="6.375" style="3525" customWidth="1"/>
    <col min="6149" max="6149" width="7.375" style="3525" customWidth="1"/>
    <col min="6150" max="6150" width="3.5" style="3525" customWidth="1"/>
    <col min="6151" max="6151" width="19.375" style="3525" customWidth="1"/>
    <col min="6152" max="6152" width="19.5" style="3525" customWidth="1"/>
    <col min="6153" max="6153" width="8.625" style="3525" customWidth="1"/>
    <col min="6154" max="6154" width="10.5" style="3525" customWidth="1"/>
    <col min="6155" max="6155" width="4.875" style="3525" customWidth="1"/>
    <col min="6156" max="6156" width="16.375" style="3525" customWidth="1"/>
    <col min="6157" max="6160" width="8.125" style="3525" customWidth="1"/>
    <col min="6161" max="6400" width="9" style="3525"/>
    <col min="6401" max="6401" width="6.375" style="3525" customWidth="1"/>
    <col min="6402" max="6402" width="19.375" style="3525" customWidth="1"/>
    <col min="6403" max="6403" width="6.25" style="3525" customWidth="1"/>
    <col min="6404" max="6404" width="6.375" style="3525" customWidth="1"/>
    <col min="6405" max="6405" width="7.375" style="3525" customWidth="1"/>
    <col min="6406" max="6406" width="3.5" style="3525" customWidth="1"/>
    <col min="6407" max="6407" width="19.375" style="3525" customWidth="1"/>
    <col min="6408" max="6408" width="19.5" style="3525" customWidth="1"/>
    <col min="6409" max="6409" width="8.625" style="3525" customWidth="1"/>
    <col min="6410" max="6410" width="10.5" style="3525" customWidth="1"/>
    <col min="6411" max="6411" width="4.875" style="3525" customWidth="1"/>
    <col min="6412" max="6412" width="16.375" style="3525" customWidth="1"/>
    <col min="6413" max="6416" width="8.125" style="3525" customWidth="1"/>
    <col min="6417" max="6656" width="9" style="3525"/>
    <col min="6657" max="6657" width="6.375" style="3525" customWidth="1"/>
    <col min="6658" max="6658" width="19.375" style="3525" customWidth="1"/>
    <col min="6659" max="6659" width="6.25" style="3525" customWidth="1"/>
    <col min="6660" max="6660" width="6.375" style="3525" customWidth="1"/>
    <col min="6661" max="6661" width="7.375" style="3525" customWidth="1"/>
    <col min="6662" max="6662" width="3.5" style="3525" customWidth="1"/>
    <col min="6663" max="6663" width="19.375" style="3525" customWidth="1"/>
    <col min="6664" max="6664" width="19.5" style="3525" customWidth="1"/>
    <col min="6665" max="6665" width="8.625" style="3525" customWidth="1"/>
    <col min="6666" max="6666" width="10.5" style="3525" customWidth="1"/>
    <col min="6667" max="6667" width="4.875" style="3525" customWidth="1"/>
    <col min="6668" max="6668" width="16.375" style="3525" customWidth="1"/>
    <col min="6669" max="6672" width="8.125" style="3525" customWidth="1"/>
    <col min="6673" max="6912" width="9" style="3525"/>
    <col min="6913" max="6913" width="6.375" style="3525" customWidth="1"/>
    <col min="6914" max="6914" width="19.375" style="3525" customWidth="1"/>
    <col min="6915" max="6915" width="6.25" style="3525" customWidth="1"/>
    <col min="6916" max="6916" width="6.375" style="3525" customWidth="1"/>
    <col min="6917" max="6917" width="7.375" style="3525" customWidth="1"/>
    <col min="6918" max="6918" width="3.5" style="3525" customWidth="1"/>
    <col min="6919" max="6919" width="19.375" style="3525" customWidth="1"/>
    <col min="6920" max="6920" width="19.5" style="3525" customWidth="1"/>
    <col min="6921" max="6921" width="8.625" style="3525" customWidth="1"/>
    <col min="6922" max="6922" width="10.5" style="3525" customWidth="1"/>
    <col min="6923" max="6923" width="4.875" style="3525" customWidth="1"/>
    <col min="6924" max="6924" width="16.375" style="3525" customWidth="1"/>
    <col min="6925" max="6928" width="8.125" style="3525" customWidth="1"/>
    <col min="6929" max="7168" width="9" style="3525"/>
    <col min="7169" max="7169" width="6.375" style="3525" customWidth="1"/>
    <col min="7170" max="7170" width="19.375" style="3525" customWidth="1"/>
    <col min="7171" max="7171" width="6.25" style="3525" customWidth="1"/>
    <col min="7172" max="7172" width="6.375" style="3525" customWidth="1"/>
    <col min="7173" max="7173" width="7.375" style="3525" customWidth="1"/>
    <col min="7174" max="7174" width="3.5" style="3525" customWidth="1"/>
    <col min="7175" max="7175" width="19.375" style="3525" customWidth="1"/>
    <col min="7176" max="7176" width="19.5" style="3525" customWidth="1"/>
    <col min="7177" max="7177" width="8.625" style="3525" customWidth="1"/>
    <col min="7178" max="7178" width="10.5" style="3525" customWidth="1"/>
    <col min="7179" max="7179" width="4.875" style="3525" customWidth="1"/>
    <col min="7180" max="7180" width="16.375" style="3525" customWidth="1"/>
    <col min="7181" max="7184" width="8.125" style="3525" customWidth="1"/>
    <col min="7185" max="7424" width="9" style="3525"/>
    <col min="7425" max="7425" width="6.375" style="3525" customWidth="1"/>
    <col min="7426" max="7426" width="19.375" style="3525" customWidth="1"/>
    <col min="7427" max="7427" width="6.25" style="3525" customWidth="1"/>
    <col min="7428" max="7428" width="6.375" style="3525" customWidth="1"/>
    <col min="7429" max="7429" width="7.375" style="3525" customWidth="1"/>
    <col min="7430" max="7430" width="3.5" style="3525" customWidth="1"/>
    <col min="7431" max="7431" width="19.375" style="3525" customWidth="1"/>
    <col min="7432" max="7432" width="19.5" style="3525" customWidth="1"/>
    <col min="7433" max="7433" width="8.625" style="3525" customWidth="1"/>
    <col min="7434" max="7434" width="10.5" style="3525" customWidth="1"/>
    <col min="7435" max="7435" width="4.875" style="3525" customWidth="1"/>
    <col min="7436" max="7436" width="16.375" style="3525" customWidth="1"/>
    <col min="7437" max="7440" width="8.125" style="3525" customWidth="1"/>
    <col min="7441" max="7680" width="9" style="3525"/>
    <col min="7681" max="7681" width="6.375" style="3525" customWidth="1"/>
    <col min="7682" max="7682" width="19.375" style="3525" customWidth="1"/>
    <col min="7683" max="7683" width="6.25" style="3525" customWidth="1"/>
    <col min="7684" max="7684" width="6.375" style="3525" customWidth="1"/>
    <col min="7685" max="7685" width="7.375" style="3525" customWidth="1"/>
    <col min="7686" max="7686" width="3.5" style="3525" customWidth="1"/>
    <col min="7687" max="7687" width="19.375" style="3525" customWidth="1"/>
    <col min="7688" max="7688" width="19.5" style="3525" customWidth="1"/>
    <col min="7689" max="7689" width="8.625" style="3525" customWidth="1"/>
    <col min="7690" max="7690" width="10.5" style="3525" customWidth="1"/>
    <col min="7691" max="7691" width="4.875" style="3525" customWidth="1"/>
    <col min="7692" max="7692" width="16.375" style="3525" customWidth="1"/>
    <col min="7693" max="7696" width="8.125" style="3525" customWidth="1"/>
    <col min="7697" max="7936" width="9" style="3525"/>
    <col min="7937" max="7937" width="6.375" style="3525" customWidth="1"/>
    <col min="7938" max="7938" width="19.375" style="3525" customWidth="1"/>
    <col min="7939" max="7939" width="6.25" style="3525" customWidth="1"/>
    <col min="7940" max="7940" width="6.375" style="3525" customWidth="1"/>
    <col min="7941" max="7941" width="7.375" style="3525" customWidth="1"/>
    <col min="7942" max="7942" width="3.5" style="3525" customWidth="1"/>
    <col min="7943" max="7943" width="19.375" style="3525" customWidth="1"/>
    <col min="7944" max="7944" width="19.5" style="3525" customWidth="1"/>
    <col min="7945" max="7945" width="8.625" style="3525" customWidth="1"/>
    <col min="7946" max="7946" width="10.5" style="3525" customWidth="1"/>
    <col min="7947" max="7947" width="4.875" style="3525" customWidth="1"/>
    <col min="7948" max="7948" width="16.375" style="3525" customWidth="1"/>
    <col min="7949" max="7952" width="8.125" style="3525" customWidth="1"/>
    <col min="7953" max="8192" width="9" style="3525"/>
    <col min="8193" max="8193" width="6.375" style="3525" customWidth="1"/>
    <col min="8194" max="8194" width="19.375" style="3525" customWidth="1"/>
    <col min="8195" max="8195" width="6.25" style="3525" customWidth="1"/>
    <col min="8196" max="8196" width="6.375" style="3525" customWidth="1"/>
    <col min="8197" max="8197" width="7.375" style="3525" customWidth="1"/>
    <col min="8198" max="8198" width="3.5" style="3525" customWidth="1"/>
    <col min="8199" max="8199" width="19.375" style="3525" customWidth="1"/>
    <col min="8200" max="8200" width="19.5" style="3525" customWidth="1"/>
    <col min="8201" max="8201" width="8.625" style="3525" customWidth="1"/>
    <col min="8202" max="8202" width="10.5" style="3525" customWidth="1"/>
    <col min="8203" max="8203" width="4.875" style="3525" customWidth="1"/>
    <col min="8204" max="8204" width="16.375" style="3525" customWidth="1"/>
    <col min="8205" max="8208" width="8.125" style="3525" customWidth="1"/>
    <col min="8209" max="8448" width="9" style="3525"/>
    <col min="8449" max="8449" width="6.375" style="3525" customWidth="1"/>
    <col min="8450" max="8450" width="19.375" style="3525" customWidth="1"/>
    <col min="8451" max="8451" width="6.25" style="3525" customWidth="1"/>
    <col min="8452" max="8452" width="6.375" style="3525" customWidth="1"/>
    <col min="8453" max="8453" width="7.375" style="3525" customWidth="1"/>
    <col min="8454" max="8454" width="3.5" style="3525" customWidth="1"/>
    <col min="8455" max="8455" width="19.375" style="3525" customWidth="1"/>
    <col min="8456" max="8456" width="19.5" style="3525" customWidth="1"/>
    <col min="8457" max="8457" width="8.625" style="3525" customWidth="1"/>
    <col min="8458" max="8458" width="10.5" style="3525" customWidth="1"/>
    <col min="8459" max="8459" width="4.875" style="3525" customWidth="1"/>
    <col min="8460" max="8460" width="16.375" style="3525" customWidth="1"/>
    <col min="8461" max="8464" width="8.125" style="3525" customWidth="1"/>
    <col min="8465" max="8704" width="9" style="3525"/>
    <col min="8705" max="8705" width="6.375" style="3525" customWidth="1"/>
    <col min="8706" max="8706" width="19.375" style="3525" customWidth="1"/>
    <col min="8707" max="8707" width="6.25" style="3525" customWidth="1"/>
    <col min="8708" max="8708" width="6.375" style="3525" customWidth="1"/>
    <col min="8709" max="8709" width="7.375" style="3525" customWidth="1"/>
    <col min="8710" max="8710" width="3.5" style="3525" customWidth="1"/>
    <col min="8711" max="8711" width="19.375" style="3525" customWidth="1"/>
    <col min="8712" max="8712" width="19.5" style="3525" customWidth="1"/>
    <col min="8713" max="8713" width="8.625" style="3525" customWidth="1"/>
    <col min="8714" max="8714" width="10.5" style="3525" customWidth="1"/>
    <col min="8715" max="8715" width="4.875" style="3525" customWidth="1"/>
    <col min="8716" max="8716" width="16.375" style="3525" customWidth="1"/>
    <col min="8717" max="8720" width="8.125" style="3525" customWidth="1"/>
    <col min="8721" max="8960" width="9" style="3525"/>
    <col min="8961" max="8961" width="6.375" style="3525" customWidth="1"/>
    <col min="8962" max="8962" width="19.375" style="3525" customWidth="1"/>
    <col min="8963" max="8963" width="6.25" style="3525" customWidth="1"/>
    <col min="8964" max="8964" width="6.375" style="3525" customWidth="1"/>
    <col min="8965" max="8965" width="7.375" style="3525" customWidth="1"/>
    <col min="8966" max="8966" width="3.5" style="3525" customWidth="1"/>
    <col min="8967" max="8967" width="19.375" style="3525" customWidth="1"/>
    <col min="8968" max="8968" width="19.5" style="3525" customWidth="1"/>
    <col min="8969" max="8969" width="8.625" style="3525" customWidth="1"/>
    <col min="8970" max="8970" width="10.5" style="3525" customWidth="1"/>
    <col min="8971" max="8971" width="4.875" style="3525" customWidth="1"/>
    <col min="8972" max="8972" width="16.375" style="3525" customWidth="1"/>
    <col min="8973" max="8976" width="8.125" style="3525" customWidth="1"/>
    <col min="8977" max="9216" width="9" style="3525"/>
    <col min="9217" max="9217" width="6.375" style="3525" customWidth="1"/>
    <col min="9218" max="9218" width="19.375" style="3525" customWidth="1"/>
    <col min="9219" max="9219" width="6.25" style="3525" customWidth="1"/>
    <col min="9220" max="9220" width="6.375" style="3525" customWidth="1"/>
    <col min="9221" max="9221" width="7.375" style="3525" customWidth="1"/>
    <col min="9222" max="9222" width="3.5" style="3525" customWidth="1"/>
    <col min="9223" max="9223" width="19.375" style="3525" customWidth="1"/>
    <col min="9224" max="9224" width="19.5" style="3525" customWidth="1"/>
    <col min="9225" max="9225" width="8.625" style="3525" customWidth="1"/>
    <col min="9226" max="9226" width="10.5" style="3525" customWidth="1"/>
    <col min="9227" max="9227" width="4.875" style="3525" customWidth="1"/>
    <col min="9228" max="9228" width="16.375" style="3525" customWidth="1"/>
    <col min="9229" max="9232" width="8.125" style="3525" customWidth="1"/>
    <col min="9233" max="9472" width="9" style="3525"/>
    <col min="9473" max="9473" width="6.375" style="3525" customWidth="1"/>
    <col min="9474" max="9474" width="19.375" style="3525" customWidth="1"/>
    <col min="9475" max="9475" width="6.25" style="3525" customWidth="1"/>
    <col min="9476" max="9476" width="6.375" style="3525" customWidth="1"/>
    <col min="9477" max="9477" width="7.375" style="3525" customWidth="1"/>
    <col min="9478" max="9478" width="3.5" style="3525" customWidth="1"/>
    <col min="9479" max="9479" width="19.375" style="3525" customWidth="1"/>
    <col min="9480" max="9480" width="19.5" style="3525" customWidth="1"/>
    <col min="9481" max="9481" width="8.625" style="3525" customWidth="1"/>
    <col min="9482" max="9482" width="10.5" style="3525" customWidth="1"/>
    <col min="9483" max="9483" width="4.875" style="3525" customWidth="1"/>
    <col min="9484" max="9484" width="16.375" style="3525" customWidth="1"/>
    <col min="9485" max="9488" width="8.125" style="3525" customWidth="1"/>
    <col min="9489" max="9728" width="9" style="3525"/>
    <col min="9729" max="9729" width="6.375" style="3525" customWidth="1"/>
    <col min="9730" max="9730" width="19.375" style="3525" customWidth="1"/>
    <col min="9731" max="9731" width="6.25" style="3525" customWidth="1"/>
    <col min="9732" max="9732" width="6.375" style="3525" customWidth="1"/>
    <col min="9733" max="9733" width="7.375" style="3525" customWidth="1"/>
    <col min="9734" max="9734" width="3.5" style="3525" customWidth="1"/>
    <col min="9735" max="9735" width="19.375" style="3525" customWidth="1"/>
    <col min="9736" max="9736" width="19.5" style="3525" customWidth="1"/>
    <col min="9737" max="9737" width="8.625" style="3525" customWidth="1"/>
    <col min="9738" max="9738" width="10.5" style="3525" customWidth="1"/>
    <col min="9739" max="9739" width="4.875" style="3525" customWidth="1"/>
    <col min="9740" max="9740" width="16.375" style="3525" customWidth="1"/>
    <col min="9741" max="9744" width="8.125" style="3525" customWidth="1"/>
    <col min="9745" max="9984" width="9" style="3525"/>
    <col min="9985" max="9985" width="6.375" style="3525" customWidth="1"/>
    <col min="9986" max="9986" width="19.375" style="3525" customWidth="1"/>
    <col min="9987" max="9987" width="6.25" style="3525" customWidth="1"/>
    <col min="9988" max="9988" width="6.375" style="3525" customWidth="1"/>
    <col min="9989" max="9989" width="7.375" style="3525" customWidth="1"/>
    <col min="9990" max="9990" width="3.5" style="3525" customWidth="1"/>
    <col min="9991" max="9991" width="19.375" style="3525" customWidth="1"/>
    <col min="9992" max="9992" width="19.5" style="3525" customWidth="1"/>
    <col min="9993" max="9993" width="8.625" style="3525" customWidth="1"/>
    <col min="9994" max="9994" width="10.5" style="3525" customWidth="1"/>
    <col min="9995" max="9995" width="4.875" style="3525" customWidth="1"/>
    <col min="9996" max="9996" width="16.375" style="3525" customWidth="1"/>
    <col min="9997" max="10000" width="8.125" style="3525" customWidth="1"/>
    <col min="10001" max="10240" width="9" style="3525"/>
    <col min="10241" max="10241" width="6.375" style="3525" customWidth="1"/>
    <col min="10242" max="10242" width="19.375" style="3525" customWidth="1"/>
    <col min="10243" max="10243" width="6.25" style="3525" customWidth="1"/>
    <col min="10244" max="10244" width="6.375" style="3525" customWidth="1"/>
    <col min="10245" max="10245" width="7.375" style="3525" customWidth="1"/>
    <col min="10246" max="10246" width="3.5" style="3525" customWidth="1"/>
    <col min="10247" max="10247" width="19.375" style="3525" customWidth="1"/>
    <col min="10248" max="10248" width="19.5" style="3525" customWidth="1"/>
    <col min="10249" max="10249" width="8.625" style="3525" customWidth="1"/>
    <col min="10250" max="10250" width="10.5" style="3525" customWidth="1"/>
    <col min="10251" max="10251" width="4.875" style="3525" customWidth="1"/>
    <col min="10252" max="10252" width="16.375" style="3525" customWidth="1"/>
    <col min="10253" max="10256" width="8.125" style="3525" customWidth="1"/>
    <col min="10257" max="10496" width="9" style="3525"/>
    <col min="10497" max="10497" width="6.375" style="3525" customWidth="1"/>
    <col min="10498" max="10498" width="19.375" style="3525" customWidth="1"/>
    <col min="10499" max="10499" width="6.25" style="3525" customWidth="1"/>
    <col min="10500" max="10500" width="6.375" style="3525" customWidth="1"/>
    <col min="10501" max="10501" width="7.375" style="3525" customWidth="1"/>
    <col min="10502" max="10502" width="3.5" style="3525" customWidth="1"/>
    <col min="10503" max="10503" width="19.375" style="3525" customWidth="1"/>
    <col min="10504" max="10504" width="19.5" style="3525" customWidth="1"/>
    <col min="10505" max="10505" width="8.625" style="3525" customWidth="1"/>
    <col min="10506" max="10506" width="10.5" style="3525" customWidth="1"/>
    <col min="10507" max="10507" width="4.875" style="3525" customWidth="1"/>
    <col min="10508" max="10508" width="16.375" style="3525" customWidth="1"/>
    <col min="10509" max="10512" width="8.125" style="3525" customWidth="1"/>
    <col min="10513" max="10752" width="9" style="3525"/>
    <col min="10753" max="10753" width="6.375" style="3525" customWidth="1"/>
    <col min="10754" max="10754" width="19.375" style="3525" customWidth="1"/>
    <col min="10755" max="10755" width="6.25" style="3525" customWidth="1"/>
    <col min="10756" max="10756" width="6.375" style="3525" customWidth="1"/>
    <col min="10757" max="10757" width="7.375" style="3525" customWidth="1"/>
    <col min="10758" max="10758" width="3.5" style="3525" customWidth="1"/>
    <col min="10759" max="10759" width="19.375" style="3525" customWidth="1"/>
    <col min="10760" max="10760" width="19.5" style="3525" customWidth="1"/>
    <col min="10761" max="10761" width="8.625" style="3525" customWidth="1"/>
    <col min="10762" max="10762" width="10.5" style="3525" customWidth="1"/>
    <col min="10763" max="10763" width="4.875" style="3525" customWidth="1"/>
    <col min="10764" max="10764" width="16.375" style="3525" customWidth="1"/>
    <col min="10765" max="10768" width="8.125" style="3525" customWidth="1"/>
    <col min="10769" max="11008" width="9" style="3525"/>
    <col min="11009" max="11009" width="6.375" style="3525" customWidth="1"/>
    <col min="11010" max="11010" width="19.375" style="3525" customWidth="1"/>
    <col min="11011" max="11011" width="6.25" style="3525" customWidth="1"/>
    <col min="11012" max="11012" width="6.375" style="3525" customWidth="1"/>
    <col min="11013" max="11013" width="7.375" style="3525" customWidth="1"/>
    <col min="11014" max="11014" width="3.5" style="3525" customWidth="1"/>
    <col min="11015" max="11015" width="19.375" style="3525" customWidth="1"/>
    <col min="11016" max="11016" width="19.5" style="3525" customWidth="1"/>
    <col min="11017" max="11017" width="8.625" style="3525" customWidth="1"/>
    <col min="11018" max="11018" width="10.5" style="3525" customWidth="1"/>
    <col min="11019" max="11019" width="4.875" style="3525" customWidth="1"/>
    <col min="11020" max="11020" width="16.375" style="3525" customWidth="1"/>
    <col min="11021" max="11024" width="8.125" style="3525" customWidth="1"/>
    <col min="11025" max="11264" width="9" style="3525"/>
    <col min="11265" max="11265" width="6.375" style="3525" customWidth="1"/>
    <col min="11266" max="11266" width="19.375" style="3525" customWidth="1"/>
    <col min="11267" max="11267" width="6.25" style="3525" customWidth="1"/>
    <col min="11268" max="11268" width="6.375" style="3525" customWidth="1"/>
    <col min="11269" max="11269" width="7.375" style="3525" customWidth="1"/>
    <col min="11270" max="11270" width="3.5" style="3525" customWidth="1"/>
    <col min="11271" max="11271" width="19.375" style="3525" customWidth="1"/>
    <col min="11272" max="11272" width="19.5" style="3525" customWidth="1"/>
    <col min="11273" max="11273" width="8.625" style="3525" customWidth="1"/>
    <col min="11274" max="11274" width="10.5" style="3525" customWidth="1"/>
    <col min="11275" max="11275" width="4.875" style="3525" customWidth="1"/>
    <col min="11276" max="11276" width="16.375" style="3525" customWidth="1"/>
    <col min="11277" max="11280" width="8.125" style="3525" customWidth="1"/>
    <col min="11281" max="11520" width="9" style="3525"/>
    <col min="11521" max="11521" width="6.375" style="3525" customWidth="1"/>
    <col min="11522" max="11522" width="19.375" style="3525" customWidth="1"/>
    <col min="11523" max="11523" width="6.25" style="3525" customWidth="1"/>
    <col min="11524" max="11524" width="6.375" style="3525" customWidth="1"/>
    <col min="11525" max="11525" width="7.375" style="3525" customWidth="1"/>
    <col min="11526" max="11526" width="3.5" style="3525" customWidth="1"/>
    <col min="11527" max="11527" width="19.375" style="3525" customWidth="1"/>
    <col min="11528" max="11528" width="19.5" style="3525" customWidth="1"/>
    <col min="11529" max="11529" width="8.625" style="3525" customWidth="1"/>
    <col min="11530" max="11530" width="10.5" style="3525" customWidth="1"/>
    <col min="11531" max="11531" width="4.875" style="3525" customWidth="1"/>
    <col min="11532" max="11532" width="16.375" style="3525" customWidth="1"/>
    <col min="11533" max="11536" width="8.125" style="3525" customWidth="1"/>
    <col min="11537" max="11776" width="9" style="3525"/>
    <col min="11777" max="11777" width="6.375" style="3525" customWidth="1"/>
    <col min="11778" max="11778" width="19.375" style="3525" customWidth="1"/>
    <col min="11779" max="11779" width="6.25" style="3525" customWidth="1"/>
    <col min="11780" max="11780" width="6.375" style="3525" customWidth="1"/>
    <col min="11781" max="11781" width="7.375" style="3525" customWidth="1"/>
    <col min="11782" max="11782" width="3.5" style="3525" customWidth="1"/>
    <col min="11783" max="11783" width="19.375" style="3525" customWidth="1"/>
    <col min="11784" max="11784" width="19.5" style="3525" customWidth="1"/>
    <col min="11785" max="11785" width="8.625" style="3525" customWidth="1"/>
    <col min="11786" max="11786" width="10.5" style="3525" customWidth="1"/>
    <col min="11787" max="11787" width="4.875" style="3525" customWidth="1"/>
    <col min="11788" max="11788" width="16.375" style="3525" customWidth="1"/>
    <col min="11789" max="11792" width="8.125" style="3525" customWidth="1"/>
    <col min="11793" max="12032" width="9" style="3525"/>
    <col min="12033" max="12033" width="6.375" style="3525" customWidth="1"/>
    <col min="12034" max="12034" width="19.375" style="3525" customWidth="1"/>
    <col min="12035" max="12035" width="6.25" style="3525" customWidth="1"/>
    <col min="12036" max="12036" width="6.375" style="3525" customWidth="1"/>
    <col min="12037" max="12037" width="7.375" style="3525" customWidth="1"/>
    <col min="12038" max="12038" width="3.5" style="3525" customWidth="1"/>
    <col min="12039" max="12039" width="19.375" style="3525" customWidth="1"/>
    <col min="12040" max="12040" width="19.5" style="3525" customWidth="1"/>
    <col min="12041" max="12041" width="8.625" style="3525" customWidth="1"/>
    <col min="12042" max="12042" width="10.5" style="3525" customWidth="1"/>
    <col min="12043" max="12043" width="4.875" style="3525" customWidth="1"/>
    <col min="12044" max="12044" width="16.375" style="3525" customWidth="1"/>
    <col min="12045" max="12048" width="8.125" style="3525" customWidth="1"/>
    <col min="12049" max="12288" width="9" style="3525"/>
    <col min="12289" max="12289" width="6.375" style="3525" customWidth="1"/>
    <col min="12290" max="12290" width="19.375" style="3525" customWidth="1"/>
    <col min="12291" max="12291" width="6.25" style="3525" customWidth="1"/>
    <col min="12292" max="12292" width="6.375" style="3525" customWidth="1"/>
    <col min="12293" max="12293" width="7.375" style="3525" customWidth="1"/>
    <col min="12294" max="12294" width="3.5" style="3525" customWidth="1"/>
    <col min="12295" max="12295" width="19.375" style="3525" customWidth="1"/>
    <col min="12296" max="12296" width="19.5" style="3525" customWidth="1"/>
    <col min="12297" max="12297" width="8.625" style="3525" customWidth="1"/>
    <col min="12298" max="12298" width="10.5" style="3525" customWidth="1"/>
    <col min="12299" max="12299" width="4.875" style="3525" customWidth="1"/>
    <col min="12300" max="12300" width="16.375" style="3525" customWidth="1"/>
    <col min="12301" max="12304" width="8.125" style="3525" customWidth="1"/>
    <col min="12305" max="12544" width="9" style="3525"/>
    <col min="12545" max="12545" width="6.375" style="3525" customWidth="1"/>
    <col min="12546" max="12546" width="19.375" style="3525" customWidth="1"/>
    <col min="12547" max="12547" width="6.25" style="3525" customWidth="1"/>
    <col min="12548" max="12548" width="6.375" style="3525" customWidth="1"/>
    <col min="12549" max="12549" width="7.375" style="3525" customWidth="1"/>
    <col min="12550" max="12550" width="3.5" style="3525" customWidth="1"/>
    <col min="12551" max="12551" width="19.375" style="3525" customWidth="1"/>
    <col min="12552" max="12552" width="19.5" style="3525" customWidth="1"/>
    <col min="12553" max="12553" width="8.625" style="3525" customWidth="1"/>
    <col min="12554" max="12554" width="10.5" style="3525" customWidth="1"/>
    <col min="12555" max="12555" width="4.875" style="3525" customWidth="1"/>
    <col min="12556" max="12556" width="16.375" style="3525" customWidth="1"/>
    <col min="12557" max="12560" width="8.125" style="3525" customWidth="1"/>
    <col min="12561" max="12800" width="9" style="3525"/>
    <col min="12801" max="12801" width="6.375" style="3525" customWidth="1"/>
    <col min="12802" max="12802" width="19.375" style="3525" customWidth="1"/>
    <col min="12803" max="12803" width="6.25" style="3525" customWidth="1"/>
    <col min="12804" max="12804" width="6.375" style="3525" customWidth="1"/>
    <col min="12805" max="12805" width="7.375" style="3525" customWidth="1"/>
    <col min="12806" max="12806" width="3.5" style="3525" customWidth="1"/>
    <col min="12807" max="12807" width="19.375" style="3525" customWidth="1"/>
    <col min="12808" max="12808" width="19.5" style="3525" customWidth="1"/>
    <col min="12809" max="12809" width="8.625" style="3525" customWidth="1"/>
    <col min="12810" max="12810" width="10.5" style="3525" customWidth="1"/>
    <col min="12811" max="12811" width="4.875" style="3525" customWidth="1"/>
    <col min="12812" max="12812" width="16.375" style="3525" customWidth="1"/>
    <col min="12813" max="12816" width="8.125" style="3525" customWidth="1"/>
    <col min="12817" max="13056" width="9" style="3525"/>
    <col min="13057" max="13057" width="6.375" style="3525" customWidth="1"/>
    <col min="13058" max="13058" width="19.375" style="3525" customWidth="1"/>
    <col min="13059" max="13059" width="6.25" style="3525" customWidth="1"/>
    <col min="13060" max="13060" width="6.375" style="3525" customWidth="1"/>
    <col min="13061" max="13061" width="7.375" style="3525" customWidth="1"/>
    <col min="13062" max="13062" width="3.5" style="3525" customWidth="1"/>
    <col min="13063" max="13063" width="19.375" style="3525" customWidth="1"/>
    <col min="13064" max="13064" width="19.5" style="3525" customWidth="1"/>
    <col min="13065" max="13065" width="8.625" style="3525" customWidth="1"/>
    <col min="13066" max="13066" width="10.5" style="3525" customWidth="1"/>
    <col min="13067" max="13067" width="4.875" style="3525" customWidth="1"/>
    <col min="13068" max="13068" width="16.375" style="3525" customWidth="1"/>
    <col min="13069" max="13072" width="8.125" style="3525" customWidth="1"/>
    <col min="13073" max="13312" width="9" style="3525"/>
    <col min="13313" max="13313" width="6.375" style="3525" customWidth="1"/>
    <col min="13314" max="13314" width="19.375" style="3525" customWidth="1"/>
    <col min="13315" max="13315" width="6.25" style="3525" customWidth="1"/>
    <col min="13316" max="13316" width="6.375" style="3525" customWidth="1"/>
    <col min="13317" max="13317" width="7.375" style="3525" customWidth="1"/>
    <col min="13318" max="13318" width="3.5" style="3525" customWidth="1"/>
    <col min="13319" max="13319" width="19.375" style="3525" customWidth="1"/>
    <col min="13320" max="13320" width="19.5" style="3525" customWidth="1"/>
    <col min="13321" max="13321" width="8.625" style="3525" customWidth="1"/>
    <col min="13322" max="13322" width="10.5" style="3525" customWidth="1"/>
    <col min="13323" max="13323" width="4.875" style="3525" customWidth="1"/>
    <col min="13324" max="13324" width="16.375" style="3525" customWidth="1"/>
    <col min="13325" max="13328" width="8.125" style="3525" customWidth="1"/>
    <col min="13329" max="13568" width="9" style="3525"/>
    <col min="13569" max="13569" width="6.375" style="3525" customWidth="1"/>
    <col min="13570" max="13570" width="19.375" style="3525" customWidth="1"/>
    <col min="13571" max="13571" width="6.25" style="3525" customWidth="1"/>
    <col min="13572" max="13572" width="6.375" style="3525" customWidth="1"/>
    <col min="13573" max="13573" width="7.375" style="3525" customWidth="1"/>
    <col min="13574" max="13574" width="3.5" style="3525" customWidth="1"/>
    <col min="13575" max="13575" width="19.375" style="3525" customWidth="1"/>
    <col min="13576" max="13576" width="19.5" style="3525" customWidth="1"/>
    <col min="13577" max="13577" width="8.625" style="3525" customWidth="1"/>
    <col min="13578" max="13578" width="10.5" style="3525" customWidth="1"/>
    <col min="13579" max="13579" width="4.875" style="3525" customWidth="1"/>
    <col min="13580" max="13580" width="16.375" style="3525" customWidth="1"/>
    <col min="13581" max="13584" width="8.125" style="3525" customWidth="1"/>
    <col min="13585" max="13824" width="9" style="3525"/>
    <col min="13825" max="13825" width="6.375" style="3525" customWidth="1"/>
    <col min="13826" max="13826" width="19.375" style="3525" customWidth="1"/>
    <col min="13827" max="13827" width="6.25" style="3525" customWidth="1"/>
    <col min="13828" max="13828" width="6.375" style="3525" customWidth="1"/>
    <col min="13829" max="13829" width="7.375" style="3525" customWidth="1"/>
    <col min="13830" max="13830" width="3.5" style="3525" customWidth="1"/>
    <col min="13831" max="13831" width="19.375" style="3525" customWidth="1"/>
    <col min="13832" max="13832" width="19.5" style="3525" customWidth="1"/>
    <col min="13833" max="13833" width="8.625" style="3525" customWidth="1"/>
    <col min="13834" max="13834" width="10.5" style="3525" customWidth="1"/>
    <col min="13835" max="13835" width="4.875" style="3525" customWidth="1"/>
    <col min="13836" max="13836" width="16.375" style="3525" customWidth="1"/>
    <col min="13837" max="13840" width="8.125" style="3525" customWidth="1"/>
    <col min="13841" max="14080" width="9" style="3525"/>
    <col min="14081" max="14081" width="6.375" style="3525" customWidth="1"/>
    <col min="14082" max="14082" width="19.375" style="3525" customWidth="1"/>
    <col min="14083" max="14083" width="6.25" style="3525" customWidth="1"/>
    <col min="14084" max="14084" width="6.375" style="3525" customWidth="1"/>
    <col min="14085" max="14085" width="7.375" style="3525" customWidth="1"/>
    <col min="14086" max="14086" width="3.5" style="3525" customWidth="1"/>
    <col min="14087" max="14087" width="19.375" style="3525" customWidth="1"/>
    <col min="14088" max="14088" width="19.5" style="3525" customWidth="1"/>
    <col min="14089" max="14089" width="8.625" style="3525" customWidth="1"/>
    <col min="14090" max="14090" width="10.5" style="3525" customWidth="1"/>
    <col min="14091" max="14091" width="4.875" style="3525" customWidth="1"/>
    <col min="14092" max="14092" width="16.375" style="3525" customWidth="1"/>
    <col min="14093" max="14096" width="8.125" style="3525" customWidth="1"/>
    <col min="14097" max="14336" width="9" style="3525"/>
    <col min="14337" max="14337" width="6.375" style="3525" customWidth="1"/>
    <col min="14338" max="14338" width="19.375" style="3525" customWidth="1"/>
    <col min="14339" max="14339" width="6.25" style="3525" customWidth="1"/>
    <col min="14340" max="14340" width="6.375" style="3525" customWidth="1"/>
    <col min="14341" max="14341" width="7.375" style="3525" customWidth="1"/>
    <col min="14342" max="14342" width="3.5" style="3525" customWidth="1"/>
    <col min="14343" max="14343" width="19.375" style="3525" customWidth="1"/>
    <col min="14344" max="14344" width="19.5" style="3525" customWidth="1"/>
    <col min="14345" max="14345" width="8.625" style="3525" customWidth="1"/>
    <col min="14346" max="14346" width="10.5" style="3525" customWidth="1"/>
    <col min="14347" max="14347" width="4.875" style="3525" customWidth="1"/>
    <col min="14348" max="14348" width="16.375" style="3525" customWidth="1"/>
    <col min="14349" max="14352" width="8.125" style="3525" customWidth="1"/>
    <col min="14353" max="14592" width="9" style="3525"/>
    <col min="14593" max="14593" width="6.375" style="3525" customWidth="1"/>
    <col min="14594" max="14594" width="19.375" style="3525" customWidth="1"/>
    <col min="14595" max="14595" width="6.25" style="3525" customWidth="1"/>
    <col min="14596" max="14596" width="6.375" style="3525" customWidth="1"/>
    <col min="14597" max="14597" width="7.375" style="3525" customWidth="1"/>
    <col min="14598" max="14598" width="3.5" style="3525" customWidth="1"/>
    <col min="14599" max="14599" width="19.375" style="3525" customWidth="1"/>
    <col min="14600" max="14600" width="19.5" style="3525" customWidth="1"/>
    <col min="14601" max="14601" width="8.625" style="3525" customWidth="1"/>
    <col min="14602" max="14602" width="10.5" style="3525" customWidth="1"/>
    <col min="14603" max="14603" width="4.875" style="3525" customWidth="1"/>
    <col min="14604" max="14604" width="16.375" style="3525" customWidth="1"/>
    <col min="14605" max="14608" width="8.125" style="3525" customWidth="1"/>
    <col min="14609" max="14848" width="9" style="3525"/>
    <col min="14849" max="14849" width="6.375" style="3525" customWidth="1"/>
    <col min="14850" max="14850" width="19.375" style="3525" customWidth="1"/>
    <col min="14851" max="14851" width="6.25" style="3525" customWidth="1"/>
    <col min="14852" max="14852" width="6.375" style="3525" customWidth="1"/>
    <col min="14853" max="14853" width="7.375" style="3525" customWidth="1"/>
    <col min="14854" max="14854" width="3.5" style="3525" customWidth="1"/>
    <col min="14855" max="14855" width="19.375" style="3525" customWidth="1"/>
    <col min="14856" max="14856" width="19.5" style="3525" customWidth="1"/>
    <col min="14857" max="14857" width="8.625" style="3525" customWidth="1"/>
    <col min="14858" max="14858" width="10.5" style="3525" customWidth="1"/>
    <col min="14859" max="14859" width="4.875" style="3525" customWidth="1"/>
    <col min="14860" max="14860" width="16.375" style="3525" customWidth="1"/>
    <col min="14861" max="14864" width="8.125" style="3525" customWidth="1"/>
    <col min="14865" max="15104" width="9" style="3525"/>
    <col min="15105" max="15105" width="6.375" style="3525" customWidth="1"/>
    <col min="15106" max="15106" width="19.375" style="3525" customWidth="1"/>
    <col min="15107" max="15107" width="6.25" style="3525" customWidth="1"/>
    <col min="15108" max="15108" width="6.375" style="3525" customWidth="1"/>
    <col min="15109" max="15109" width="7.375" style="3525" customWidth="1"/>
    <col min="15110" max="15110" width="3.5" style="3525" customWidth="1"/>
    <col min="15111" max="15111" width="19.375" style="3525" customWidth="1"/>
    <col min="15112" max="15112" width="19.5" style="3525" customWidth="1"/>
    <col min="15113" max="15113" width="8.625" style="3525" customWidth="1"/>
    <col min="15114" max="15114" width="10.5" style="3525" customWidth="1"/>
    <col min="15115" max="15115" width="4.875" style="3525" customWidth="1"/>
    <col min="15116" max="15116" width="16.375" style="3525" customWidth="1"/>
    <col min="15117" max="15120" width="8.125" style="3525" customWidth="1"/>
    <col min="15121" max="15360" width="9" style="3525"/>
    <col min="15361" max="15361" width="6.375" style="3525" customWidth="1"/>
    <col min="15362" max="15362" width="19.375" style="3525" customWidth="1"/>
    <col min="15363" max="15363" width="6.25" style="3525" customWidth="1"/>
    <col min="15364" max="15364" width="6.375" style="3525" customWidth="1"/>
    <col min="15365" max="15365" width="7.375" style="3525" customWidth="1"/>
    <col min="15366" max="15366" width="3.5" style="3525" customWidth="1"/>
    <col min="15367" max="15367" width="19.375" style="3525" customWidth="1"/>
    <col min="15368" max="15368" width="19.5" style="3525" customWidth="1"/>
    <col min="15369" max="15369" width="8.625" style="3525" customWidth="1"/>
    <col min="15370" max="15370" width="10.5" style="3525" customWidth="1"/>
    <col min="15371" max="15371" width="4.875" style="3525" customWidth="1"/>
    <col min="15372" max="15372" width="16.375" style="3525" customWidth="1"/>
    <col min="15373" max="15376" width="8.125" style="3525" customWidth="1"/>
    <col min="15377" max="15616" width="9" style="3525"/>
    <col min="15617" max="15617" width="6.375" style="3525" customWidth="1"/>
    <col min="15618" max="15618" width="19.375" style="3525" customWidth="1"/>
    <col min="15619" max="15619" width="6.25" style="3525" customWidth="1"/>
    <col min="15620" max="15620" width="6.375" style="3525" customWidth="1"/>
    <col min="15621" max="15621" width="7.375" style="3525" customWidth="1"/>
    <col min="15622" max="15622" width="3.5" style="3525" customWidth="1"/>
    <col min="15623" max="15623" width="19.375" style="3525" customWidth="1"/>
    <col min="15624" max="15624" width="19.5" style="3525" customWidth="1"/>
    <col min="15625" max="15625" width="8.625" style="3525" customWidth="1"/>
    <col min="15626" max="15626" width="10.5" style="3525" customWidth="1"/>
    <col min="15627" max="15627" width="4.875" style="3525" customWidth="1"/>
    <col min="15628" max="15628" width="16.375" style="3525" customWidth="1"/>
    <col min="15629" max="15632" width="8.125" style="3525" customWidth="1"/>
    <col min="15633" max="15872" width="9" style="3525"/>
    <col min="15873" max="15873" width="6.375" style="3525" customWidth="1"/>
    <col min="15874" max="15874" width="19.375" style="3525" customWidth="1"/>
    <col min="15875" max="15875" width="6.25" style="3525" customWidth="1"/>
    <col min="15876" max="15876" width="6.375" style="3525" customWidth="1"/>
    <col min="15877" max="15877" width="7.375" style="3525" customWidth="1"/>
    <col min="15878" max="15878" width="3.5" style="3525" customWidth="1"/>
    <col min="15879" max="15879" width="19.375" style="3525" customWidth="1"/>
    <col min="15880" max="15880" width="19.5" style="3525" customWidth="1"/>
    <col min="15881" max="15881" width="8.625" style="3525" customWidth="1"/>
    <col min="15882" max="15882" width="10.5" style="3525" customWidth="1"/>
    <col min="15883" max="15883" width="4.875" style="3525" customWidth="1"/>
    <col min="15884" max="15884" width="16.375" style="3525" customWidth="1"/>
    <col min="15885" max="15888" width="8.125" style="3525" customWidth="1"/>
    <col min="15889" max="16128" width="9" style="3525"/>
    <col min="16129" max="16129" width="6.375" style="3525" customWidth="1"/>
    <col min="16130" max="16130" width="19.375" style="3525" customWidth="1"/>
    <col min="16131" max="16131" width="6.25" style="3525" customWidth="1"/>
    <col min="16132" max="16132" width="6.375" style="3525" customWidth="1"/>
    <col min="16133" max="16133" width="7.375" style="3525" customWidth="1"/>
    <col min="16134" max="16134" width="3.5" style="3525" customWidth="1"/>
    <col min="16135" max="16135" width="19.375" style="3525" customWidth="1"/>
    <col min="16136" max="16136" width="19.5" style="3525" customWidth="1"/>
    <col min="16137" max="16137" width="8.625" style="3525" customWidth="1"/>
    <col min="16138" max="16138" width="10.5" style="3525" customWidth="1"/>
    <col min="16139" max="16139" width="4.875" style="3525" customWidth="1"/>
    <col min="16140" max="16140" width="16.375" style="3525" customWidth="1"/>
    <col min="16141" max="16144" width="8.125" style="3525" customWidth="1"/>
    <col min="16145" max="16384" width="9" style="3525"/>
  </cols>
  <sheetData>
    <row r="1" spans="1:16">
      <c r="A1" s="3768" t="s">
        <v>3372</v>
      </c>
      <c r="B1" s="3768"/>
      <c r="C1" s="3768"/>
      <c r="D1" s="3768"/>
      <c r="E1" s="3768"/>
      <c r="F1" s="3768"/>
      <c r="G1" s="3768"/>
      <c r="H1" s="3768"/>
      <c r="I1" s="3768"/>
      <c r="K1" s="3769" t="s">
        <v>3373</v>
      </c>
      <c r="L1" s="3453" t="s">
        <v>3374</v>
      </c>
      <c r="M1" s="3454">
        <v>0</v>
      </c>
      <c r="N1" s="3524"/>
      <c r="O1" s="3524"/>
    </row>
    <row r="2" spans="1:16" ht="15.75" customHeight="1">
      <c r="A2" s="3455" t="s">
        <v>2640</v>
      </c>
      <c r="B2" s="3456" t="s">
        <v>3375</v>
      </c>
      <c r="C2" s="3770" t="s">
        <v>3376</v>
      </c>
      <c r="D2" s="3771"/>
      <c r="E2" s="3771"/>
      <c r="F2" s="3772"/>
      <c r="G2" s="3457" t="s">
        <v>3377</v>
      </c>
      <c r="H2" s="3773" t="s">
        <v>3378</v>
      </c>
      <c r="I2" s="3773"/>
      <c r="K2" s="3769"/>
      <c r="L2" s="3525"/>
    </row>
    <row r="3" spans="1:16">
      <c r="A3" s="3457" t="s">
        <v>3379</v>
      </c>
      <c r="B3" s="3460" t="s">
        <v>3380</v>
      </c>
      <c r="C3" s="3770">
        <f>ROUND('比较法-住宅'!C48*'比较法-住宅'!C33,0)</f>
        <v>8626133</v>
      </c>
      <c r="D3" s="3771"/>
      <c r="E3" s="3771"/>
      <c r="F3" s="3772"/>
      <c r="G3" s="3457" t="s">
        <v>3381</v>
      </c>
      <c r="H3" s="3460" t="s">
        <v>3382</v>
      </c>
      <c r="I3" s="3461">
        <f>'数据-汇总表'!E3</f>
        <v>85.3</v>
      </c>
      <c r="K3" s="3769"/>
      <c r="L3" s="3453" t="s">
        <v>3383</v>
      </c>
      <c r="M3" s="3458" t="s">
        <v>3384</v>
      </c>
      <c r="N3" s="3459"/>
      <c r="O3" s="3459"/>
    </row>
    <row r="4" spans="1:16">
      <c r="A4" s="3773" t="s">
        <v>3385</v>
      </c>
      <c r="B4" s="3774" t="s">
        <v>3386</v>
      </c>
      <c r="C4" s="3775">
        <f>ROUND(C3*(I4-I6)/(1-((1+I6)/(1+I4))^I5),0)</f>
        <v>428097</v>
      </c>
      <c r="D4" s="3776"/>
      <c r="E4" s="3776"/>
      <c r="F4" s="3777"/>
      <c r="G4" s="3773" t="s">
        <v>3387</v>
      </c>
      <c r="H4" s="3462" t="s">
        <v>3388</v>
      </c>
      <c r="I4" s="3463">
        <v>0.05</v>
      </c>
      <c r="K4" s="3769"/>
      <c r="L4" s="3453" t="s">
        <v>3389</v>
      </c>
      <c r="M4" s="3526">
        <f>ROUND(1-(1-M1)*M2/M3,2)</f>
        <v>1</v>
      </c>
      <c r="N4" s="3459"/>
      <c r="O4" s="3459"/>
    </row>
    <row r="5" spans="1:16" s="3527" customFormat="1" ht="18" customHeight="1">
      <c r="A5" s="3773"/>
      <c r="B5" s="3774"/>
      <c r="C5" s="3778"/>
      <c r="D5" s="3779"/>
      <c r="E5" s="3779"/>
      <c r="F5" s="3780"/>
      <c r="G5" s="3773"/>
      <c r="H5" s="3460" t="s">
        <v>3390</v>
      </c>
      <c r="I5" s="3464">
        <f>项目基本情况!C15</f>
        <v>32</v>
      </c>
      <c r="J5" s="3465">
        <v>1987</v>
      </c>
      <c r="K5" s="3769"/>
      <c r="L5" s="3453" t="s">
        <v>3391</v>
      </c>
      <c r="M5" s="3466">
        <v>0.5</v>
      </c>
      <c r="N5" s="3459"/>
      <c r="O5" s="3459"/>
    </row>
    <row r="6" spans="1:16" s="3527" customFormat="1" ht="18" customHeight="1">
      <c r="A6" s="3773"/>
      <c r="B6" s="3774"/>
      <c r="C6" s="3781"/>
      <c r="D6" s="3782"/>
      <c r="E6" s="3782"/>
      <c r="F6" s="3783"/>
      <c r="G6" s="3773"/>
      <c r="H6" s="3460" t="s">
        <v>3392</v>
      </c>
      <c r="I6" s="3463">
        <v>0.02</v>
      </c>
      <c r="J6" s="3467"/>
      <c r="K6" s="3784" t="s">
        <v>3393</v>
      </c>
      <c r="L6" s="3468" t="s">
        <v>3394</v>
      </c>
      <c r="M6" s="3469" t="s">
        <v>3395</v>
      </c>
      <c r="N6" s="3469" t="s">
        <v>3396</v>
      </c>
      <c r="O6" s="3469" t="s">
        <v>3397</v>
      </c>
      <c r="P6" s="3469" t="s">
        <v>3398</v>
      </c>
    </row>
    <row r="7" spans="1:16" s="3527" customFormat="1" ht="18" customHeight="1">
      <c r="A7" s="3457" t="s">
        <v>3399</v>
      </c>
      <c r="B7" s="3460" t="s">
        <v>3400</v>
      </c>
      <c r="C7" s="3770">
        <f>ROUND(C23*I7,0)</f>
        <v>337720</v>
      </c>
      <c r="D7" s="3771"/>
      <c r="E7" s="3771"/>
      <c r="F7" s="3772"/>
      <c r="G7" s="3457" t="s">
        <v>3401</v>
      </c>
      <c r="H7" s="3460" t="s">
        <v>3402</v>
      </c>
      <c r="I7" s="3470">
        <f>'数据-取费表'!N6</f>
        <v>0.6</v>
      </c>
      <c r="K7" s="3784"/>
      <c r="L7" s="3468" t="s">
        <v>3403</v>
      </c>
      <c r="M7" s="3469">
        <v>100</v>
      </c>
      <c r="N7" s="3469" t="s">
        <v>3404</v>
      </c>
      <c r="O7" s="3469">
        <v>80</v>
      </c>
      <c r="P7" s="3471">
        <v>0.3</v>
      </c>
    </row>
    <row r="8" spans="1:16" s="3527" customFormat="1" ht="18" customHeight="1">
      <c r="A8" s="3455" t="s">
        <v>3405</v>
      </c>
      <c r="B8" s="3460" t="s">
        <v>3406</v>
      </c>
      <c r="C8" s="3770">
        <f>ROUND(I8*I3,0)</f>
        <v>341200</v>
      </c>
      <c r="D8" s="3771"/>
      <c r="E8" s="3771"/>
      <c r="F8" s="3772"/>
      <c r="G8" s="3457" t="s">
        <v>3407</v>
      </c>
      <c r="H8" s="3460" t="s">
        <v>3408</v>
      </c>
      <c r="I8" s="3457">
        <v>4000</v>
      </c>
      <c r="J8" s="3472">
        <f>D36</f>
        <v>178.19</v>
      </c>
      <c r="K8" s="3784"/>
      <c r="L8" s="3468" t="s">
        <v>3409</v>
      </c>
      <c r="M8" s="3469">
        <v>100</v>
      </c>
      <c r="N8" s="3469" t="s">
        <v>3404</v>
      </c>
      <c r="O8" s="3469">
        <v>80</v>
      </c>
      <c r="P8" s="3471">
        <v>0.5</v>
      </c>
    </row>
    <row r="9" spans="1:16" s="3527" customFormat="1" ht="18" customHeight="1">
      <c r="A9" s="3455" t="s">
        <v>3410</v>
      </c>
      <c r="B9" s="3460" t="s">
        <v>3411</v>
      </c>
      <c r="C9" s="3770">
        <f>ROUND(C8*H9,0)</f>
        <v>10236</v>
      </c>
      <c r="D9" s="3771"/>
      <c r="E9" s="3771"/>
      <c r="F9" s="3772"/>
      <c r="G9" s="3457" t="s">
        <v>3412</v>
      </c>
      <c r="H9" s="3785">
        <v>0.03</v>
      </c>
      <c r="I9" s="3785"/>
      <c r="J9" s="3472">
        <f>D37</f>
        <v>558.85</v>
      </c>
      <c r="K9" s="3784"/>
      <c r="L9" s="3468" t="s">
        <v>3413</v>
      </c>
      <c r="M9" s="3469">
        <v>100</v>
      </c>
      <c r="N9" s="3469" t="s">
        <v>3404</v>
      </c>
      <c r="O9" s="3469">
        <v>80</v>
      </c>
      <c r="P9" s="3471">
        <f>1-P7-P8</f>
        <v>0.19999999999999996</v>
      </c>
    </row>
    <row r="10" spans="1:16" s="3527" customFormat="1" ht="18" customHeight="1">
      <c r="A10" s="3455" t="s">
        <v>3414</v>
      </c>
      <c r="B10" s="3460" t="s">
        <v>3415</v>
      </c>
      <c r="C10" s="3770">
        <f>ROUND(C8*H10,0)</f>
        <v>34120</v>
      </c>
      <c r="D10" s="3771"/>
      <c r="E10" s="3771"/>
      <c r="F10" s="3772"/>
      <c r="G10" s="3457" t="s">
        <v>3412</v>
      </c>
      <c r="H10" s="3785">
        <v>0.1</v>
      </c>
      <c r="I10" s="3785"/>
      <c r="J10" s="3472">
        <f>D38</f>
        <v>178.19</v>
      </c>
      <c r="K10" s="3784"/>
      <c r="L10" s="3473" t="s">
        <v>3391</v>
      </c>
      <c r="M10" s="3474">
        <f>1-M5</f>
        <v>0.5</v>
      </c>
      <c r="N10" s="3469" t="s">
        <v>3389</v>
      </c>
      <c r="O10" s="3473">
        <f>ROUND((O7*P7+O8*P8+O9*P9)/100,2)</f>
        <v>0.8</v>
      </c>
      <c r="P10" s="3475"/>
    </row>
    <row r="11" spans="1:16" s="3527" customFormat="1" ht="29.25" customHeight="1">
      <c r="A11" s="3455" t="s">
        <v>3416</v>
      </c>
      <c r="B11" s="3460" t="s">
        <v>3417</v>
      </c>
      <c r="C11" s="3770">
        <f>ROUND(I11*I3,0)</f>
        <v>17060</v>
      </c>
      <c r="D11" s="3771"/>
      <c r="E11" s="3771"/>
      <c r="F11" s="3772"/>
      <c r="G11" s="3457" t="s">
        <v>3418</v>
      </c>
      <c r="H11" s="3460" t="s">
        <v>3419</v>
      </c>
      <c r="I11" s="3457">
        <v>200</v>
      </c>
      <c r="J11" s="3465"/>
      <c r="K11" s="3523"/>
      <c r="L11" s="3523"/>
    </row>
    <row r="12" spans="1:16" s="3527" customFormat="1" ht="18" customHeight="1">
      <c r="A12" s="3455" t="s">
        <v>3420</v>
      </c>
      <c r="B12" s="3460" t="s">
        <v>3421</v>
      </c>
      <c r="C12" s="3770">
        <f>ROUND(C8*H12,0)</f>
        <v>5118</v>
      </c>
      <c r="D12" s="3771"/>
      <c r="E12" s="3771"/>
      <c r="F12" s="3772"/>
      <c r="G12" s="3457" t="s">
        <v>3412</v>
      </c>
      <c r="H12" s="3785">
        <v>1.4999999999999999E-2</v>
      </c>
      <c r="I12" s="3785"/>
      <c r="J12" s="3476" t="s">
        <v>3422</v>
      </c>
      <c r="L12" s="3477"/>
    </row>
    <row r="13" spans="1:16" s="3527" customFormat="1" ht="18" customHeight="1">
      <c r="A13" s="3455" t="s">
        <v>434</v>
      </c>
      <c r="B13" s="3460" t="s">
        <v>3423</v>
      </c>
      <c r="C13" s="3770">
        <f>SUM(C8:F12)</f>
        <v>407734</v>
      </c>
      <c r="D13" s="3771"/>
      <c r="E13" s="3771"/>
      <c r="F13" s="3772"/>
      <c r="G13" s="3773" t="s">
        <v>3424</v>
      </c>
      <c r="H13" s="3773"/>
      <c r="I13" s="3773"/>
      <c r="J13" s="3476" t="s">
        <v>3425</v>
      </c>
      <c r="L13" s="3477"/>
    </row>
    <row r="14" spans="1:16" s="3527" customFormat="1" ht="18" customHeight="1">
      <c r="A14" s="3455" t="s">
        <v>3426</v>
      </c>
      <c r="B14" s="3460" t="s">
        <v>3427</v>
      </c>
      <c r="C14" s="3770">
        <f>ROUND(C13*H14,0)</f>
        <v>8155</v>
      </c>
      <c r="D14" s="3771"/>
      <c r="E14" s="3771"/>
      <c r="F14" s="3772"/>
      <c r="G14" s="3457" t="s">
        <v>3428</v>
      </c>
      <c r="H14" s="3785">
        <v>0.02</v>
      </c>
      <c r="I14" s="3785"/>
      <c r="J14" s="3465"/>
      <c r="L14" s="3477"/>
    </row>
    <row r="15" spans="1:16" s="3527" customFormat="1" ht="18" customHeight="1">
      <c r="A15" s="3455" t="s">
        <v>389</v>
      </c>
      <c r="B15" s="3460" t="s">
        <v>3429</v>
      </c>
      <c r="C15" s="3790">
        <f>H15</f>
        <v>0.02</v>
      </c>
      <c r="D15" s="3791"/>
      <c r="E15" s="3788" t="str">
        <f>E18</f>
        <v>V</v>
      </c>
      <c r="F15" s="3789"/>
      <c r="G15" s="3457" t="s">
        <v>3430</v>
      </c>
      <c r="H15" s="3785">
        <v>0.02</v>
      </c>
      <c r="I15" s="3785"/>
      <c r="J15" s="3478"/>
      <c r="K15" s="3528"/>
    </row>
    <row r="16" spans="1:16" s="3527" customFormat="1" ht="18" customHeight="1">
      <c r="A16" s="3479" t="s">
        <v>390</v>
      </c>
      <c r="B16" s="3480" t="s">
        <v>3431</v>
      </c>
      <c r="C16" s="3481">
        <f>C17</f>
        <v>19755</v>
      </c>
      <c r="D16" s="3482" t="s">
        <v>3432</v>
      </c>
      <c r="E16" s="3483">
        <f>C18</f>
        <v>9.5E-4</v>
      </c>
      <c r="F16" s="3484" t="str">
        <f>E18</f>
        <v>V</v>
      </c>
      <c r="G16" s="3770" t="s">
        <v>3433</v>
      </c>
      <c r="H16" s="3771"/>
      <c r="I16" s="3772"/>
      <c r="J16" s="3465"/>
      <c r="K16" s="3523"/>
    </row>
    <row r="17" spans="1:12" s="3527" customFormat="1" ht="18" customHeight="1">
      <c r="A17" s="3455" t="s">
        <v>3434</v>
      </c>
      <c r="B17" s="3460" t="s">
        <v>3435</v>
      </c>
      <c r="C17" s="3770">
        <f>ROUND((C13+C14)*I18*(I17/2),0)</f>
        <v>19755</v>
      </c>
      <c r="D17" s="3771"/>
      <c r="E17" s="3771"/>
      <c r="F17" s="3772"/>
      <c r="G17" s="3481" t="s">
        <v>3436</v>
      </c>
      <c r="H17" s="3460" t="s">
        <v>3437</v>
      </c>
      <c r="I17" s="3457">
        <v>2</v>
      </c>
      <c r="J17" s="3476" t="s">
        <v>3438</v>
      </c>
      <c r="K17" s="3523"/>
      <c r="L17" s="3523"/>
    </row>
    <row r="18" spans="1:12" s="3527" customFormat="1" ht="18" customHeight="1">
      <c r="A18" s="3455" t="s">
        <v>3439</v>
      </c>
      <c r="B18" s="3460" t="s">
        <v>3440</v>
      </c>
      <c r="C18" s="3786">
        <f>H15*I18*I17/2</f>
        <v>9.5E-4</v>
      </c>
      <c r="D18" s="3787"/>
      <c r="E18" s="3788" t="s">
        <v>3441</v>
      </c>
      <c r="F18" s="3789"/>
      <c r="G18" s="3481" t="s">
        <v>3442</v>
      </c>
      <c r="H18" s="3460" t="s">
        <v>3443</v>
      </c>
      <c r="I18" s="3485">
        <v>4.7500000000000001E-2</v>
      </c>
      <c r="J18" s="3476" t="s">
        <v>3444</v>
      </c>
      <c r="K18" s="3523"/>
      <c r="L18" s="3523"/>
    </row>
    <row r="19" spans="1:12" s="3527" customFormat="1" ht="27" customHeight="1">
      <c r="A19" s="3455" t="s">
        <v>391</v>
      </c>
      <c r="B19" s="3460" t="s">
        <v>3445</v>
      </c>
      <c r="C19" s="3481">
        <f>C20</f>
        <v>83178</v>
      </c>
      <c r="D19" s="3482" t="s">
        <v>3432</v>
      </c>
      <c r="E19" s="3482">
        <f>C21</f>
        <v>4.0000000000000001E-3</v>
      </c>
      <c r="F19" s="3484" t="str">
        <f>E21</f>
        <v>V</v>
      </c>
      <c r="G19" s="3770" t="s">
        <v>3446</v>
      </c>
      <c r="H19" s="3771"/>
      <c r="I19" s="3772"/>
      <c r="J19" s="3465"/>
      <c r="K19" s="3523"/>
      <c r="L19" s="3523"/>
    </row>
    <row r="20" spans="1:12" s="3527" customFormat="1" ht="26.25" customHeight="1">
      <c r="A20" s="3455" t="s">
        <v>3447</v>
      </c>
      <c r="B20" s="3460" t="s">
        <v>3448</v>
      </c>
      <c r="C20" s="3770">
        <f>ROUND((C13+C14)*I20,0)</f>
        <v>83178</v>
      </c>
      <c r="D20" s="3771"/>
      <c r="E20" s="3771"/>
      <c r="F20" s="3772"/>
      <c r="G20" s="3457" t="s">
        <v>3449</v>
      </c>
      <c r="H20" s="3794" t="s">
        <v>3450</v>
      </c>
      <c r="I20" s="3796">
        <v>0.2</v>
      </c>
      <c r="J20" s="3476" t="s">
        <v>3451</v>
      </c>
      <c r="K20" s="3523"/>
      <c r="L20" s="3523"/>
    </row>
    <row r="21" spans="1:12" s="3527" customFormat="1" ht="27" customHeight="1">
      <c r="A21" s="3455" t="s">
        <v>3447</v>
      </c>
      <c r="B21" s="3460" t="s">
        <v>3452</v>
      </c>
      <c r="C21" s="3790">
        <f>H15*I20</f>
        <v>4.0000000000000001E-3</v>
      </c>
      <c r="D21" s="3791"/>
      <c r="E21" s="3788" t="s">
        <v>3441</v>
      </c>
      <c r="F21" s="3789"/>
      <c r="G21" s="3457" t="s">
        <v>3453</v>
      </c>
      <c r="H21" s="3795"/>
      <c r="I21" s="3796"/>
      <c r="J21" s="3465"/>
      <c r="K21" s="3523"/>
      <c r="L21" s="3523"/>
    </row>
    <row r="22" spans="1:12" s="3527" customFormat="1" ht="18" customHeight="1">
      <c r="A22" s="3455" t="s">
        <v>392</v>
      </c>
      <c r="B22" s="3460" t="s">
        <v>3454</v>
      </c>
      <c r="C22" s="3790">
        <f>ROUND(H22/1.05,4)</f>
        <v>5.33E-2</v>
      </c>
      <c r="D22" s="3791"/>
      <c r="E22" s="3788" t="s">
        <v>3441</v>
      </c>
      <c r="F22" s="3789"/>
      <c r="G22" s="3457" t="s">
        <v>3455</v>
      </c>
      <c r="H22" s="3785">
        <v>5.6000000000000001E-2</v>
      </c>
      <c r="I22" s="3785"/>
      <c r="J22" s="3486"/>
      <c r="K22" s="3523"/>
      <c r="L22" s="3523"/>
    </row>
    <row r="23" spans="1:12" s="3527" customFormat="1" ht="18" customHeight="1">
      <c r="A23" s="3455" t="s">
        <v>3456</v>
      </c>
      <c r="B23" s="3460" t="s">
        <v>3457</v>
      </c>
      <c r="C23" s="3770">
        <f>ROUND((C13+C14+C17+C20)/(1-H15-C18-C21-C22),0)</f>
        <v>562866</v>
      </c>
      <c r="D23" s="3771"/>
      <c r="E23" s="3771"/>
      <c r="F23" s="3772"/>
      <c r="G23" s="3770" t="s">
        <v>3458</v>
      </c>
      <c r="H23" s="3771"/>
      <c r="I23" s="3772"/>
      <c r="J23" s="3486"/>
      <c r="K23" s="3523"/>
      <c r="L23" s="3523"/>
    </row>
    <row r="24" spans="1:12" s="3527" customFormat="1" ht="18" customHeight="1">
      <c r="A24" s="3455" t="s">
        <v>3459</v>
      </c>
      <c r="B24" s="3460" t="s">
        <v>3460</v>
      </c>
      <c r="C24" s="3487">
        <f>C27+C28</f>
        <v>11932</v>
      </c>
      <c r="D24" s="3488" t="s">
        <v>3461</v>
      </c>
      <c r="E24" s="3792">
        <f>H25+E29+E26</f>
        <v>0.19028571428571428</v>
      </c>
      <c r="F24" s="3793"/>
      <c r="G24" s="3773" t="s">
        <v>3462</v>
      </c>
      <c r="H24" s="3773"/>
      <c r="I24" s="3773"/>
      <c r="J24" s="3486"/>
      <c r="K24" s="3523"/>
      <c r="L24" s="3523"/>
    </row>
    <row r="25" spans="1:12" s="3527" customFormat="1" ht="18" customHeight="1">
      <c r="A25" s="3455" t="s">
        <v>434</v>
      </c>
      <c r="B25" s="3460" t="s">
        <v>3463</v>
      </c>
      <c r="C25" s="3790" t="s">
        <v>3464</v>
      </c>
      <c r="D25" s="3791"/>
      <c r="E25" s="3792">
        <f>H25/1.05</f>
        <v>5.333333333333333E-2</v>
      </c>
      <c r="F25" s="3793"/>
      <c r="G25" s="3457" t="s">
        <v>3465</v>
      </c>
      <c r="H25" s="3797">
        <v>5.6000000000000001E-2</v>
      </c>
      <c r="I25" s="3797"/>
      <c r="J25" s="3478"/>
      <c r="K25" s="3523"/>
      <c r="L25" s="3523"/>
    </row>
    <row r="26" spans="1:12" s="3527" customFormat="1" ht="18" customHeight="1">
      <c r="A26" s="3455" t="s">
        <v>3426</v>
      </c>
      <c r="B26" s="3460" t="s">
        <v>3466</v>
      </c>
      <c r="C26" s="3790" t="s">
        <v>3464</v>
      </c>
      <c r="D26" s="3791"/>
      <c r="E26" s="3792">
        <f>H26/1.05</f>
        <v>0.11428571428571428</v>
      </c>
      <c r="F26" s="3793"/>
      <c r="G26" s="3457" t="s">
        <v>3467</v>
      </c>
      <c r="H26" s="3798">
        <v>0.12</v>
      </c>
      <c r="I26" s="3799"/>
      <c r="J26" s="3478"/>
      <c r="K26" s="3523"/>
      <c r="L26" s="3523"/>
    </row>
    <row r="27" spans="1:12" s="3527" customFormat="1" ht="18" customHeight="1">
      <c r="A27" s="3455" t="s">
        <v>389</v>
      </c>
      <c r="B27" s="3460" t="s">
        <v>3468</v>
      </c>
      <c r="C27" s="3770">
        <f>ROUND(C23*H27,0)</f>
        <v>11257</v>
      </c>
      <c r="D27" s="3771"/>
      <c r="E27" s="3771"/>
      <c r="F27" s="3772"/>
      <c r="G27" s="3457" t="s">
        <v>3469</v>
      </c>
      <c r="H27" s="3797">
        <v>0.02</v>
      </c>
      <c r="I27" s="3797"/>
      <c r="J27" s="3478"/>
      <c r="K27" s="3523"/>
      <c r="L27" s="3523"/>
    </row>
    <row r="28" spans="1:12" s="3527" customFormat="1" ht="18" customHeight="1">
      <c r="A28" s="3455" t="s">
        <v>390</v>
      </c>
      <c r="B28" s="3460" t="s">
        <v>3470</v>
      </c>
      <c r="C28" s="3770">
        <f>ROUND(C7*H28,0)</f>
        <v>675</v>
      </c>
      <c r="D28" s="3771"/>
      <c r="E28" s="3771"/>
      <c r="F28" s="3772"/>
      <c r="G28" s="3457" t="s">
        <v>3471</v>
      </c>
      <c r="H28" s="3800">
        <v>2E-3</v>
      </c>
      <c r="I28" s="3800"/>
      <c r="J28" s="3465"/>
      <c r="K28" s="3523"/>
      <c r="L28" s="3523"/>
    </row>
    <row r="29" spans="1:12" s="3527" customFormat="1" ht="18" customHeight="1">
      <c r="A29" s="3455" t="s">
        <v>391</v>
      </c>
      <c r="B29" s="3460" t="s">
        <v>3472</v>
      </c>
      <c r="C29" s="3790" t="s">
        <v>3464</v>
      </c>
      <c r="D29" s="3791"/>
      <c r="E29" s="3801">
        <f>H29</f>
        <v>0.02</v>
      </c>
      <c r="F29" s="3802"/>
      <c r="G29" s="3457" t="s">
        <v>3473</v>
      </c>
      <c r="H29" s="3797">
        <v>0.02</v>
      </c>
      <c r="I29" s="3797"/>
      <c r="J29" s="3492"/>
      <c r="K29" s="3523"/>
      <c r="L29" s="3523"/>
    </row>
    <row r="30" spans="1:12" s="3527" customFormat="1" ht="18" customHeight="1">
      <c r="A30" s="3457" t="s">
        <v>3474</v>
      </c>
      <c r="B30" s="3460" t="s">
        <v>3475</v>
      </c>
      <c r="C30" s="3770">
        <f>ROUND((C4+C24)/(1-E24),0)</f>
        <v>543437</v>
      </c>
      <c r="D30" s="3771"/>
      <c r="E30" s="3771"/>
      <c r="F30" s="3772"/>
      <c r="G30" s="3773" t="s">
        <v>3476</v>
      </c>
      <c r="H30" s="3773"/>
      <c r="I30" s="3773"/>
      <c r="J30" s="3489" t="s">
        <v>3477</v>
      </c>
      <c r="K30" s="3523"/>
      <c r="L30" s="3523"/>
    </row>
    <row r="31" spans="1:12" s="3527" customFormat="1" ht="18" customHeight="1">
      <c r="A31" s="3773" t="s">
        <v>3478</v>
      </c>
      <c r="B31" s="3774" t="s">
        <v>3479</v>
      </c>
      <c r="C31" s="3803">
        <f>ROUND(C30/I31/I32/I3,2)</f>
        <v>558.85</v>
      </c>
      <c r="D31" s="3804"/>
      <c r="E31" s="3804"/>
      <c r="F31" s="3805"/>
      <c r="G31" s="3773" t="s">
        <v>3480</v>
      </c>
      <c r="H31" s="3460" t="s">
        <v>3481</v>
      </c>
      <c r="I31" s="3457">
        <v>12</v>
      </c>
      <c r="J31" s="3490"/>
      <c r="K31" s="3523"/>
      <c r="L31" s="3523"/>
    </row>
    <row r="32" spans="1:12" s="3527" customFormat="1" ht="18" customHeight="1">
      <c r="A32" s="3773"/>
      <c r="B32" s="3774"/>
      <c r="C32" s="3806"/>
      <c r="D32" s="3807"/>
      <c r="E32" s="3807"/>
      <c r="F32" s="3808"/>
      <c r="G32" s="3773"/>
      <c r="H32" s="3460" t="s">
        <v>3482</v>
      </c>
      <c r="I32" s="3491">
        <v>0.95</v>
      </c>
      <c r="J32" s="3492"/>
      <c r="K32" s="3523"/>
      <c r="L32" s="3523"/>
    </row>
    <row r="33" spans="1:13" s="3527" customFormat="1" ht="18" customHeight="1">
      <c r="A33" s="3525"/>
      <c r="B33" s="3529"/>
      <c r="C33" s="3525"/>
      <c r="D33" s="3525"/>
      <c r="E33" s="3525"/>
      <c r="F33" s="3525"/>
      <c r="G33" s="3530"/>
      <c r="H33" s="3525"/>
      <c r="I33" s="3525"/>
      <c r="J33" s="3465"/>
      <c r="K33" s="3523"/>
      <c r="L33" s="3523"/>
    </row>
    <row r="34" spans="1:13" s="3527" customFormat="1" ht="18" customHeight="1">
      <c r="A34" s="3525"/>
      <c r="B34" s="3810" t="s">
        <v>3561</v>
      </c>
      <c r="C34" s="3810"/>
      <c r="D34" s="3810"/>
      <c r="E34" s="3810"/>
      <c r="F34" s="3810"/>
      <c r="G34" s="3493"/>
      <c r="H34" s="3494"/>
      <c r="I34" s="3525"/>
      <c r="J34" s="3465"/>
      <c r="K34" s="3523"/>
      <c r="L34" s="3523"/>
      <c r="M34" s="3525"/>
    </row>
    <row r="35" spans="1:13" s="3527" customFormat="1" ht="18" customHeight="1">
      <c r="A35" s="3525"/>
      <c r="B35" s="3495" t="s">
        <v>3483</v>
      </c>
      <c r="C35" s="3495" t="s">
        <v>3398</v>
      </c>
      <c r="D35" s="3811" t="s">
        <v>3484</v>
      </c>
      <c r="E35" s="3811"/>
      <c r="F35" s="3811"/>
      <c r="G35" s="3493"/>
      <c r="H35" s="3814" t="s">
        <v>3563</v>
      </c>
      <c r="I35" s="3814"/>
      <c r="J35" s="3486"/>
      <c r="K35" s="3525"/>
      <c r="L35" s="3525"/>
      <c r="M35" s="3525"/>
    </row>
    <row r="36" spans="1:13">
      <c r="B36" s="3495" t="s">
        <v>3485</v>
      </c>
      <c r="C36" s="3531">
        <v>1</v>
      </c>
      <c r="D36" s="3812">
        <f>'租金比较法-住宅 '!C49</f>
        <v>178.19</v>
      </c>
      <c r="E36" s="3812"/>
      <c r="F36" s="3812"/>
      <c r="G36" s="3493">
        <f>(D36-D37)/D37</f>
        <v>-0.68114878768900422</v>
      </c>
      <c r="H36" s="3546">
        <v>0.1</v>
      </c>
      <c r="I36" s="3534">
        <v>0.08</v>
      </c>
      <c r="K36" s="3525"/>
      <c r="L36" s="3525"/>
    </row>
    <row r="37" spans="1:13" ht="12.75" customHeight="1">
      <c r="B37" s="3495" t="s">
        <v>3486</v>
      </c>
      <c r="C37" s="3531">
        <f>1-C36</f>
        <v>0</v>
      </c>
      <c r="D37" s="3812">
        <f>C31</f>
        <v>558.85</v>
      </c>
      <c r="E37" s="3812"/>
      <c r="F37" s="3812"/>
      <c r="G37" s="3493"/>
      <c r="H37" s="3497">
        <f>ROUND(D41*H36,0)</f>
        <v>1520</v>
      </c>
      <c r="I37" s="3493">
        <f>ROUND(D41*0.08,0)</f>
        <v>1216</v>
      </c>
      <c r="J37" s="3525"/>
      <c r="K37" s="3525"/>
      <c r="L37" s="3525"/>
    </row>
    <row r="38" spans="1:13" ht="22.5" customHeight="1">
      <c r="B38" s="3811" t="s">
        <v>3487</v>
      </c>
      <c r="C38" s="3811"/>
      <c r="D38" s="3813">
        <f>ROUND(C36*D36+C37*D37,2)</f>
        <v>178.19</v>
      </c>
      <c r="E38" s="3813"/>
      <c r="F38" s="3813"/>
      <c r="G38" s="3816" t="s">
        <v>3562</v>
      </c>
      <c r="H38" s="3814"/>
      <c r="I38" s="3814"/>
      <c r="J38" s="3525"/>
      <c r="K38" s="3525"/>
      <c r="L38" s="3525"/>
    </row>
    <row r="39" spans="1:13" ht="22.5" hidden="1" customHeight="1">
      <c r="B39" s="3495" t="s">
        <v>3488</v>
      </c>
      <c r="C39" s="3495">
        <f>ROUND(D38*0.9,1)</f>
        <v>160.4</v>
      </c>
      <c r="D39" s="3496" t="s">
        <v>3489</v>
      </c>
      <c r="E39" s="3815">
        <f>ROUND(D38*1.1,1)</f>
        <v>196</v>
      </c>
      <c r="F39" s="3815"/>
      <c r="G39" s="3493" t="s">
        <v>3490</v>
      </c>
      <c r="H39" s="3497">
        <v>11</v>
      </c>
      <c r="J39" s="3525"/>
      <c r="K39" s="3525"/>
      <c r="L39" s="3525"/>
    </row>
    <row r="40" spans="1:13" ht="18" hidden="1" customHeight="1">
      <c r="B40" s="3495" t="s">
        <v>3491</v>
      </c>
      <c r="C40" s="3495">
        <f>ROUND(C39+H40,1)</f>
        <v>160.6</v>
      </c>
      <c r="D40" s="3496" t="s">
        <v>3489</v>
      </c>
      <c r="E40" s="3815">
        <f>ROUND(E39+H40,1)</f>
        <v>196.2</v>
      </c>
      <c r="F40" s="3815"/>
      <c r="G40" s="3535" t="s">
        <v>3492</v>
      </c>
      <c r="H40" s="3498">
        <v>0.2</v>
      </c>
      <c r="J40" s="3525"/>
      <c r="K40" s="3525"/>
      <c r="L40" s="3525"/>
    </row>
    <row r="41" spans="1:13" ht="18" customHeight="1">
      <c r="B41" s="3809" t="s">
        <v>3566</v>
      </c>
      <c r="C41" s="3809"/>
      <c r="D41" s="3817">
        <f>ROUND(D38*I3,0)</f>
        <v>15200</v>
      </c>
      <c r="E41" s="3817"/>
      <c r="F41" s="3817"/>
      <c r="G41" s="3497"/>
      <c r="H41" s="3549">
        <f>D41+H37</f>
        <v>16720</v>
      </c>
      <c r="I41" s="3493">
        <f>D41+I37</f>
        <v>16416</v>
      </c>
      <c r="J41" s="3525"/>
    </row>
    <row r="42" spans="1:13" ht="18" hidden="1" customHeight="1">
      <c r="B42" s="3493" t="s">
        <v>3493</v>
      </c>
      <c r="C42" s="3494"/>
      <c r="D42" s="3494"/>
      <c r="E42" s="3493" t="s">
        <v>3494</v>
      </c>
      <c r="F42" s="3494"/>
      <c r="G42" s="3497"/>
      <c r="H42" s="3497" t="s">
        <v>3495</v>
      </c>
      <c r="I42" s="3530"/>
      <c r="J42" s="3525"/>
    </row>
    <row r="43" spans="1:13" ht="29.25" customHeight="1">
      <c r="B43" s="3814" t="s">
        <v>3590</v>
      </c>
      <c r="C43" s="3814"/>
      <c r="D43" s="3814">
        <v>14000</v>
      </c>
      <c r="E43" s="3814"/>
      <c r="F43" s="3814"/>
      <c r="G43" s="3547">
        <v>1500</v>
      </c>
      <c r="H43" s="3547">
        <f>ROUND(H41*(1+I43),0)</f>
        <v>18225</v>
      </c>
      <c r="I43" s="3534">
        <v>0.09</v>
      </c>
    </row>
    <row r="44" spans="1:13">
      <c r="B44" s="3818" t="s">
        <v>3591</v>
      </c>
      <c r="C44" s="3818"/>
      <c r="D44" s="3818">
        <v>14800</v>
      </c>
      <c r="E44" s="3818"/>
      <c r="F44" s="3818"/>
      <c r="G44" s="3548">
        <f>D44+G43</f>
        <v>16300</v>
      </c>
      <c r="H44" s="3550">
        <f>G44-H41</f>
        <v>-420</v>
      </c>
    </row>
    <row r="45" spans="1:13">
      <c r="B45" s="3814" t="s">
        <v>3592</v>
      </c>
      <c r="C45" s="3814"/>
      <c r="D45" s="3814">
        <f>D44*24</f>
        <v>355200</v>
      </c>
      <c r="E45" s="3814"/>
      <c r="F45" s="3814"/>
    </row>
    <row r="46" spans="1:13">
      <c r="B46" s="3814" t="s">
        <v>3593</v>
      </c>
      <c r="C46" s="3814"/>
      <c r="D46" s="3814">
        <f>D45*G42</f>
        <v>0</v>
      </c>
      <c r="E46" s="3814"/>
      <c r="F46" s="3814"/>
    </row>
    <row r="47" spans="1:13">
      <c r="B47" s="3814" t="s">
        <v>3594</v>
      </c>
      <c r="C47" s="3814"/>
      <c r="D47" s="3814">
        <f>D46/24</f>
        <v>0</v>
      </c>
      <c r="E47" s="3814"/>
      <c r="F47" s="3814"/>
    </row>
    <row r="48" spans="1:13">
      <c r="B48" s="3814" t="s">
        <v>3595</v>
      </c>
      <c r="C48" s="3814"/>
      <c r="D48" s="3814">
        <f>D44+D47</f>
        <v>14800</v>
      </c>
      <c r="E48" s="3814"/>
      <c r="F48" s="3814"/>
    </row>
    <row r="49" spans="2:6">
      <c r="B49" s="3814" t="s">
        <v>3596</v>
      </c>
      <c r="C49" s="3814"/>
      <c r="D49" s="3814">
        <f>D43+D47</f>
        <v>14000</v>
      </c>
      <c r="E49" s="3814"/>
      <c r="F49" s="3814"/>
    </row>
  </sheetData>
  <mergeCells count="88">
    <mergeCell ref="B49:C49"/>
    <mergeCell ref="D49:F49"/>
    <mergeCell ref="B46:C46"/>
    <mergeCell ref="D46:F46"/>
    <mergeCell ref="B47:C47"/>
    <mergeCell ref="D47:F47"/>
    <mergeCell ref="B48:C48"/>
    <mergeCell ref="D48:F48"/>
    <mergeCell ref="B43:C43"/>
    <mergeCell ref="D43:F43"/>
    <mergeCell ref="B44:C44"/>
    <mergeCell ref="D44:F44"/>
    <mergeCell ref="B45:C45"/>
    <mergeCell ref="D45:F45"/>
    <mergeCell ref="H35:I35"/>
    <mergeCell ref="E39:F39"/>
    <mergeCell ref="E40:F40"/>
    <mergeCell ref="G38:I38"/>
    <mergeCell ref="D41:F41"/>
    <mergeCell ref="B41:C41"/>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1488E-5D17-4403-A3F5-471E69F0DA8B}">
  <sheetPr>
    <tabColor rgb="FF92D050"/>
    <pageSetUpPr fitToPage="1"/>
  </sheetPr>
  <dimension ref="A1:AC148"/>
  <sheetViews>
    <sheetView view="pageBreakPreview" topLeftCell="A10" zoomScale="80" zoomScaleNormal="60" zoomScaleSheetLayoutView="80" workbookViewId="0">
      <selection activeCell="G109" sqref="G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862.61329999999998</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101127</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2"/>
      <c r="M4" s="2713"/>
      <c r="N4" s="2713"/>
      <c r="O4" s="2713"/>
      <c r="P4" s="3826" t="s">
        <v>1667</v>
      </c>
      <c r="Q4" s="3827"/>
      <c r="R4" s="3832" t="s">
        <v>1663</v>
      </c>
      <c r="S4" s="3833"/>
      <c r="T4" s="3832" t="s">
        <v>1664</v>
      </c>
      <c r="U4" s="3833"/>
      <c r="V4" s="3847" t="s">
        <v>1665</v>
      </c>
      <c r="W4" s="3847"/>
      <c r="X4" s="3451"/>
      <c r="Y4" s="3832" t="s">
        <v>1667</v>
      </c>
      <c r="Z4" s="3833"/>
      <c r="AA4" s="3819" t="s">
        <v>1663</v>
      </c>
      <c r="AB4" s="3819" t="s">
        <v>1664</v>
      </c>
      <c r="AC4" s="3819" t="s">
        <v>1665</v>
      </c>
    </row>
    <row r="5" spans="1:29" ht="15.75" thickBot="1">
      <c r="A5" s="358"/>
      <c r="B5" s="359"/>
      <c r="C5" s="3836" t="s">
        <v>3583</v>
      </c>
      <c r="D5" s="3837"/>
      <c r="E5" s="3838" t="str">
        <f>C5</f>
        <v>知春里</v>
      </c>
      <c r="F5" s="3839"/>
      <c r="G5" s="3840" t="str">
        <f>C5</f>
        <v>知春里</v>
      </c>
      <c r="H5" s="3837"/>
      <c r="I5" s="3840" t="str">
        <f>C5</f>
        <v>知春里</v>
      </c>
      <c r="J5" s="3837"/>
      <c r="K5" s="1890"/>
      <c r="L5" s="2712"/>
      <c r="M5" s="2713"/>
      <c r="N5" s="2713"/>
      <c r="O5" s="2713"/>
      <c r="P5" s="3828"/>
      <c r="Q5" s="3829"/>
      <c r="R5" s="3834"/>
      <c r="S5" s="3835"/>
      <c r="T5" s="3834"/>
      <c r="U5" s="3835"/>
      <c r="V5" s="3847"/>
      <c r="W5" s="3847"/>
      <c r="X5" s="3451"/>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2"/>
      <c r="M6" s="2713"/>
      <c r="N6" s="2713"/>
      <c r="O6" s="2713"/>
      <c r="P6" s="3830"/>
      <c r="Q6" s="3831"/>
      <c r="R6" s="3834"/>
      <c r="S6" s="3835"/>
      <c r="T6" s="3845"/>
      <c r="U6" s="3846"/>
      <c r="V6" s="3847"/>
      <c r="W6" s="3847"/>
      <c r="X6" s="3451"/>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8" t="s">
        <v>1675</v>
      </c>
      <c r="Q7" s="3849"/>
      <c r="R7" s="701" t="s">
        <v>14</v>
      </c>
      <c r="S7" s="702">
        <f t="shared" ref="S7:S15" si="0">F7</f>
        <v>100</v>
      </c>
      <c r="T7" s="701" t="s">
        <v>14</v>
      </c>
      <c r="U7" s="702">
        <f t="shared" ref="U7:U15" si="1">H7</f>
        <v>100</v>
      </c>
      <c r="V7" s="701" t="s">
        <v>14</v>
      </c>
      <c r="W7" s="702">
        <f t="shared" ref="W7:W15" si="2">J7</f>
        <v>100</v>
      </c>
      <c r="X7" s="703"/>
      <c r="Y7" s="3848" t="s">
        <v>1675</v>
      </c>
      <c r="Z7" s="3850"/>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51" t="s">
        <v>1681</v>
      </c>
      <c r="Q9" s="3448" t="str">
        <f t="shared" ref="Q9:Q15" si="6">B9</f>
        <v>用途</v>
      </c>
      <c r="R9" s="701" t="s">
        <v>14</v>
      </c>
      <c r="S9" s="702">
        <f t="shared" si="0"/>
        <v>100</v>
      </c>
      <c r="T9" s="701" t="s">
        <v>14</v>
      </c>
      <c r="U9" s="702">
        <f t="shared" si="1"/>
        <v>100</v>
      </c>
      <c r="V9" s="701" t="s">
        <v>14</v>
      </c>
      <c r="W9" s="702">
        <f t="shared" si="2"/>
        <v>100</v>
      </c>
      <c r="X9" s="703"/>
      <c r="Y9" s="3715"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3585</v>
      </c>
      <c r="D10" s="127">
        <v>100</v>
      </c>
      <c r="E10" s="3504" t="s">
        <v>3510</v>
      </c>
      <c r="F10" s="376">
        <f>SUMIF(65:65,E10,66:66)-SUMIF(65:65,C10,66:66)+100</f>
        <v>100</v>
      </c>
      <c r="G10" s="3504" t="s">
        <v>3510</v>
      </c>
      <c r="H10" s="127">
        <f>SUMIF(65:65,G10,66:66)-SUMIF(65:65,C10,66:66)+100</f>
        <v>100</v>
      </c>
      <c r="I10" s="3504" t="s">
        <v>3510</v>
      </c>
      <c r="J10" s="127">
        <f>SUMIF(65:65,I10,66:66)-SUMIF(65:65,C10,66:66)+100</f>
        <v>100</v>
      </c>
      <c r="K10" s="1891"/>
      <c r="L10" s="2716"/>
      <c r="M10" s="2717"/>
      <c r="N10" s="2717"/>
      <c r="O10" s="2717"/>
      <c r="P10" s="3851"/>
      <c r="Q10" s="3448" t="str">
        <f t="shared" si="6"/>
        <v>土地使用年限（年）</v>
      </c>
      <c r="R10" s="701" t="s">
        <v>14</v>
      </c>
      <c r="S10" s="702">
        <f t="shared" si="0"/>
        <v>100</v>
      </c>
      <c r="T10" s="701" t="s">
        <v>14</v>
      </c>
      <c r="U10" s="702">
        <f t="shared" si="1"/>
        <v>100</v>
      </c>
      <c r="V10" s="701" t="s">
        <v>14</v>
      </c>
      <c r="W10" s="702">
        <f t="shared" si="2"/>
        <v>100</v>
      </c>
      <c r="X10" s="703"/>
      <c r="Y10" s="3715"/>
      <c r="Z10" s="3447" t="str">
        <f t="shared" si="7"/>
        <v>土地使用年限（年）</v>
      </c>
      <c r="AA10" s="704">
        <f t="shared" si="3"/>
        <v>1</v>
      </c>
      <c r="AB10" s="704">
        <f t="shared" si="4"/>
        <v>1</v>
      </c>
      <c r="AC10" s="704">
        <f t="shared" si="5"/>
        <v>1</v>
      </c>
    </row>
    <row r="11" spans="1:29" ht="15.75" hidden="1" thickBot="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1"/>
      <c r="Q11" s="3448" t="str">
        <f t="shared" si="6"/>
        <v>容积率</v>
      </c>
      <c r="R11" s="701" t="s">
        <v>14</v>
      </c>
      <c r="S11" s="702">
        <f t="shared" si="0"/>
        <v>100</v>
      </c>
      <c r="T11" s="701" t="s">
        <v>14</v>
      </c>
      <c r="U11" s="702">
        <f t="shared" si="1"/>
        <v>100</v>
      </c>
      <c r="V11" s="701" t="s">
        <v>14</v>
      </c>
      <c r="W11" s="702">
        <f t="shared" si="2"/>
        <v>100</v>
      </c>
      <c r="X11" s="703"/>
      <c r="Y11" s="3715"/>
      <c r="Z11" s="3447" t="str">
        <f t="shared" si="7"/>
        <v>容积率</v>
      </c>
      <c r="AA11" s="704">
        <f t="shared" si="3"/>
        <v>1</v>
      </c>
      <c r="AB11" s="704">
        <f t="shared" si="4"/>
        <v>1</v>
      </c>
      <c r="AC11" s="704">
        <f t="shared" si="5"/>
        <v>1</v>
      </c>
    </row>
    <row r="12" spans="1:29" s="108" customFormat="1" ht="15.75" hidden="1" thickBot="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1"/>
      <c r="Q12" s="3448">
        <f t="shared" si="6"/>
        <v>111</v>
      </c>
      <c r="R12" s="701" t="s">
        <v>14</v>
      </c>
      <c r="S12" s="702">
        <f t="shared" si="0"/>
        <v>100</v>
      </c>
      <c r="T12" s="701" t="s">
        <v>14</v>
      </c>
      <c r="U12" s="702">
        <f t="shared" si="1"/>
        <v>100</v>
      </c>
      <c r="V12" s="701" t="s">
        <v>14</v>
      </c>
      <c r="W12" s="702">
        <f t="shared" si="2"/>
        <v>100</v>
      </c>
      <c r="X12" s="703"/>
      <c r="Y12" s="3715"/>
      <c r="Z12" s="3447">
        <f t="shared" si="7"/>
        <v>111</v>
      </c>
      <c r="AA12" s="704">
        <f>D12/F12</f>
        <v>1</v>
      </c>
      <c r="AB12" s="704">
        <f>D12/H12</f>
        <v>1</v>
      </c>
      <c r="AC12" s="704">
        <f>D12/J12</f>
        <v>1</v>
      </c>
    </row>
    <row r="13" spans="1:29" ht="15.75" hidden="1" thickBot="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1"/>
      <c r="Q13" s="3448">
        <f t="shared" si="6"/>
        <v>111</v>
      </c>
      <c r="R13" s="701" t="s">
        <v>14</v>
      </c>
      <c r="S13" s="702">
        <f t="shared" si="0"/>
        <v>100</v>
      </c>
      <c r="T13" s="701" t="s">
        <v>14</v>
      </c>
      <c r="U13" s="702">
        <f t="shared" si="1"/>
        <v>100</v>
      </c>
      <c r="V13" s="701" t="s">
        <v>14</v>
      </c>
      <c r="W13" s="702">
        <f t="shared" si="2"/>
        <v>100</v>
      </c>
      <c r="X13" s="703"/>
      <c r="Y13" s="3715"/>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1"/>
      <c r="Q14" s="3448">
        <f t="shared" si="6"/>
        <v>111</v>
      </c>
      <c r="R14" s="701" t="s">
        <v>14</v>
      </c>
      <c r="S14" s="702">
        <f t="shared" si="0"/>
        <v>100</v>
      </c>
      <c r="T14" s="701" t="s">
        <v>14</v>
      </c>
      <c r="U14" s="702">
        <f t="shared" si="1"/>
        <v>100</v>
      </c>
      <c r="V14" s="701" t="s">
        <v>14</v>
      </c>
      <c r="W14" s="702">
        <f t="shared" si="2"/>
        <v>100</v>
      </c>
      <c r="X14" s="703"/>
      <c r="Y14" s="3715"/>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2" t="s">
        <v>1686</v>
      </c>
      <c r="Q15" s="3449" t="str">
        <f t="shared" si="6"/>
        <v>居住社区成熟度</v>
      </c>
      <c r="R15" s="705" t="s">
        <v>14</v>
      </c>
      <c r="S15" s="706">
        <f t="shared" si="0"/>
        <v>100</v>
      </c>
      <c r="T15" s="705" t="s">
        <v>14</v>
      </c>
      <c r="U15" s="706">
        <f t="shared" si="1"/>
        <v>100</v>
      </c>
      <c r="V15" s="705" t="s">
        <v>14</v>
      </c>
      <c r="W15" s="706">
        <f t="shared" si="2"/>
        <v>100</v>
      </c>
      <c r="X15" s="3451"/>
      <c r="Y15" s="3854"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53"/>
      <c r="Q16" s="3449"/>
      <c r="R16" s="705"/>
      <c r="S16" s="706"/>
      <c r="T16" s="705"/>
      <c r="U16" s="706"/>
      <c r="V16" s="705"/>
      <c r="W16" s="706"/>
      <c r="X16" s="3451"/>
      <c r="Y16" s="385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3"/>
      <c r="Q17" s="3449" t="str">
        <f>B17</f>
        <v>交通便捷度</v>
      </c>
      <c r="R17" s="705" t="s">
        <v>14</v>
      </c>
      <c r="S17" s="706">
        <f>F17</f>
        <v>100</v>
      </c>
      <c r="T17" s="705" t="s">
        <v>14</v>
      </c>
      <c r="U17" s="706">
        <f>H17</f>
        <v>100</v>
      </c>
      <c r="V17" s="705" t="s">
        <v>14</v>
      </c>
      <c r="W17" s="706">
        <f>J17</f>
        <v>100</v>
      </c>
      <c r="X17" s="3451"/>
      <c r="Y17" s="3855"/>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53"/>
      <c r="Q18" s="3449"/>
      <c r="R18" s="705"/>
      <c r="S18" s="706"/>
      <c r="T18" s="705"/>
      <c r="U18" s="706"/>
      <c r="V18" s="705"/>
      <c r="W18" s="706"/>
      <c r="X18" s="3451"/>
      <c r="Y18" s="385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3"/>
      <c r="Q19" s="3449" t="str">
        <f>B19</f>
        <v>公共配套设施</v>
      </c>
      <c r="R19" s="705" t="s">
        <v>14</v>
      </c>
      <c r="S19" s="706">
        <f>F19</f>
        <v>100</v>
      </c>
      <c r="T19" s="705" t="s">
        <v>14</v>
      </c>
      <c r="U19" s="706">
        <f>H19</f>
        <v>100</v>
      </c>
      <c r="V19" s="705" t="s">
        <v>14</v>
      </c>
      <c r="W19" s="706">
        <f>J19</f>
        <v>100</v>
      </c>
      <c r="X19" s="3451"/>
      <c r="Y19" s="3855"/>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53"/>
      <c r="Q20" s="3449"/>
      <c r="R20" s="705"/>
      <c r="S20" s="706"/>
      <c r="T20" s="705"/>
      <c r="U20" s="706"/>
      <c r="V20" s="705"/>
      <c r="W20" s="706"/>
      <c r="X20" s="3451"/>
      <c r="Y20" s="385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3"/>
      <c r="Q21" s="3449" t="str">
        <f>B21</f>
        <v>基础设施水平</v>
      </c>
      <c r="R21" s="705" t="s">
        <v>14</v>
      </c>
      <c r="S21" s="706">
        <f>F21</f>
        <v>100</v>
      </c>
      <c r="T21" s="705" t="s">
        <v>14</v>
      </c>
      <c r="U21" s="706">
        <f>H21</f>
        <v>100</v>
      </c>
      <c r="V21" s="705" t="s">
        <v>14</v>
      </c>
      <c r="W21" s="706">
        <f>J21</f>
        <v>100</v>
      </c>
      <c r="X21" s="3451"/>
      <c r="Y21" s="3855"/>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53"/>
      <c r="Q22" s="3449"/>
      <c r="R22" s="705"/>
      <c r="S22" s="706"/>
      <c r="T22" s="705"/>
      <c r="U22" s="706"/>
      <c r="V22" s="705"/>
      <c r="W22" s="706"/>
      <c r="X22" s="3451"/>
      <c r="Y22" s="385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3"/>
      <c r="Q23" s="3449" t="str">
        <f>B23</f>
        <v>自然及人文环境</v>
      </c>
      <c r="R23" s="705" t="s">
        <v>14</v>
      </c>
      <c r="S23" s="706">
        <f>F23</f>
        <v>100</v>
      </c>
      <c r="T23" s="705" t="s">
        <v>14</v>
      </c>
      <c r="U23" s="706">
        <f>H23</f>
        <v>100</v>
      </c>
      <c r="V23" s="705" t="s">
        <v>14</v>
      </c>
      <c r="W23" s="706">
        <f>J23</f>
        <v>100</v>
      </c>
      <c r="X23" s="3451"/>
      <c r="Y23" s="3855"/>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53"/>
      <c r="Q24" s="3449"/>
      <c r="R24" s="705"/>
      <c r="S24" s="706"/>
      <c r="T24" s="705"/>
      <c r="U24" s="706"/>
      <c r="V24" s="705"/>
      <c r="W24" s="706"/>
      <c r="X24" s="3451"/>
      <c r="Y24" s="385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3526</v>
      </c>
      <c r="H26" s="386">
        <f>SUMIF(88:88,G26,89:89)-SUMIF(88:88,C26,89:89)+100</f>
        <v>102.5</v>
      </c>
      <c r="I26" s="1907" t="s">
        <v>3527</v>
      </c>
      <c r="J26" s="386">
        <f>SUMIF(88:88,I26,89:89)-SUMIF(88:88,C26,89:89)+100</f>
        <v>102</v>
      </c>
      <c r="K26" s="377">
        <v>0.5</v>
      </c>
      <c r="L26" s="2719"/>
      <c r="M26" s="2713"/>
      <c r="N26" s="2713"/>
      <c r="O26" s="2713"/>
      <c r="P26" s="3853"/>
      <c r="Q26" s="3449" t="str">
        <f t="shared" si="11"/>
        <v>朝向</v>
      </c>
      <c r="R26" s="705" t="s">
        <v>14</v>
      </c>
      <c r="S26" s="706">
        <f t="shared" si="12"/>
        <v>102</v>
      </c>
      <c r="T26" s="705" t="s">
        <v>14</v>
      </c>
      <c r="U26" s="706">
        <f t="shared" si="13"/>
        <v>102.5</v>
      </c>
      <c r="V26" s="705" t="s">
        <v>14</v>
      </c>
      <c r="W26" s="706">
        <f t="shared" si="14"/>
        <v>102</v>
      </c>
      <c r="X26" s="3451"/>
      <c r="Y26" s="3855"/>
      <c r="Z26" s="3452" t="str">
        <f>Q26</f>
        <v>朝向</v>
      </c>
      <c r="AA26" s="3450">
        <f t="shared" si="15"/>
        <v>0.98039215686274506</v>
      </c>
      <c r="AB26" s="3450">
        <f t="shared" si="16"/>
        <v>0.97560975609756095</v>
      </c>
      <c r="AC26" s="3450">
        <f t="shared" si="17"/>
        <v>0.98039215686274506</v>
      </c>
    </row>
    <row r="27" spans="1:29" s="108" customFormat="1" ht="15.75" thickBot="1">
      <c r="A27" s="382"/>
      <c r="B27" s="3503" t="s">
        <v>3514</v>
      </c>
      <c r="C27" s="3519" t="s">
        <v>3586</v>
      </c>
      <c r="D27" s="413">
        <v>100</v>
      </c>
      <c r="E27" s="3519" t="str">
        <f>售价案例!O3</f>
        <v>低楼层/18</v>
      </c>
      <c r="F27" s="413">
        <f>SUMIF(90:90,E27,91:91)-SUMIF(90:90,C27,91:91)+100</f>
        <v>100</v>
      </c>
      <c r="G27" s="3519" t="str">
        <f>售价案例!O4</f>
        <v>低楼层/18</v>
      </c>
      <c r="H27" s="413">
        <f>SUMIF(90:90,G27,91:91)-SUMIF(90:90,C27,91:91)+100</f>
        <v>100</v>
      </c>
      <c r="I27" s="3519" t="str">
        <f>售价案例!O5</f>
        <v>高楼层/18</v>
      </c>
      <c r="J27" s="413">
        <f>SUMIF(90:90,I27,91:91)-SUMIF(90:90,C27,91:91)+100</f>
        <v>106</v>
      </c>
      <c r="K27" s="1894"/>
      <c r="L27" s="2714"/>
      <c r="M27" s="2715"/>
      <c r="N27" s="2715"/>
      <c r="O27" s="2715"/>
      <c r="P27" s="3853"/>
      <c r="Q27" s="3448" t="str">
        <f t="shared" si="11"/>
        <v>楼层</v>
      </c>
      <c r="R27" s="701" t="s">
        <v>14</v>
      </c>
      <c r="S27" s="702">
        <f t="shared" si="12"/>
        <v>100</v>
      </c>
      <c r="T27" s="701" t="s">
        <v>14</v>
      </c>
      <c r="U27" s="702">
        <f t="shared" si="13"/>
        <v>100</v>
      </c>
      <c r="V27" s="701" t="s">
        <v>14</v>
      </c>
      <c r="W27" s="702">
        <f t="shared" si="14"/>
        <v>106</v>
      </c>
      <c r="X27" s="703"/>
      <c r="Y27" s="3855"/>
      <c r="Z27" s="3447" t="str">
        <f>Q27</f>
        <v>楼层</v>
      </c>
      <c r="AA27" s="3450">
        <f t="shared" si="15"/>
        <v>1</v>
      </c>
      <c r="AB27" s="3450">
        <f t="shared" si="16"/>
        <v>1</v>
      </c>
      <c r="AC27" s="3450">
        <f t="shared" si="17"/>
        <v>0.94339622641509435</v>
      </c>
    </row>
    <row r="28" spans="1:29" ht="15.75" hidden="1" thickBot="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3"/>
      <c r="Q28" s="3449">
        <f t="shared" si="11"/>
        <v>111</v>
      </c>
      <c r="R28" s="705" t="s">
        <v>14</v>
      </c>
      <c r="S28" s="706">
        <f t="shared" si="12"/>
        <v>100</v>
      </c>
      <c r="T28" s="705" t="s">
        <v>14</v>
      </c>
      <c r="U28" s="706">
        <f t="shared" si="13"/>
        <v>100</v>
      </c>
      <c r="V28" s="705" t="s">
        <v>14</v>
      </c>
      <c r="W28" s="706">
        <f t="shared" si="14"/>
        <v>100</v>
      </c>
      <c r="X28" s="3451"/>
      <c r="Y28" s="3855"/>
      <c r="Z28" s="3452">
        <f t="shared" ref="Z28:Z46" si="18">Q28</f>
        <v>111</v>
      </c>
      <c r="AA28" s="3450">
        <f t="shared" si="15"/>
        <v>1</v>
      </c>
      <c r="AB28" s="3450">
        <f t="shared" si="16"/>
        <v>1</v>
      </c>
      <c r="AC28" s="3450">
        <f t="shared" si="17"/>
        <v>1</v>
      </c>
    </row>
    <row r="29" spans="1:29" ht="15.75" hidden="1" thickBot="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3"/>
      <c r="Q29" s="3449">
        <f t="shared" si="11"/>
        <v>111</v>
      </c>
      <c r="R29" s="705" t="s">
        <v>14</v>
      </c>
      <c r="S29" s="706">
        <f t="shared" si="12"/>
        <v>100</v>
      </c>
      <c r="T29" s="705" t="s">
        <v>14</v>
      </c>
      <c r="U29" s="706">
        <f t="shared" si="13"/>
        <v>100</v>
      </c>
      <c r="V29" s="705" t="s">
        <v>14</v>
      </c>
      <c r="W29" s="706">
        <f t="shared" si="14"/>
        <v>100</v>
      </c>
      <c r="X29" s="3451"/>
      <c r="Y29" s="3855"/>
      <c r="Z29" s="3452">
        <f t="shared" si="18"/>
        <v>111</v>
      </c>
      <c r="AA29" s="3450">
        <f t="shared" si="15"/>
        <v>1</v>
      </c>
      <c r="AB29" s="3450">
        <f t="shared" si="16"/>
        <v>1</v>
      </c>
      <c r="AC29" s="3450">
        <f t="shared" si="17"/>
        <v>1</v>
      </c>
    </row>
    <row r="30" spans="1:29" ht="15.75" hidden="1" thickBot="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3"/>
      <c r="Q30" s="3449">
        <f t="shared" si="11"/>
        <v>111</v>
      </c>
      <c r="R30" s="705" t="s">
        <v>14</v>
      </c>
      <c r="S30" s="706">
        <f t="shared" si="12"/>
        <v>100</v>
      </c>
      <c r="T30" s="705" t="s">
        <v>14</v>
      </c>
      <c r="U30" s="706">
        <f t="shared" si="13"/>
        <v>100</v>
      </c>
      <c r="V30" s="705" t="s">
        <v>14</v>
      </c>
      <c r="W30" s="706">
        <f t="shared" si="14"/>
        <v>100</v>
      </c>
      <c r="X30" s="3451"/>
      <c r="Y30" s="385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3"/>
      <c r="Q31" s="3449">
        <f t="shared" si="11"/>
        <v>111</v>
      </c>
      <c r="R31" s="705" t="s">
        <v>14</v>
      </c>
      <c r="S31" s="706">
        <f t="shared" si="12"/>
        <v>100</v>
      </c>
      <c r="T31" s="705" t="s">
        <v>14</v>
      </c>
      <c r="U31" s="706">
        <f t="shared" si="13"/>
        <v>100</v>
      </c>
      <c r="V31" s="705" t="s">
        <v>14</v>
      </c>
      <c r="W31" s="706">
        <f t="shared" si="14"/>
        <v>100</v>
      </c>
      <c r="X31" s="3451"/>
      <c r="Y31" s="3855"/>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56" t="s">
        <v>1691</v>
      </c>
      <c r="Q32" s="3449" t="str">
        <f t="shared" si="11"/>
        <v>建筑类型</v>
      </c>
      <c r="R32" s="705" t="s">
        <v>14</v>
      </c>
      <c r="S32" s="706">
        <f t="shared" si="12"/>
        <v>100</v>
      </c>
      <c r="T32" s="705" t="s">
        <v>14</v>
      </c>
      <c r="U32" s="706">
        <f t="shared" si="13"/>
        <v>100</v>
      </c>
      <c r="V32" s="705" t="s">
        <v>14</v>
      </c>
      <c r="W32" s="706">
        <f t="shared" si="14"/>
        <v>100</v>
      </c>
      <c r="X32" s="3451"/>
      <c r="Y32" s="3859"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售价案例!L3</f>
        <v>63.2</v>
      </c>
      <c r="F33" s="376">
        <f>LOOKUP(E33,103:103,104:104)-LOOKUP(C33,103:103,104:104)+100</f>
        <v>102</v>
      </c>
      <c r="G33" s="380">
        <f>售价案例!L4</f>
        <v>74.099999999999994</v>
      </c>
      <c r="H33" s="127">
        <f>LOOKUP(G33,103:103,104:104)-LOOKUP(C33,103:103,104:104)+100</f>
        <v>102</v>
      </c>
      <c r="I33" s="381">
        <f>售价案例!L5</f>
        <v>74.099999999999994</v>
      </c>
      <c r="J33" s="127">
        <f>LOOKUP(I33,103:103,104:104)-LOOKUP(C33,103:103,104:104)+100</f>
        <v>102</v>
      </c>
      <c r="K33" s="1894"/>
      <c r="L33" s="2718"/>
      <c r="M33" s="2720"/>
      <c r="N33" s="2720"/>
      <c r="O33" s="2720"/>
      <c r="P33" s="3857"/>
      <c r="Q33" s="707" t="str">
        <f t="shared" si="11"/>
        <v>项目建筑规模</v>
      </c>
      <c r="R33" s="708" t="s">
        <v>14</v>
      </c>
      <c r="S33" s="709">
        <f t="shared" si="12"/>
        <v>102</v>
      </c>
      <c r="T33" s="708" t="s">
        <v>14</v>
      </c>
      <c r="U33" s="709">
        <f t="shared" si="13"/>
        <v>102</v>
      </c>
      <c r="V33" s="708" t="s">
        <v>14</v>
      </c>
      <c r="W33" s="709">
        <f t="shared" si="14"/>
        <v>102</v>
      </c>
      <c r="X33" s="710"/>
      <c r="Y33" s="3859"/>
      <c r="Z33" s="711" t="str">
        <f t="shared" si="18"/>
        <v>项目建筑规模</v>
      </c>
      <c r="AA33" s="3450">
        <f t="shared" si="15"/>
        <v>0.98039215686274506</v>
      </c>
      <c r="AB33" s="3450">
        <f t="shared" si="16"/>
        <v>0.98039215686274506</v>
      </c>
      <c r="AC33" s="3450">
        <f t="shared" si="17"/>
        <v>0.98039215686274506</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57"/>
      <c r="Q34" s="3449" t="str">
        <f t="shared" si="11"/>
        <v>建筑结构</v>
      </c>
      <c r="R34" s="705" t="s">
        <v>14</v>
      </c>
      <c r="S34" s="706">
        <f t="shared" si="12"/>
        <v>100</v>
      </c>
      <c r="T34" s="705" t="s">
        <v>14</v>
      </c>
      <c r="U34" s="706">
        <f t="shared" si="13"/>
        <v>100</v>
      </c>
      <c r="V34" s="705" t="s">
        <v>14</v>
      </c>
      <c r="W34" s="706">
        <f t="shared" si="14"/>
        <v>100</v>
      </c>
      <c r="X34" s="3451"/>
      <c r="Y34" s="385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857"/>
      <c r="Q35" s="3449" t="str">
        <f t="shared" si="11"/>
        <v>建筑品质</v>
      </c>
      <c r="R35" s="705" t="s">
        <v>14</v>
      </c>
      <c r="S35" s="706">
        <f t="shared" si="12"/>
        <v>100</v>
      </c>
      <c r="T35" s="705" t="s">
        <v>14</v>
      </c>
      <c r="U35" s="706">
        <f t="shared" si="13"/>
        <v>100</v>
      </c>
      <c r="V35" s="705" t="s">
        <v>14</v>
      </c>
      <c r="W35" s="706">
        <f t="shared" si="14"/>
        <v>100</v>
      </c>
      <c r="X35" s="3451"/>
      <c r="Y35" s="3859"/>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57"/>
      <c r="Q36" s="3449" t="str">
        <f t="shared" si="11"/>
        <v>公共部分装修</v>
      </c>
      <c r="R36" s="705" t="s">
        <v>14</v>
      </c>
      <c r="S36" s="706">
        <f t="shared" si="12"/>
        <v>100</v>
      </c>
      <c r="T36" s="705" t="s">
        <v>14</v>
      </c>
      <c r="U36" s="706">
        <f t="shared" si="13"/>
        <v>100</v>
      </c>
      <c r="V36" s="705" t="s">
        <v>14</v>
      </c>
      <c r="W36" s="706">
        <f t="shared" si="14"/>
        <v>100</v>
      </c>
      <c r="X36" s="3451"/>
      <c r="Y36" s="385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7"/>
      <c r="Q37" s="3448" t="str">
        <f t="shared" si="11"/>
        <v>成新度</v>
      </c>
      <c r="R37" s="701" t="s">
        <v>14</v>
      </c>
      <c r="S37" s="702">
        <f t="shared" si="12"/>
        <v>100</v>
      </c>
      <c r="T37" s="701" t="s">
        <v>14</v>
      </c>
      <c r="U37" s="702">
        <f t="shared" si="13"/>
        <v>100</v>
      </c>
      <c r="V37" s="701" t="s">
        <v>14</v>
      </c>
      <c r="W37" s="702">
        <f t="shared" si="14"/>
        <v>100</v>
      </c>
      <c r="X37" s="703"/>
      <c r="Y37" s="3859"/>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57" t="s">
        <v>1691</v>
      </c>
      <c r="Q38" s="3449" t="str">
        <f t="shared" si="11"/>
        <v>物业管理</v>
      </c>
      <c r="R38" s="705" t="s">
        <v>14</v>
      </c>
      <c r="S38" s="706">
        <f t="shared" si="12"/>
        <v>100</v>
      </c>
      <c r="T38" s="705" t="s">
        <v>14</v>
      </c>
      <c r="U38" s="706">
        <f t="shared" si="13"/>
        <v>100</v>
      </c>
      <c r="V38" s="705" t="s">
        <v>14</v>
      </c>
      <c r="W38" s="706">
        <f t="shared" si="14"/>
        <v>100</v>
      </c>
      <c r="X38" s="3451"/>
      <c r="Y38" s="3859"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57"/>
      <c r="Q39" s="3449" t="str">
        <f t="shared" si="11"/>
        <v>市政基础设施</v>
      </c>
      <c r="R39" s="705" t="s">
        <v>14</v>
      </c>
      <c r="S39" s="706">
        <f t="shared" si="12"/>
        <v>100</v>
      </c>
      <c r="T39" s="705" t="s">
        <v>14</v>
      </c>
      <c r="U39" s="706">
        <f t="shared" si="13"/>
        <v>100</v>
      </c>
      <c r="V39" s="705" t="s">
        <v>14</v>
      </c>
      <c r="W39" s="706">
        <f t="shared" si="14"/>
        <v>100</v>
      </c>
      <c r="X39" s="3451"/>
      <c r="Y39" s="3859"/>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57"/>
      <c r="Q40" s="3449" t="str">
        <f t="shared" si="11"/>
        <v>房型</v>
      </c>
      <c r="R40" s="705" t="s">
        <v>14</v>
      </c>
      <c r="S40" s="706">
        <f t="shared" si="12"/>
        <v>100</v>
      </c>
      <c r="T40" s="705" t="s">
        <v>14</v>
      </c>
      <c r="U40" s="706">
        <f t="shared" si="13"/>
        <v>100</v>
      </c>
      <c r="V40" s="705" t="s">
        <v>14</v>
      </c>
      <c r="W40" s="706">
        <f t="shared" si="14"/>
        <v>100</v>
      </c>
      <c r="X40" s="3451"/>
      <c r="Y40" s="385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3541</v>
      </c>
      <c r="H42" s="386">
        <f>SUMIF(122:122,G42,123:123)-SUMIF(122:122,C42,123:123)+100</f>
        <v>100</v>
      </c>
      <c r="I42" s="1906" t="s">
        <v>3541</v>
      </c>
      <c r="J42" s="386">
        <f>SUMIF(122:122,I42,123:123)-SUMIF(122:122,C42,123:123)+100</f>
        <v>100</v>
      </c>
      <c r="K42" s="377">
        <v>2</v>
      </c>
      <c r="L42" s="2719"/>
      <c r="M42" s="2713"/>
      <c r="N42" s="2713"/>
      <c r="O42" s="2713"/>
      <c r="P42" s="3857"/>
      <c r="Q42" s="3449" t="str">
        <f t="shared" si="11"/>
        <v>内部装修</v>
      </c>
      <c r="R42" s="705" t="s">
        <v>14</v>
      </c>
      <c r="S42" s="706">
        <f t="shared" si="12"/>
        <v>100</v>
      </c>
      <c r="T42" s="705" t="s">
        <v>14</v>
      </c>
      <c r="U42" s="706">
        <f t="shared" si="13"/>
        <v>100</v>
      </c>
      <c r="V42" s="705" t="s">
        <v>14</v>
      </c>
      <c r="W42" s="706">
        <f t="shared" si="14"/>
        <v>100</v>
      </c>
      <c r="X42" s="3451"/>
      <c r="Y42" s="3859"/>
      <c r="Z42" s="3452" t="str">
        <f t="shared" si="18"/>
        <v>内部装修</v>
      </c>
      <c r="AA42" s="3450">
        <f t="shared" si="15"/>
        <v>1</v>
      </c>
      <c r="AB42" s="3450">
        <f t="shared" si="16"/>
        <v>1</v>
      </c>
      <c r="AC42" s="3450">
        <f t="shared" si="17"/>
        <v>1</v>
      </c>
    </row>
    <row r="43" spans="1:29" ht="15.75" thickBot="1">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57"/>
      <c r="Q43" s="3449" t="str">
        <f t="shared" si="11"/>
        <v>内部装修维护情况</v>
      </c>
      <c r="R43" s="705" t="s">
        <v>14</v>
      </c>
      <c r="S43" s="706">
        <f t="shared" si="12"/>
        <v>100</v>
      </c>
      <c r="T43" s="705" t="s">
        <v>14</v>
      </c>
      <c r="U43" s="706">
        <f t="shared" si="13"/>
        <v>100</v>
      </c>
      <c r="V43" s="705" t="s">
        <v>14</v>
      </c>
      <c r="W43" s="706">
        <f t="shared" si="14"/>
        <v>100</v>
      </c>
      <c r="X43" s="3451"/>
      <c r="Y43" s="3859"/>
      <c r="Z43" s="3452" t="str">
        <f t="shared" si="18"/>
        <v>内部装修维护情况</v>
      </c>
      <c r="AA43" s="3450">
        <f t="shared" si="15"/>
        <v>1</v>
      </c>
      <c r="AB43" s="3450">
        <f t="shared" si="16"/>
        <v>1</v>
      </c>
      <c r="AC43" s="3450">
        <f t="shared" si="17"/>
        <v>1</v>
      </c>
    </row>
    <row r="44" spans="1:29" s="108" customFormat="1" ht="30" hidden="1" customHeight="1">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857"/>
      <c r="Q44" s="3448">
        <f t="shared" si="11"/>
        <v>111</v>
      </c>
      <c r="R44" s="701" t="s">
        <v>14</v>
      </c>
      <c r="S44" s="702">
        <f t="shared" si="12"/>
        <v>100</v>
      </c>
      <c r="T44" s="701" t="s">
        <v>14</v>
      </c>
      <c r="U44" s="702">
        <f t="shared" si="13"/>
        <v>100</v>
      </c>
      <c r="V44" s="701" t="s">
        <v>14</v>
      </c>
      <c r="W44" s="702">
        <f t="shared" si="14"/>
        <v>100</v>
      </c>
      <c r="X44" s="703"/>
      <c r="Y44" s="3859"/>
      <c r="Z44" s="3447">
        <f t="shared" si="18"/>
        <v>111</v>
      </c>
      <c r="AA44" s="704">
        <f t="shared" si="15"/>
        <v>1</v>
      </c>
      <c r="AB44" s="704">
        <f t="shared" si="16"/>
        <v>1</v>
      </c>
      <c r="AC44" s="704">
        <f t="shared" si="17"/>
        <v>1</v>
      </c>
    </row>
    <row r="45" spans="1:29" ht="15.75" hidden="1" thickBot="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7"/>
      <c r="Q45" s="3449">
        <f t="shared" si="11"/>
        <v>111</v>
      </c>
      <c r="R45" s="705" t="s">
        <v>14</v>
      </c>
      <c r="S45" s="706">
        <f t="shared" si="12"/>
        <v>100</v>
      </c>
      <c r="T45" s="705" t="s">
        <v>14</v>
      </c>
      <c r="U45" s="706">
        <f t="shared" si="13"/>
        <v>100</v>
      </c>
      <c r="V45" s="705" t="s">
        <v>14</v>
      </c>
      <c r="W45" s="706">
        <f t="shared" si="14"/>
        <v>100</v>
      </c>
      <c r="X45" s="3451"/>
      <c r="Y45" s="3859"/>
      <c r="Z45" s="3452">
        <f t="shared" si="18"/>
        <v>111</v>
      </c>
      <c r="AA45" s="3450">
        <f t="shared" si="15"/>
        <v>1</v>
      </c>
      <c r="AB45" s="3450">
        <f t="shared" si="16"/>
        <v>1</v>
      </c>
      <c r="AC45" s="3450">
        <f t="shared" si="17"/>
        <v>1</v>
      </c>
    </row>
    <row r="46" spans="1:29" ht="15.75" hidden="1"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8"/>
      <c r="Q46" s="3449">
        <f t="shared" si="11"/>
        <v>111</v>
      </c>
      <c r="R46" s="705" t="s">
        <v>14</v>
      </c>
      <c r="S46" s="706">
        <f t="shared" si="12"/>
        <v>100</v>
      </c>
      <c r="T46" s="705" t="s">
        <v>14</v>
      </c>
      <c r="U46" s="706">
        <f t="shared" si="13"/>
        <v>100</v>
      </c>
      <c r="V46" s="705" t="s">
        <v>14</v>
      </c>
      <c r="W46" s="706">
        <f t="shared" si="14"/>
        <v>100</v>
      </c>
      <c r="X46" s="3451"/>
      <c r="Y46" s="3860"/>
      <c r="Z46" s="3452">
        <f t="shared" si="18"/>
        <v>111</v>
      </c>
      <c r="AA46" s="3450">
        <f t="shared" si="15"/>
        <v>1</v>
      </c>
      <c r="AB46" s="3450">
        <f t="shared" si="16"/>
        <v>1</v>
      </c>
      <c r="AC46" s="3450">
        <f t="shared" si="17"/>
        <v>1</v>
      </c>
    </row>
    <row r="47" spans="1:29" ht="15">
      <c r="A47" s="430" t="s">
        <v>1703</v>
      </c>
      <c r="B47" s="431"/>
      <c r="C47" s="1154" t="s">
        <v>0</v>
      </c>
      <c r="D47" s="1155"/>
      <c r="E47" s="1156">
        <f>售价案例!M3</f>
        <v>110444</v>
      </c>
      <c r="F47" s="1157"/>
      <c r="G47" s="1158">
        <f>售价案例!M4</f>
        <v>105129</v>
      </c>
      <c r="H47" s="1159"/>
      <c r="I47" s="1156">
        <f>售价案例!M5</f>
        <v>106613</v>
      </c>
      <c r="J47" s="1159"/>
      <c r="K47" s="1912"/>
      <c r="L47" s="2721"/>
      <c r="M47" s="2722"/>
      <c r="N47" s="2713"/>
      <c r="O47" s="2722"/>
      <c r="P47" s="3861" t="str">
        <f>A47</f>
        <v>成交单价（元/平方米）</v>
      </c>
      <c r="Q47" s="3861"/>
      <c r="R47" s="3862">
        <f>E47</f>
        <v>110444</v>
      </c>
      <c r="S47" s="3862"/>
      <c r="T47" s="3862">
        <f>G47</f>
        <v>105129</v>
      </c>
      <c r="U47" s="3862"/>
      <c r="V47" s="3862">
        <f>I47</f>
        <v>106613</v>
      </c>
      <c r="W47" s="3862"/>
      <c r="X47" s="690"/>
      <c r="Y47" s="712"/>
      <c r="Z47" s="690"/>
      <c r="AA47" s="690"/>
      <c r="AB47" s="690"/>
      <c r="AC47" s="690"/>
    </row>
    <row r="48" spans="1:29" ht="15.75" thickBot="1">
      <c r="A48" s="437" t="s">
        <v>1704</v>
      </c>
      <c r="B48" s="438"/>
      <c r="C48" s="1160">
        <f>R49</f>
        <v>101127</v>
      </c>
      <c r="D48" s="2315" t="s">
        <v>2130</v>
      </c>
      <c r="E48" s="1161">
        <f>R48</f>
        <v>106155</v>
      </c>
      <c r="F48" s="2316"/>
      <c r="G48" s="1160">
        <f>T48</f>
        <v>100554</v>
      </c>
      <c r="H48" s="2316"/>
      <c r="I48" s="1161">
        <f>V48</f>
        <v>96673</v>
      </c>
      <c r="J48" s="2316"/>
      <c r="K48" s="2317">
        <f>F48+H48+J48</f>
        <v>0</v>
      </c>
      <c r="L48" s="2721"/>
      <c r="M48" s="2722"/>
      <c r="N48" s="2722"/>
      <c r="O48" s="2722"/>
      <c r="P48" s="3861" t="str">
        <f>A48</f>
        <v>比较价值（元/平方米）</v>
      </c>
      <c r="Q48" s="3861"/>
      <c r="R48" s="3862">
        <f>IF(F1="售价",ROUND(PRODUCT(R47,AA7:AA46),0),ROUND(PRODUCT(R47,AA7:AA46),1))</f>
        <v>106155</v>
      </c>
      <c r="S48" s="3862"/>
      <c r="T48" s="3862">
        <f>IF(F1="售价",ROUND(PRODUCT(T47,AB7:AB46),0),ROUND(PRODUCT(T47,AB7:AB46),1))</f>
        <v>100554</v>
      </c>
      <c r="U48" s="3862"/>
      <c r="V48" s="3862">
        <f>IF(F1="售价",ROUND(PRODUCT(V47,AC7:AC46),0),ROUND(PRODUCT(V47,AC7:AC46),1))</f>
        <v>96673</v>
      </c>
      <c r="W48" s="3862"/>
      <c r="X48" s="690"/>
      <c r="Y48" s="690"/>
      <c r="Z48" s="690"/>
      <c r="AA48" s="690"/>
      <c r="AB48" s="690"/>
      <c r="AC48" s="690"/>
    </row>
    <row r="49" spans="1:29" ht="15.75" thickBot="1">
      <c r="A49" s="3505" t="s">
        <v>3515</v>
      </c>
      <c r="B49" s="442"/>
      <c r="C49" s="1162">
        <f>R49</f>
        <v>101127</v>
      </c>
      <c r="D49" s="1163"/>
      <c r="E49" s="1163"/>
      <c r="F49" s="1163"/>
      <c r="G49" s="1163"/>
      <c r="H49" s="1163"/>
      <c r="I49" s="1163"/>
      <c r="J49" s="1163"/>
      <c r="K49" s="1913"/>
      <c r="L49" s="2721"/>
      <c r="M49" s="2722"/>
      <c r="N49" s="2722"/>
      <c r="O49" s="2722"/>
      <c r="P49" s="3863" t="str">
        <f>A49</f>
        <v>估价对象住宅用房的比较价值（月租金单价，元/平方米/月）</v>
      </c>
      <c r="Q49" s="3864"/>
      <c r="R49" s="3865">
        <f>IF(F1="售价",ROUND(IF(D48="简单平均",AVERAGE(R48:V48),R48*F48+T48*H48+V48*J48),0),ROUND(IF(D48="简单平均",AVERAGE(R48:V48),R48*F48+T48*H48+V48*J48),1))</f>
        <v>101127</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4.0403184023362071E-2</v>
      </c>
      <c r="F52" s="449" t="str">
        <f>IF(OR(E52&gt;=0.3,E52&lt;=-0.3),"超过30%","")</f>
        <v/>
      </c>
      <c r="G52" s="448">
        <f>IF(G47&lt;G48,G48/G47-1,G47/G48-1)</f>
        <v>4.5497941404618381E-2</v>
      </c>
      <c r="H52" s="449" t="str">
        <f>IF(OR(G52&gt;=0.3,G52&lt;=-0.3),"超过30%","")</f>
        <v/>
      </c>
      <c r="I52" s="448">
        <f>IF(I47&lt;I48,I48/I47-1,I47/I48-1)</f>
        <v>0.10282084966846994</v>
      </c>
      <c r="J52" s="449" t="str">
        <f>IF(OR(I52&gt;=0.3,I52&lt;=-0.3),"超过30%","")</f>
        <v/>
      </c>
      <c r="K52" s="2727"/>
      <c r="L52" s="2723"/>
      <c r="M52" s="2722"/>
      <c r="N52" s="2722"/>
      <c r="O52" s="2722"/>
    </row>
    <row r="53" spans="1:29" ht="13.5" customHeight="1">
      <c r="A53" s="2722"/>
      <c r="B53" s="2722"/>
      <c r="C53" s="446" t="s">
        <v>1706</v>
      </c>
      <c r="D53" s="450"/>
      <c r="E53" s="448">
        <f>IF(E48&lt;G48,G48/E48-1,E48/G48-1)</f>
        <v>5.5701414165522989E-2</v>
      </c>
      <c r="F53" s="449" t="str">
        <f>IF(OR(E53&gt;=0.2,E53&lt;=-0.2),"超过20%","")</f>
        <v/>
      </c>
      <c r="G53" s="448">
        <f>IF(G48&lt;I48,I48/G48-1,G48/I48-1)</f>
        <v>4.0145645630113913E-2</v>
      </c>
      <c r="H53" s="449" t="str">
        <f>IF(OR(G53&gt;=0.2,G53&lt;=-0.2),"超过20%","")</f>
        <v/>
      </c>
      <c r="I53" s="448">
        <f>IF(I48&lt;E48,E48/I48-1,I48/E48-1)</f>
        <v>9.8083229029822139E-2</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5.0556934813419607E-2</v>
      </c>
      <c r="F54" s="449" t="str">
        <f>IF(OR(E54&gt;=0.3,E54&lt;=-0.3),"超过30%","")</f>
        <v/>
      </c>
      <c r="G54" s="448">
        <f>IF(G47&lt;I47,I47/G47-1,G47/I47-1)</f>
        <v>1.411599083031323E-2</v>
      </c>
      <c r="H54" s="449" t="str">
        <f>IF(OR(G54&gt;=0.3,G54&lt;=-0.3),"超过30%","")</f>
        <v/>
      </c>
      <c r="I54" s="448">
        <f>IF(I47&lt;E47,E47/I47-1,I47/E47-1)</f>
        <v>3.5933704144897938E-2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6.5" hidden="1" thickTop="1" thickBot="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6.5" hidden="1" thickTop="1" thickBot="1">
      <c r="A68" s="483"/>
      <c r="B68" s="497"/>
      <c r="C68" s="498">
        <v>0</v>
      </c>
      <c r="D68" s="498">
        <v>1</v>
      </c>
      <c r="E68" s="498">
        <v>2</v>
      </c>
      <c r="F68" s="498"/>
      <c r="G68" s="498"/>
      <c r="H68" s="498"/>
      <c r="I68" s="498"/>
      <c r="J68" s="498"/>
      <c r="K68" s="499"/>
      <c r="L68" s="500"/>
      <c r="M68" s="501"/>
      <c r="N68" s="933"/>
      <c r="O68" s="933"/>
      <c r="P68" s="1920"/>
      <c r="Q68" s="453"/>
    </row>
    <row r="69" spans="1:17" ht="16.5" hidden="1" thickTop="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6.5" hidden="1" thickTop="1" thickBot="1">
      <c r="A70" s="502"/>
      <c r="B70" s="487">
        <f>B12</f>
        <v>111</v>
      </c>
      <c r="C70" s="503"/>
      <c r="D70" s="503"/>
      <c r="E70" s="503"/>
      <c r="F70" s="503"/>
      <c r="G70" s="503"/>
      <c r="H70" s="504"/>
      <c r="I70" s="504"/>
      <c r="J70" s="504"/>
      <c r="K70" s="504"/>
      <c r="L70" s="505"/>
      <c r="M70" s="506"/>
      <c r="N70" s="935"/>
      <c r="O70" s="935"/>
      <c r="P70" s="1921"/>
      <c r="Q70" s="508"/>
    </row>
    <row r="71" spans="1:17" s="422" customFormat="1" ht="16.5" hidden="1" thickTop="1" thickBot="1">
      <c r="A71" s="502"/>
      <c r="B71" s="492"/>
      <c r="C71" s="509"/>
      <c r="D71" s="485"/>
      <c r="E71" s="485"/>
      <c r="F71" s="485"/>
      <c r="G71" s="485"/>
      <c r="H71" s="485"/>
      <c r="I71" s="485"/>
      <c r="J71" s="485"/>
      <c r="K71" s="485"/>
      <c r="L71" s="485"/>
      <c r="M71" s="486"/>
      <c r="N71" s="934"/>
      <c r="O71" s="934"/>
      <c r="P71" s="1921"/>
      <c r="Q71" s="508"/>
    </row>
    <row r="72" spans="1:17" s="422" customFormat="1" ht="16.5" hidden="1" thickTop="1" thickBot="1">
      <c r="A72" s="502"/>
      <c r="B72" s="487">
        <f>B13</f>
        <v>111</v>
      </c>
      <c r="C72" s="503"/>
      <c r="D72" s="503"/>
      <c r="E72" s="503"/>
      <c r="F72" s="503"/>
      <c r="G72" s="503"/>
      <c r="H72" s="504"/>
      <c r="I72" s="504"/>
      <c r="J72" s="504"/>
      <c r="K72" s="504"/>
      <c r="L72" s="505"/>
      <c r="M72" s="506"/>
      <c r="N72" s="935"/>
      <c r="O72" s="935"/>
      <c r="P72" s="1922"/>
      <c r="Q72" s="510"/>
    </row>
    <row r="73" spans="1:17" s="422" customFormat="1" ht="16.5" hidden="1" thickTop="1" thickBot="1">
      <c r="A73" s="502"/>
      <c r="B73" s="492"/>
      <c r="C73" s="509"/>
      <c r="D73" s="509"/>
      <c r="E73" s="509"/>
      <c r="F73" s="509"/>
      <c r="G73" s="509"/>
      <c r="H73" s="511"/>
      <c r="I73" s="511"/>
      <c r="J73" s="511"/>
      <c r="K73" s="511"/>
      <c r="L73" s="511"/>
      <c r="M73" s="512"/>
      <c r="N73" s="935"/>
      <c r="O73" s="935"/>
      <c r="P73" s="1921"/>
      <c r="Q73" s="508"/>
    </row>
    <row r="74" spans="1:17" s="422" customFormat="1" ht="16.5" hidden="1" thickTop="1" thickBot="1">
      <c r="A74" s="502"/>
      <c r="B74" s="495">
        <f>B14</f>
        <v>111</v>
      </c>
      <c r="C74" s="503"/>
      <c r="D74" s="503"/>
      <c r="E74" s="503"/>
      <c r="F74" s="503"/>
      <c r="G74" s="472"/>
      <c r="H74" s="513"/>
      <c r="I74" s="513"/>
      <c r="J74" s="513"/>
      <c r="K74" s="513"/>
      <c r="L74" s="514"/>
      <c r="M74" s="515"/>
      <c r="N74" s="935"/>
      <c r="O74" s="935"/>
      <c r="P74" s="1923"/>
      <c r="Q74" s="508"/>
    </row>
    <row r="75" spans="1:17" s="422" customFormat="1" ht="16.5" hidden="1" thickTop="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6.5" hidden="1" thickTop="1" thickBot="1">
      <c r="A86" s="528"/>
      <c r="B86" s="487" t="s">
        <v>1726</v>
      </c>
      <c r="C86" s="503"/>
      <c r="D86" s="503"/>
      <c r="E86" s="503"/>
      <c r="F86" s="503"/>
      <c r="G86" s="503"/>
      <c r="H86" s="503"/>
      <c r="I86" s="503"/>
      <c r="J86" s="503"/>
      <c r="K86" s="503"/>
      <c r="L86" s="529"/>
      <c r="M86" s="530"/>
      <c r="N86" s="932"/>
      <c r="O86" s="932"/>
      <c r="P86" s="1920"/>
      <c r="Q86" s="453"/>
    </row>
    <row r="87" spans="1:17" s="108" customFormat="1" ht="16.5" hidden="1" thickTop="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2"/>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39" t="s">
        <v>3582</v>
      </c>
      <c r="D90" s="3539" t="s">
        <v>3580</v>
      </c>
      <c r="E90" s="3514"/>
      <c r="F90" s="503"/>
      <c r="G90" s="503"/>
      <c r="H90" s="504"/>
      <c r="I90" s="504"/>
      <c r="J90" s="504"/>
      <c r="K90" s="504"/>
      <c r="L90" s="505"/>
      <c r="M90" s="506"/>
      <c r="N90" s="935"/>
      <c r="O90" s="935"/>
      <c r="P90" s="1921"/>
      <c r="Q90" s="508"/>
    </row>
    <row r="91" spans="1:17" s="422" customFormat="1" ht="15.75" thickBot="1">
      <c r="A91" s="502"/>
      <c r="B91" s="492"/>
      <c r="C91" s="509">
        <v>100</v>
      </c>
      <c r="D91" s="509">
        <v>106</v>
      </c>
      <c r="E91" s="509"/>
      <c r="F91" s="509"/>
      <c r="G91" s="509"/>
      <c r="H91" s="511"/>
      <c r="I91" s="511"/>
      <c r="J91" s="511"/>
      <c r="K91" s="511"/>
      <c r="L91" s="511"/>
      <c r="M91" s="512"/>
      <c r="N91" s="935"/>
      <c r="O91" s="935"/>
      <c r="P91" s="1921"/>
      <c r="Q91" s="508"/>
    </row>
    <row r="92" spans="1:17" ht="16.5" hidden="1" thickTop="1" thickBot="1">
      <c r="A92" s="483"/>
      <c r="B92" s="487">
        <f>B28</f>
        <v>111</v>
      </c>
      <c r="C92" s="503"/>
      <c r="D92" s="503"/>
      <c r="E92" s="503"/>
      <c r="F92" s="503"/>
      <c r="G92" s="532"/>
      <c r="H92" s="532"/>
      <c r="I92" s="532"/>
      <c r="J92" s="532"/>
      <c r="K92" s="533"/>
      <c r="L92" s="534"/>
      <c r="M92" s="535"/>
      <c r="N92" s="933"/>
      <c r="O92" s="933"/>
      <c r="P92" s="1920"/>
      <c r="Q92" s="453"/>
    </row>
    <row r="93" spans="1:17" ht="16.5" hidden="1" thickTop="1" thickBot="1">
      <c r="A93" s="483"/>
      <c r="B93" s="492"/>
      <c r="C93" s="509"/>
      <c r="D93" s="485"/>
      <c r="E93" s="485"/>
      <c r="F93" s="485"/>
      <c r="G93" s="485"/>
      <c r="H93" s="485"/>
      <c r="I93" s="485"/>
      <c r="J93" s="485"/>
      <c r="K93" s="485"/>
      <c r="L93" s="485"/>
      <c r="M93" s="486"/>
      <c r="N93" s="934"/>
      <c r="O93" s="934"/>
      <c r="P93" s="1920"/>
      <c r="Q93" s="453"/>
    </row>
    <row r="94" spans="1:17" ht="16.5" hidden="1" thickTop="1" thickBot="1">
      <c r="A94" s="483"/>
      <c r="B94" s="487">
        <f>B29</f>
        <v>111</v>
      </c>
      <c r="C94" s="503"/>
      <c r="D94" s="503"/>
      <c r="E94" s="503"/>
      <c r="F94" s="503"/>
      <c r="G94" s="532"/>
      <c r="H94" s="532"/>
      <c r="I94" s="532"/>
      <c r="J94" s="532"/>
      <c r="K94" s="533"/>
      <c r="L94" s="534"/>
      <c r="M94" s="535"/>
      <c r="N94" s="933"/>
      <c r="O94" s="933"/>
      <c r="P94" s="1920"/>
      <c r="Q94" s="453"/>
    </row>
    <row r="95" spans="1:17" ht="16.5" hidden="1" thickTop="1" thickBot="1">
      <c r="A95" s="483"/>
      <c r="B95" s="492"/>
      <c r="C95" s="509"/>
      <c r="D95" s="509"/>
      <c r="E95" s="509"/>
      <c r="F95" s="509"/>
      <c r="G95" s="485"/>
      <c r="H95" s="485"/>
      <c r="I95" s="485"/>
      <c r="J95" s="485"/>
      <c r="K95" s="485"/>
      <c r="L95" s="485"/>
      <c r="M95" s="486"/>
      <c r="N95" s="934"/>
      <c r="O95" s="934"/>
      <c r="P95" s="1920"/>
      <c r="Q95" s="453"/>
    </row>
    <row r="96" spans="1:17" ht="16.5" hidden="1" thickTop="1" thickBot="1">
      <c r="A96" s="483"/>
      <c r="B96" s="487">
        <f>B30</f>
        <v>111</v>
      </c>
      <c r="C96" s="503"/>
      <c r="D96" s="503"/>
      <c r="E96" s="503"/>
      <c r="F96" s="503"/>
      <c r="G96" s="532"/>
      <c r="H96" s="532"/>
      <c r="I96" s="532"/>
      <c r="J96" s="532"/>
      <c r="K96" s="533"/>
      <c r="L96" s="534"/>
      <c r="M96" s="535"/>
      <c r="N96" s="933"/>
      <c r="O96" s="933"/>
      <c r="P96" s="1920"/>
      <c r="Q96" s="453"/>
    </row>
    <row r="97" spans="1:17" ht="16.5" hidden="1" thickTop="1" thickBot="1">
      <c r="A97" s="483"/>
      <c r="B97" s="492"/>
      <c r="C97" s="519"/>
      <c r="D97" s="519"/>
      <c r="E97" s="519"/>
      <c r="F97" s="519"/>
      <c r="G97" s="485"/>
      <c r="H97" s="485"/>
      <c r="I97" s="485"/>
      <c r="J97" s="485"/>
      <c r="K97" s="485"/>
      <c r="L97" s="485"/>
      <c r="M97" s="486"/>
      <c r="N97" s="934"/>
      <c r="O97" s="934"/>
      <c r="P97" s="1920"/>
      <c r="Q97" s="453"/>
    </row>
    <row r="98" spans="1:17" ht="16.5" hidden="1" thickTop="1" thickBot="1">
      <c r="A98" s="483"/>
      <c r="B98" s="495">
        <f>B31</f>
        <v>111</v>
      </c>
      <c r="C98" s="536"/>
      <c r="D98" s="536"/>
      <c r="E98" s="536"/>
      <c r="F98" s="536"/>
      <c r="G98" s="536"/>
      <c r="H98" s="536"/>
      <c r="I98" s="536"/>
      <c r="J98" s="536"/>
      <c r="K98" s="537"/>
      <c r="L98" s="538"/>
      <c r="M98" s="539"/>
      <c r="N98" s="933"/>
      <c r="O98" s="933"/>
      <c r="P98" s="1920"/>
      <c r="Q98" s="453"/>
    </row>
    <row r="99" spans="1:17" ht="16.5" hidden="1" thickTop="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54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48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98</v>
      </c>
      <c r="E123" s="493">
        <f t="shared" si="33"/>
        <v>96</v>
      </c>
      <c r="F123" s="493">
        <f t="shared" si="33"/>
        <v>94</v>
      </c>
      <c r="G123" s="493">
        <f t="shared" si="33"/>
        <v>92</v>
      </c>
      <c r="H123" s="493">
        <f t="shared" si="33"/>
        <v>90</v>
      </c>
      <c r="I123" s="493">
        <f t="shared" si="33"/>
        <v>88</v>
      </c>
      <c r="J123" s="493">
        <f t="shared" si="33"/>
        <v>86</v>
      </c>
      <c r="K123" s="493">
        <f t="shared" si="33"/>
        <v>84</v>
      </c>
      <c r="L123" s="493">
        <f t="shared" si="33"/>
        <v>82</v>
      </c>
      <c r="M123" s="493">
        <f t="shared" si="33"/>
        <v>80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74" priority="18" stopIfTrue="1" operator="containsText" text="超过">
      <formula>NOT(ISERROR(SEARCH("超过",F52)))</formula>
    </cfRule>
  </conditionalFormatting>
  <conditionalFormatting sqref="J54">
    <cfRule type="containsText" dxfId="173" priority="17" stopIfTrue="1" operator="containsText" text="超过">
      <formula>NOT(ISERROR(SEARCH("超过",J54)))</formula>
    </cfRule>
  </conditionalFormatting>
  <conditionalFormatting sqref="H54">
    <cfRule type="containsText" dxfId="172" priority="16" stopIfTrue="1" operator="containsText" text="超过">
      <formula>NOT(ISERROR(SEARCH("超过",H54)))</formula>
    </cfRule>
  </conditionalFormatting>
  <conditionalFormatting sqref="F54">
    <cfRule type="containsText" dxfId="171" priority="15" stopIfTrue="1" operator="containsText" text="超过">
      <formula>NOT(ISERROR(SEARCH("超过",F54)))</formula>
    </cfRule>
  </conditionalFormatting>
  <conditionalFormatting sqref="F53 H53 J53">
    <cfRule type="containsText" dxfId="170" priority="14" stopIfTrue="1" operator="containsText" text="超过">
      <formula>NOT(ISERROR(SEARCH("超过",F53)))</formula>
    </cfRule>
  </conditionalFormatting>
  <conditionalFormatting sqref="E52">
    <cfRule type="expression" dxfId="169" priority="13" stopIfTrue="1">
      <formula>$F$52="超过30%"</formula>
    </cfRule>
  </conditionalFormatting>
  <conditionalFormatting sqref="G54">
    <cfRule type="expression" dxfId="168" priority="12" stopIfTrue="1">
      <formula>$H$54="超过30%"</formula>
    </cfRule>
  </conditionalFormatting>
  <conditionalFormatting sqref="E53">
    <cfRule type="expression" dxfId="167" priority="11" stopIfTrue="1">
      <formula>$F$53="超过20%"</formula>
    </cfRule>
  </conditionalFormatting>
  <conditionalFormatting sqref="E54">
    <cfRule type="expression" dxfId="166" priority="10" stopIfTrue="1">
      <formula>$F$54="超过30%"</formula>
    </cfRule>
  </conditionalFormatting>
  <conditionalFormatting sqref="G52">
    <cfRule type="expression" dxfId="165" priority="9" stopIfTrue="1">
      <formula>$H$52="超过30%"</formula>
    </cfRule>
  </conditionalFormatting>
  <conditionalFormatting sqref="G53">
    <cfRule type="expression" dxfId="164" priority="8" stopIfTrue="1">
      <formula>$H$53="超过20%"</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4">
    <dataValidation type="list" allowBlank="1" showInputMessage="1" showErrorMessage="1" sqref="E24 G24 I24 C24" xr:uid="{D16EA549-4C9E-46C6-AD72-B801A1CEE881}">
      <formula1>环境</formula1>
    </dataValidation>
    <dataValidation type="list" allowBlank="1" showInputMessage="1" showErrorMessage="1" sqref="E16 G16 I16 C16" xr:uid="{E4BD8774-AE43-4C77-9EC5-86C1AEE6314B}">
      <formula1>居住社区成熟度</formula1>
    </dataValidation>
    <dataValidation type="list" allowBlank="1" showInputMessage="1" showErrorMessage="1" sqref="E18 G18 I18 C18" xr:uid="{41C18E5A-5F58-47D3-9AC9-9D1B009EF6E3}">
      <formula1>交通便捷度</formula1>
    </dataValidation>
    <dataValidation type="list" allowBlank="1" showInputMessage="1" showErrorMessage="1" sqref="C20 G20 E20 I20" xr:uid="{BD23B017-60EE-4730-88F3-0E2122967D6C}">
      <formula1>公共配套设施</formula1>
    </dataValidation>
    <dataValidation type="list" allowBlank="1" showInputMessage="1" showErrorMessage="1" sqref="E25 G25 I25 C25" xr:uid="{6CCD693B-AFA1-4793-9657-A4C9FF3FB7D1}">
      <formula1>住宅楼层</formula1>
    </dataValidation>
    <dataValidation type="list" allowBlank="1" showInputMessage="1" showErrorMessage="1" sqref="E26 G26 I26 C26" xr:uid="{81927E63-5FA4-4B06-B98C-3B2AEE6644F4}">
      <formula1>住宅朝向</formula1>
    </dataValidation>
    <dataValidation type="list" allowBlank="1" showInputMessage="1" showErrorMessage="1" sqref="E32 G32 I32 C32" xr:uid="{7AA616A2-38D9-4A34-8C5F-86834857ABFA}">
      <formula1>住宅建筑类型</formula1>
    </dataValidation>
    <dataValidation type="list" allowBlank="1" showInputMessage="1" showErrorMessage="1" sqref="E34 G34 I34 C34" xr:uid="{0B7BF63E-9BE7-4AB2-84B0-F04EB6B06D8A}">
      <formula1>住宅建筑结构</formula1>
    </dataValidation>
    <dataValidation type="list" allowBlank="1" showInputMessage="1" showErrorMessage="1" sqref="E35 G35 I35 C35" xr:uid="{6F55A557-C91A-446D-8F7D-F7A3A25ADC70}">
      <formula1>住宅建筑品质</formula1>
    </dataValidation>
    <dataValidation type="list" allowBlank="1" showInputMessage="1" showErrorMessage="1" sqref="E36 G36 I36 C36" xr:uid="{DD9C150F-7B19-4E9C-BC89-99160ED22334}">
      <formula1>住宅公共部分装修</formula1>
    </dataValidation>
    <dataValidation type="list" allowBlank="1" showInputMessage="1" showErrorMessage="1" sqref="E38 G38 I38 C38" xr:uid="{A0554E74-C7A8-44E1-8B55-89BB505DE617}">
      <formula1>住宅物业管理</formula1>
    </dataValidation>
    <dataValidation type="list" allowBlank="1" showInputMessage="1" showErrorMessage="1" sqref="E39 G39 I39 C39" xr:uid="{B3FE8C72-2C42-4558-AA58-488B34D8412F}">
      <formula1>住宅基础设施水平</formula1>
    </dataValidation>
    <dataValidation type="list" allowBlank="1" showInputMessage="1" showErrorMessage="1" sqref="E40 G40 I40 C40" xr:uid="{485FF171-0996-47AB-AF12-4604DF0538FD}">
      <formula1>住宅房型</formula1>
    </dataValidation>
    <dataValidation type="list" allowBlank="1" showInputMessage="1" showErrorMessage="1" sqref="E42 G42 I42 C42" xr:uid="{B30193D6-32B7-4D81-A616-9FDE24F74D8E}">
      <formula1>住宅内部装修</formula1>
    </dataValidation>
    <dataValidation type="list" allowBlank="1" showInputMessage="1" showErrorMessage="1" sqref="E43 G43 I43 C43" xr:uid="{272C5341-3734-4304-909B-4D4C2BE924AC}">
      <formula1>内部装修维护情况</formula1>
    </dataValidation>
    <dataValidation type="list" allowBlank="1" showInputMessage="1" showErrorMessage="1" sqref="E8 G8 I8 C8" xr:uid="{A7AE2B94-1B45-49BF-9DBE-18CA4D702BB9}">
      <formula1>住宅交易情况</formula1>
    </dataValidation>
    <dataValidation type="list" allowBlank="1" showInputMessage="1" showErrorMessage="1" sqref="D1" xr:uid="{D822356A-5CB5-4ED5-9B84-5E86EF6FCE41}">
      <formula1>项目类型</formula1>
    </dataValidation>
    <dataValidation type="list" allowBlank="1" showInputMessage="1" showErrorMessage="1" sqref="E9 G9 I9" xr:uid="{CC4FA4EC-258B-4D2B-BFE1-D271B0F02921}">
      <formula1>住宅用途</formula1>
    </dataValidation>
    <dataValidation type="list" allowBlank="1" showInputMessage="1" showErrorMessage="1" sqref="C22 E22 G22 I22" xr:uid="{52D13A7A-2B1B-4D9F-B4AF-2FAAB68E32B9}">
      <formula1>基础设施水平</formula1>
    </dataValidation>
    <dataValidation type="list" allowBlank="1" showInputMessage="1" showErrorMessage="1" sqref="F1" xr:uid="{C7625743-1879-481E-9090-0C1B4BEA0735}">
      <formula1>"售价,租金"</formula1>
    </dataValidation>
    <dataValidation type="list" allowBlank="1" showInputMessage="1" showErrorMessage="1" sqref="C2" xr:uid="{CD19BFEE-458A-4714-9976-694796B5AA83}">
      <formula1>"需扣减承租人权益,——"</formula1>
    </dataValidation>
    <dataValidation type="list" allowBlank="1" showInputMessage="1" showErrorMessage="1" sqref="F2" xr:uid="{3697CCF2-132E-471C-9A51-82A7400D4C9F}">
      <formula1>估价方法</formula1>
    </dataValidation>
    <dataValidation type="list" allowBlank="1" showInputMessage="1" showErrorMessage="1" sqref="D48" xr:uid="{657C38E0-DE11-45AC-AC49-F8F1F19F405D}">
      <formula1>"简单平均,加权平均"</formula1>
    </dataValidation>
    <dataValidation type="list" allowBlank="1" showInputMessage="1" showErrorMessage="1" sqref="E1" xr:uid="{7F4EFB7B-78AA-48AC-91D4-5D86C8C400C9}">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A473C-1CA8-4AE7-A980-9A8A330BF9D1}">
  <dimension ref="K2:O12"/>
  <sheetViews>
    <sheetView workbookViewId="0">
      <selection activeCell="M22" sqref="M22"/>
    </sheetView>
  </sheetViews>
  <sheetFormatPr defaultRowHeight="13.5"/>
  <sheetData>
    <row r="2" spans="11:15" ht="24">
      <c r="K2" s="3866" t="s">
        <v>3575</v>
      </c>
      <c r="L2" s="3506" t="s">
        <v>3519</v>
      </c>
      <c r="M2" s="3506" t="s">
        <v>3555</v>
      </c>
      <c r="N2" s="3506" t="s">
        <v>3522</v>
      </c>
      <c r="O2" s="3506" t="s">
        <v>3514</v>
      </c>
    </row>
    <row r="3" spans="11:15">
      <c r="K3" s="3866"/>
      <c r="L3" s="3508">
        <v>63.2</v>
      </c>
      <c r="M3" s="3508">
        <v>110444</v>
      </c>
      <c r="N3" s="3508" t="s">
        <v>3557</v>
      </c>
      <c r="O3" s="3508" t="s">
        <v>3582</v>
      </c>
    </row>
    <row r="4" spans="11:15">
      <c r="K4" s="3866"/>
      <c r="L4" s="3508">
        <v>74.099999999999994</v>
      </c>
      <c r="M4" s="3508">
        <v>105129</v>
      </c>
      <c r="N4" s="3508" t="s">
        <v>3556</v>
      </c>
      <c r="O4" s="3508" t="s">
        <v>3582</v>
      </c>
    </row>
    <row r="5" spans="11:15">
      <c r="K5" s="3866"/>
      <c r="L5" s="3508">
        <v>74.099999999999994</v>
      </c>
      <c r="M5" s="3508">
        <v>106613</v>
      </c>
      <c r="N5" s="3508" t="s">
        <v>3556</v>
      </c>
      <c r="O5" s="3508" t="s">
        <v>3580</v>
      </c>
    </row>
    <row r="12" spans="11:15">
      <c r="L12">
        <v>85</v>
      </c>
      <c r="N12" s="3537" t="s">
        <v>3576</v>
      </c>
      <c r="O12" s="3538" t="s">
        <v>3577</v>
      </c>
    </row>
  </sheetData>
  <mergeCells count="1">
    <mergeCell ref="K2:K5"/>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C16D2-B337-4C2C-8414-6C188A5443B8}">
  <sheetPr>
    <tabColor rgb="FF92D050"/>
    <pageSetUpPr fitToPage="1"/>
  </sheetPr>
  <dimension ref="A1:AC148"/>
  <sheetViews>
    <sheetView view="pageBreakPreview" zoomScale="80" zoomScaleNormal="60" zoomScaleSheetLayoutView="80" workbookViewId="0">
      <selection activeCell="E46" sqref="E4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1657</v>
      </c>
      <c r="C1" s="1238" t="s">
        <v>1658</v>
      </c>
      <c r="D1" s="1225" t="s">
        <v>3498</v>
      </c>
      <c r="E1" s="3423" t="s">
        <v>3503</v>
      </c>
      <c r="F1" s="1879" t="s">
        <v>3504</v>
      </c>
      <c r="G1" s="1235" t="s">
        <v>1659</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681</v>
      </c>
      <c r="B2" s="3424">
        <f>IF(E1="项目模式",IF(C2="——",ROUND(C49*D3/10000,0),ROUND(C49*D3/10000,0)-D2),IF(E1="单套模式",IF(C2="——",ROUND(C49*D3/10000,4),ROUND(C49*D3/10000,4)-D2)))</f>
        <v>1.52</v>
      </c>
      <c r="C2" s="1881" t="s">
        <v>39</v>
      </c>
      <c r="D2" s="1115">
        <f ca="1">IF(E1="项目模式",SUMIF(INDIRECT("'"&amp;F2&amp;"'"&amp;"!A:A"),"承租人权益价值",INDIRECT("'"&amp;F2&amp;"'"&amp;"!c:c")),SUMIF(INDIRECT("'"&amp;F2&amp;"'"&amp;"!A:A"),"承租人权益价值（单套）",INDIRECT("'"&amp;F2&amp;"'"&amp;"!c:c")))</f>
        <v>0</v>
      </c>
      <c r="E2" s="1882" t="s">
        <v>1459</v>
      </c>
      <c r="F2" s="1883" t="s">
        <v>3486</v>
      </c>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682</v>
      </c>
      <c r="B3" s="353">
        <f>IF(C2="——",C49,ROUND(B2*10000/D3,0))</f>
        <v>178.19</v>
      </c>
      <c r="C3" s="354" t="s">
        <v>1660</v>
      </c>
      <c r="D3" s="353">
        <f>IF(D1="",'数据-汇总表'!E3,SUMIF('数据-汇总表'!$C19:$C33,D1,'数据-汇总表'!$E19:$E33))</f>
        <v>85.3</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1661</v>
      </c>
      <c r="B4" s="356"/>
      <c r="C4" s="3822" t="s">
        <v>1662</v>
      </c>
      <c r="D4" s="3823"/>
      <c r="E4" s="3824" t="s">
        <v>1663</v>
      </c>
      <c r="F4" s="3825"/>
      <c r="G4" s="3822" t="s">
        <v>1664</v>
      </c>
      <c r="H4" s="3823"/>
      <c r="I4" s="3822" t="s">
        <v>1665</v>
      </c>
      <c r="J4" s="3823"/>
      <c r="K4" s="1889" t="s">
        <v>1666</v>
      </c>
      <c r="L4" s="2712"/>
      <c r="M4" s="2713"/>
      <c r="N4" s="2713"/>
      <c r="O4" s="2713"/>
      <c r="P4" s="3826" t="s">
        <v>1667</v>
      </c>
      <c r="Q4" s="3827"/>
      <c r="R4" s="3832" t="s">
        <v>1663</v>
      </c>
      <c r="S4" s="3833"/>
      <c r="T4" s="3832" t="s">
        <v>1664</v>
      </c>
      <c r="U4" s="3833"/>
      <c r="V4" s="3847" t="s">
        <v>1665</v>
      </c>
      <c r="W4" s="3847"/>
      <c r="X4" s="3451"/>
      <c r="Y4" s="3832" t="s">
        <v>1667</v>
      </c>
      <c r="Z4" s="3833"/>
      <c r="AA4" s="3819" t="s">
        <v>1663</v>
      </c>
      <c r="AB4" s="3819" t="s">
        <v>1664</v>
      </c>
      <c r="AC4" s="3819" t="s">
        <v>1665</v>
      </c>
    </row>
    <row r="5" spans="1:29" ht="15.75" thickBot="1">
      <c r="A5" s="358"/>
      <c r="B5" s="359"/>
      <c r="C5" s="3836" t="s">
        <v>3583</v>
      </c>
      <c r="D5" s="3837"/>
      <c r="E5" s="3838" t="str">
        <f>C5</f>
        <v>知春里</v>
      </c>
      <c r="F5" s="3839"/>
      <c r="G5" s="3840" t="str">
        <f>C5</f>
        <v>知春里</v>
      </c>
      <c r="H5" s="3837"/>
      <c r="I5" s="3840" t="str">
        <f>C5</f>
        <v>知春里</v>
      </c>
      <c r="J5" s="3837"/>
      <c r="K5" s="1890"/>
      <c r="L5" s="2712"/>
      <c r="M5" s="2713"/>
      <c r="N5" s="2713"/>
      <c r="O5" s="2713"/>
      <c r="P5" s="3828"/>
      <c r="Q5" s="3829"/>
      <c r="R5" s="3834"/>
      <c r="S5" s="3835"/>
      <c r="T5" s="3834"/>
      <c r="U5" s="3835"/>
      <c r="V5" s="3847"/>
      <c r="W5" s="3847"/>
      <c r="X5" s="3451"/>
      <c r="Y5" s="3834"/>
      <c r="Z5" s="3835"/>
      <c r="AA5" s="3820"/>
      <c r="AB5" s="3820"/>
      <c r="AC5" s="3820"/>
    </row>
    <row r="6" spans="1:29" ht="15.75" hidden="1" thickBot="1">
      <c r="A6" s="360"/>
      <c r="B6" s="361"/>
      <c r="C6" s="3841" t="s">
        <v>1672</v>
      </c>
      <c r="D6" s="3842"/>
      <c r="E6" s="3843" t="s">
        <v>1672</v>
      </c>
      <c r="F6" s="3844"/>
      <c r="G6" s="3841" t="s">
        <v>1672</v>
      </c>
      <c r="H6" s="3842"/>
      <c r="I6" s="3841" t="s">
        <v>1672</v>
      </c>
      <c r="J6" s="3842"/>
      <c r="K6" s="1890" t="s">
        <v>1673</v>
      </c>
      <c r="L6" s="2712"/>
      <c r="M6" s="2713"/>
      <c r="N6" s="2713"/>
      <c r="O6" s="2713"/>
      <c r="P6" s="3830"/>
      <c r="Q6" s="3831"/>
      <c r="R6" s="3834"/>
      <c r="S6" s="3835"/>
      <c r="T6" s="3845"/>
      <c r="U6" s="3846"/>
      <c r="V6" s="3847"/>
      <c r="W6" s="3847"/>
      <c r="X6" s="3451"/>
      <c r="Y6" s="3845"/>
      <c r="Z6" s="3846"/>
      <c r="AA6" s="3821"/>
      <c r="AB6" s="3821"/>
      <c r="AC6" s="3821"/>
    </row>
    <row r="7" spans="1:29" s="108" customFormat="1" ht="15.75" thickBot="1">
      <c r="A7" s="362" t="s">
        <v>1674</v>
      </c>
      <c r="B7" s="363"/>
      <c r="C7" s="364">
        <f>'数据-取费表'!B2</f>
        <v>44977</v>
      </c>
      <c r="D7" s="365">
        <v>100</v>
      </c>
      <c r="E7" s="366">
        <f>C7</f>
        <v>44977</v>
      </c>
      <c r="F7" s="367">
        <f>SUMIF(58:58,YEAR(E7)&amp;"-"&amp;MONTH(E7),59:59)</f>
        <v>100</v>
      </c>
      <c r="G7" s="366">
        <f>C7</f>
        <v>44977</v>
      </c>
      <c r="H7" s="365">
        <f>SUMIF(58:58,YEAR(G7)&amp;"-"&amp;MONTH(G7),59:59)</f>
        <v>100</v>
      </c>
      <c r="I7" s="366">
        <f>C7</f>
        <v>44977</v>
      </c>
      <c r="J7" s="365">
        <f>SUMIF(58:58,YEAR(I7)&amp;"-"&amp;MONTH(I7),59:59)</f>
        <v>100</v>
      </c>
      <c r="K7" s="1891"/>
      <c r="L7" s="2714"/>
      <c r="M7" s="2715"/>
      <c r="N7" s="2715"/>
      <c r="O7" s="2715"/>
      <c r="P7" s="3848" t="s">
        <v>1675</v>
      </c>
      <c r="Q7" s="3849"/>
      <c r="R7" s="701" t="s">
        <v>14</v>
      </c>
      <c r="S7" s="702">
        <f t="shared" ref="S7:S15" si="0">F7</f>
        <v>100</v>
      </c>
      <c r="T7" s="701" t="s">
        <v>14</v>
      </c>
      <c r="U7" s="702">
        <f t="shared" ref="U7:U15" si="1">H7</f>
        <v>100</v>
      </c>
      <c r="V7" s="701" t="s">
        <v>14</v>
      </c>
      <c r="W7" s="702">
        <f t="shared" ref="W7:W15" si="2">J7</f>
        <v>100</v>
      </c>
      <c r="X7" s="703"/>
      <c r="Y7" s="3848" t="s">
        <v>1675</v>
      </c>
      <c r="Z7" s="3850"/>
      <c r="AA7" s="704">
        <f>D7/F7</f>
        <v>1</v>
      </c>
      <c r="AB7" s="704">
        <f>D7/H7</f>
        <v>1</v>
      </c>
      <c r="AC7" s="704">
        <f>D7/J7</f>
        <v>1</v>
      </c>
    </row>
    <row r="8" spans="1:29" s="108" customFormat="1" ht="15.75" thickBot="1">
      <c r="A8" s="362" t="s">
        <v>1676</v>
      </c>
      <c r="B8" s="363"/>
      <c r="C8" s="368" t="s">
        <v>3505</v>
      </c>
      <c r="D8" s="365">
        <v>100</v>
      </c>
      <c r="E8" s="1892" t="s">
        <v>3505</v>
      </c>
      <c r="F8" s="367">
        <f>SUMIF(61:61,E8,62:62)-SUMIF(61:61,C8,62:62)+100</f>
        <v>100</v>
      </c>
      <c r="G8" s="368" t="s">
        <v>3505</v>
      </c>
      <c r="H8" s="365">
        <f>SUMIF(61:61,G8,62:62)-SUMIF(61:61,C8,62:62)+100</f>
        <v>100</v>
      </c>
      <c r="I8" s="1892" t="s">
        <v>3505</v>
      </c>
      <c r="J8" s="365">
        <f>SUMIF(61:61,I8,62:62)-SUMIF(61:61,C8,62:62)+100</f>
        <v>100</v>
      </c>
      <c r="K8" s="1891"/>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19" si="3">D8/F8</f>
        <v>1</v>
      </c>
      <c r="AB8" s="704">
        <f t="shared" ref="AB8:AB19" si="4">D8/H8</f>
        <v>1</v>
      </c>
      <c r="AC8" s="704">
        <f t="shared" ref="AC8:AC19" si="5">D8/J8</f>
        <v>1</v>
      </c>
    </row>
    <row r="9" spans="1:29" s="108" customFormat="1" ht="15" thickBot="1">
      <c r="A9" s="369" t="s">
        <v>1679</v>
      </c>
      <c r="B9" s="63" t="s">
        <v>1680</v>
      </c>
      <c r="C9" s="3500" t="s">
        <v>2548</v>
      </c>
      <c r="D9" s="126">
        <v>100</v>
      </c>
      <c r="E9" s="371" t="s">
        <v>3498</v>
      </c>
      <c r="F9" s="372">
        <f>SUMIF(63:63,E9,64:64)-SUMIF(63:63,C9,64:64)+100</f>
        <v>100</v>
      </c>
      <c r="G9" s="371" t="s">
        <v>3498</v>
      </c>
      <c r="H9" s="126">
        <f>SUMIF(63:63,G9,64:64)-SUMIF(63:63,C9,64:64)+100</f>
        <v>100</v>
      </c>
      <c r="I9" s="371" t="s">
        <v>3498</v>
      </c>
      <c r="J9" s="126">
        <f>SUMIF(63:63,I9,64:64)-SUMIF(63:63,C9,64:64)+100</f>
        <v>100</v>
      </c>
      <c r="K9" s="1891"/>
      <c r="L9" s="2714"/>
      <c r="M9" s="2715"/>
      <c r="N9" s="2715"/>
      <c r="O9" s="2715"/>
      <c r="P9" s="3851" t="s">
        <v>1681</v>
      </c>
      <c r="Q9" s="3448" t="str">
        <f t="shared" ref="Q9:Q15" si="6">B9</f>
        <v>用途</v>
      </c>
      <c r="R9" s="701" t="s">
        <v>14</v>
      </c>
      <c r="S9" s="702">
        <f t="shared" si="0"/>
        <v>100</v>
      </c>
      <c r="T9" s="701" t="s">
        <v>14</v>
      </c>
      <c r="U9" s="702">
        <f t="shared" si="1"/>
        <v>100</v>
      </c>
      <c r="V9" s="701" t="s">
        <v>14</v>
      </c>
      <c r="W9" s="702">
        <f t="shared" si="2"/>
        <v>100</v>
      </c>
      <c r="X9" s="703"/>
      <c r="Y9" s="3715" t="s">
        <v>1682</v>
      </c>
      <c r="Z9" s="3447" t="str">
        <f t="shared" ref="Z9:Z15" si="7">Q9</f>
        <v>用途</v>
      </c>
      <c r="AA9" s="704">
        <f t="shared" si="3"/>
        <v>1</v>
      </c>
      <c r="AB9" s="704">
        <f t="shared" si="4"/>
        <v>1</v>
      </c>
      <c r="AC9" s="704">
        <f t="shared" si="5"/>
        <v>1</v>
      </c>
    </row>
    <row r="10" spans="1:29" s="378" customFormat="1" ht="28.5" thickTop="1" thickBot="1">
      <c r="A10" s="374"/>
      <c r="B10" s="375" t="s">
        <v>1683</v>
      </c>
      <c r="C10" s="3501" t="s">
        <v>3584</v>
      </c>
      <c r="D10" s="127">
        <v>100</v>
      </c>
      <c r="E10" s="3504" t="str">
        <f>C10</f>
        <v>30-40（含）</v>
      </c>
      <c r="F10" s="376">
        <f>SUMIF(65:65,E10,66:66)-SUMIF(65:65,C10,66:66)+100</f>
        <v>100</v>
      </c>
      <c r="G10" s="3504" t="str">
        <f>E10</f>
        <v>30-40（含）</v>
      </c>
      <c r="H10" s="127">
        <f>SUMIF(65:65,G10,66:66)-SUMIF(65:65,C10,66:66)+100</f>
        <v>100</v>
      </c>
      <c r="I10" s="3504" t="str">
        <f>G10</f>
        <v>30-40（含）</v>
      </c>
      <c r="J10" s="127">
        <f>SUMIF(65:65,I10,66:66)-SUMIF(65:65,C10,66:66)+100</f>
        <v>100</v>
      </c>
      <c r="K10" s="1891"/>
      <c r="L10" s="2716"/>
      <c r="M10" s="2717"/>
      <c r="N10" s="2717"/>
      <c r="O10" s="2717"/>
      <c r="P10" s="3851"/>
      <c r="Q10" s="3448" t="str">
        <f t="shared" si="6"/>
        <v>土地使用年限（年）</v>
      </c>
      <c r="R10" s="701" t="s">
        <v>14</v>
      </c>
      <c r="S10" s="702">
        <f t="shared" si="0"/>
        <v>100</v>
      </c>
      <c r="T10" s="701" t="s">
        <v>14</v>
      </c>
      <c r="U10" s="702">
        <f t="shared" si="1"/>
        <v>100</v>
      </c>
      <c r="V10" s="701" t="s">
        <v>14</v>
      </c>
      <c r="W10" s="702">
        <f t="shared" si="2"/>
        <v>100</v>
      </c>
      <c r="X10" s="703"/>
      <c r="Y10" s="3715"/>
      <c r="Z10" s="3447" t="str">
        <f t="shared" si="7"/>
        <v>土地使用年限（年）</v>
      </c>
      <c r="AA10" s="704">
        <f t="shared" si="3"/>
        <v>1</v>
      </c>
      <c r="AB10" s="704">
        <f t="shared" si="4"/>
        <v>1</v>
      </c>
      <c r="AC10" s="704">
        <f t="shared" si="5"/>
        <v>1</v>
      </c>
    </row>
    <row r="11" spans="1:29" ht="15" hidden="1">
      <c r="A11" s="379"/>
      <c r="B11" s="375" t="s">
        <v>1684</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v>2</v>
      </c>
      <c r="L11" s="2718"/>
      <c r="M11" s="2713"/>
      <c r="N11" s="2713"/>
      <c r="O11" s="2713"/>
      <c r="P11" s="3851"/>
      <c r="Q11" s="3448" t="str">
        <f t="shared" si="6"/>
        <v>容积率</v>
      </c>
      <c r="R11" s="701" t="s">
        <v>14</v>
      </c>
      <c r="S11" s="702">
        <f t="shared" si="0"/>
        <v>100</v>
      </c>
      <c r="T11" s="701" t="s">
        <v>14</v>
      </c>
      <c r="U11" s="702">
        <f t="shared" si="1"/>
        <v>100</v>
      </c>
      <c r="V11" s="701" t="s">
        <v>14</v>
      </c>
      <c r="W11" s="702">
        <f t="shared" si="2"/>
        <v>100</v>
      </c>
      <c r="X11" s="703"/>
      <c r="Y11" s="3715"/>
      <c r="Z11" s="3447"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851"/>
      <c r="Q12" s="3448">
        <f t="shared" si="6"/>
        <v>111</v>
      </c>
      <c r="R12" s="701" t="s">
        <v>14</v>
      </c>
      <c r="S12" s="702">
        <f t="shared" si="0"/>
        <v>100</v>
      </c>
      <c r="T12" s="701" t="s">
        <v>14</v>
      </c>
      <c r="U12" s="702">
        <f t="shared" si="1"/>
        <v>100</v>
      </c>
      <c r="V12" s="701" t="s">
        <v>14</v>
      </c>
      <c r="W12" s="702">
        <f t="shared" si="2"/>
        <v>100</v>
      </c>
      <c r="X12" s="703"/>
      <c r="Y12" s="3715"/>
      <c r="Z12" s="3447">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851"/>
      <c r="Q13" s="3448">
        <f t="shared" si="6"/>
        <v>111</v>
      </c>
      <c r="R13" s="701" t="s">
        <v>14</v>
      </c>
      <c r="S13" s="702">
        <f t="shared" si="0"/>
        <v>100</v>
      </c>
      <c r="T13" s="701" t="s">
        <v>14</v>
      </c>
      <c r="U13" s="702">
        <f t="shared" si="1"/>
        <v>100</v>
      </c>
      <c r="V13" s="701" t="s">
        <v>14</v>
      </c>
      <c r="W13" s="702">
        <f t="shared" si="2"/>
        <v>100</v>
      </c>
      <c r="X13" s="703"/>
      <c r="Y13" s="3715"/>
      <c r="Z13" s="3447">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851"/>
      <c r="Q14" s="3448">
        <f t="shared" si="6"/>
        <v>111</v>
      </c>
      <c r="R14" s="701" t="s">
        <v>14</v>
      </c>
      <c r="S14" s="702">
        <f t="shared" si="0"/>
        <v>100</v>
      </c>
      <c r="T14" s="701" t="s">
        <v>14</v>
      </c>
      <c r="U14" s="702">
        <f t="shared" si="1"/>
        <v>100</v>
      </c>
      <c r="V14" s="701" t="s">
        <v>14</v>
      </c>
      <c r="W14" s="702">
        <f t="shared" si="2"/>
        <v>100</v>
      </c>
      <c r="X14" s="703"/>
      <c r="Y14" s="3715"/>
      <c r="Z14" s="3447">
        <f t="shared" si="7"/>
        <v>111</v>
      </c>
      <c r="AA14" s="704">
        <f t="shared" si="3"/>
        <v>1</v>
      </c>
      <c r="AB14" s="704">
        <f t="shared" si="4"/>
        <v>1</v>
      </c>
      <c r="AC14" s="704">
        <f t="shared" si="5"/>
        <v>1</v>
      </c>
    </row>
    <row r="15" spans="1:29" ht="73.5" customHeight="1">
      <c r="A15" s="391" t="s">
        <v>1685</v>
      </c>
      <c r="B15" s="61" t="s">
        <v>1253</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19"/>
      <c r="M15" s="2713"/>
      <c r="N15" s="2713"/>
      <c r="O15" s="2713"/>
      <c r="P15" s="3852" t="s">
        <v>1686</v>
      </c>
      <c r="Q15" s="3449" t="str">
        <f t="shared" si="6"/>
        <v>居住社区成熟度</v>
      </c>
      <c r="R15" s="705" t="s">
        <v>14</v>
      </c>
      <c r="S15" s="706">
        <f t="shared" si="0"/>
        <v>100</v>
      </c>
      <c r="T15" s="705" t="s">
        <v>14</v>
      </c>
      <c r="U15" s="706">
        <f t="shared" si="1"/>
        <v>100</v>
      </c>
      <c r="V15" s="705" t="s">
        <v>14</v>
      </c>
      <c r="W15" s="706">
        <f t="shared" si="2"/>
        <v>100</v>
      </c>
      <c r="X15" s="3451"/>
      <c r="Y15" s="3854" t="s">
        <v>1686</v>
      </c>
      <c r="Z15" s="3452" t="str">
        <f t="shared" si="7"/>
        <v>居住社区成熟度</v>
      </c>
      <c r="AA15" s="3450">
        <f t="shared" si="3"/>
        <v>1</v>
      </c>
      <c r="AB15" s="3450">
        <f t="shared" si="4"/>
        <v>1</v>
      </c>
      <c r="AC15" s="3450">
        <f t="shared" si="5"/>
        <v>1</v>
      </c>
    </row>
    <row r="16" spans="1:29" ht="15">
      <c r="A16" s="379"/>
      <c r="B16" s="397"/>
      <c r="C16" s="398" t="s">
        <v>3513</v>
      </c>
      <c r="D16" s="399"/>
      <c r="E16" s="398" t="s">
        <v>3513</v>
      </c>
      <c r="F16" s="399"/>
      <c r="G16" s="398" t="s">
        <v>3513</v>
      </c>
      <c r="H16" s="401"/>
      <c r="I16" s="398" t="s">
        <v>3513</v>
      </c>
      <c r="J16" s="399"/>
      <c r="K16" s="1899"/>
      <c r="L16" s="2719"/>
      <c r="M16" s="2713"/>
      <c r="N16" s="2713"/>
      <c r="O16" s="2713"/>
      <c r="P16" s="3853"/>
      <c r="Q16" s="3449"/>
      <c r="R16" s="705"/>
      <c r="S16" s="706"/>
      <c r="T16" s="705"/>
      <c r="U16" s="706"/>
      <c r="V16" s="705"/>
      <c r="W16" s="706"/>
      <c r="X16" s="3451"/>
      <c r="Y16" s="3855"/>
      <c r="Z16" s="3452"/>
      <c r="AA16" s="3450">
        <v>1</v>
      </c>
      <c r="AB16" s="3450">
        <v>1</v>
      </c>
      <c r="AC16" s="3450">
        <v>1</v>
      </c>
    </row>
    <row r="17" spans="1:29" ht="71.25">
      <c r="A17" s="379"/>
      <c r="B17" s="402" t="s">
        <v>1255</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19"/>
      <c r="M17" s="2713"/>
      <c r="N17" s="2713"/>
      <c r="O17" s="2713"/>
      <c r="P17" s="3853"/>
      <c r="Q17" s="3449" t="str">
        <f>B17</f>
        <v>交通便捷度</v>
      </c>
      <c r="R17" s="705" t="s">
        <v>14</v>
      </c>
      <c r="S17" s="706">
        <f>F17</f>
        <v>100</v>
      </c>
      <c r="T17" s="705" t="s">
        <v>14</v>
      </c>
      <c r="U17" s="706">
        <f>H17</f>
        <v>100</v>
      </c>
      <c r="V17" s="705" t="s">
        <v>14</v>
      </c>
      <c r="W17" s="706">
        <f>J17</f>
        <v>100</v>
      </c>
      <c r="X17" s="3451"/>
      <c r="Y17" s="3855"/>
      <c r="Z17" s="3452" t="str">
        <f>Q17</f>
        <v>交通便捷度</v>
      </c>
      <c r="AA17" s="3450">
        <f t="shared" si="3"/>
        <v>1</v>
      </c>
      <c r="AB17" s="3450">
        <f t="shared" si="4"/>
        <v>1</v>
      </c>
      <c r="AC17" s="3450">
        <f t="shared" si="5"/>
        <v>1</v>
      </c>
    </row>
    <row r="18" spans="1:29" ht="15">
      <c r="A18" s="379"/>
      <c r="B18" s="407"/>
      <c r="C18" s="398" t="s">
        <v>3513</v>
      </c>
      <c r="D18" s="401"/>
      <c r="E18" s="398" t="s">
        <v>3513</v>
      </c>
      <c r="F18" s="401"/>
      <c r="G18" s="398" t="s">
        <v>3513</v>
      </c>
      <c r="H18" s="399"/>
      <c r="I18" s="398" t="s">
        <v>3513</v>
      </c>
      <c r="J18" s="399"/>
      <c r="K18" s="1899"/>
      <c r="L18" s="2719"/>
      <c r="M18" s="2713"/>
      <c r="N18" s="2713"/>
      <c r="O18" s="2713"/>
      <c r="P18" s="3853"/>
      <c r="Q18" s="3449"/>
      <c r="R18" s="705"/>
      <c r="S18" s="706"/>
      <c r="T18" s="705"/>
      <c r="U18" s="706"/>
      <c r="V18" s="705"/>
      <c r="W18" s="706"/>
      <c r="X18" s="3451"/>
      <c r="Y18" s="3855"/>
      <c r="Z18" s="3452"/>
      <c r="AA18" s="3450">
        <v>1</v>
      </c>
      <c r="AB18" s="3450">
        <v>1</v>
      </c>
      <c r="AC18" s="3450">
        <v>1</v>
      </c>
    </row>
    <row r="19" spans="1:29" ht="42.75">
      <c r="A19" s="379"/>
      <c r="B19" s="402" t="s">
        <v>1254</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19"/>
      <c r="M19" s="2713"/>
      <c r="N19" s="2713"/>
      <c r="O19" s="2713"/>
      <c r="P19" s="3853"/>
      <c r="Q19" s="3449" t="str">
        <f>B19</f>
        <v>公共配套设施</v>
      </c>
      <c r="R19" s="705" t="s">
        <v>14</v>
      </c>
      <c r="S19" s="706">
        <f>F19</f>
        <v>100</v>
      </c>
      <c r="T19" s="705" t="s">
        <v>14</v>
      </c>
      <c r="U19" s="706">
        <f>H19</f>
        <v>100</v>
      </c>
      <c r="V19" s="705" t="s">
        <v>14</v>
      </c>
      <c r="W19" s="706">
        <f>J19</f>
        <v>100</v>
      </c>
      <c r="X19" s="3451"/>
      <c r="Y19" s="3855"/>
      <c r="Z19" s="3452" t="str">
        <f>Q19</f>
        <v>公共配套设施</v>
      </c>
      <c r="AA19" s="3450">
        <f t="shared" si="3"/>
        <v>1</v>
      </c>
      <c r="AB19" s="3450">
        <f t="shared" si="4"/>
        <v>1</v>
      </c>
      <c r="AC19" s="3450">
        <f t="shared" si="5"/>
        <v>1</v>
      </c>
    </row>
    <row r="20" spans="1:29" ht="15">
      <c r="A20" s="379"/>
      <c r="B20" s="407"/>
      <c r="C20" s="398" t="s">
        <v>3513</v>
      </c>
      <c r="D20" s="399"/>
      <c r="E20" s="398" t="s">
        <v>3513</v>
      </c>
      <c r="F20" s="399"/>
      <c r="G20" s="398" t="s">
        <v>3513</v>
      </c>
      <c r="H20" s="399"/>
      <c r="I20" s="398" t="s">
        <v>3513</v>
      </c>
      <c r="J20" s="399"/>
      <c r="K20" s="1899"/>
      <c r="L20" s="2719"/>
      <c r="M20" s="2713"/>
      <c r="N20" s="2713"/>
      <c r="O20" s="2713"/>
      <c r="P20" s="3853"/>
      <c r="Q20" s="3449"/>
      <c r="R20" s="705"/>
      <c r="S20" s="706"/>
      <c r="T20" s="705"/>
      <c r="U20" s="706"/>
      <c r="V20" s="705"/>
      <c r="W20" s="706"/>
      <c r="X20" s="3451"/>
      <c r="Y20" s="3855"/>
      <c r="Z20" s="3452"/>
      <c r="AA20" s="3450">
        <v>1</v>
      </c>
      <c r="AB20" s="3450">
        <v>1</v>
      </c>
      <c r="AC20" s="3450">
        <v>1</v>
      </c>
    </row>
    <row r="21" spans="1:29" ht="28.5">
      <c r="A21" s="379"/>
      <c r="B21" s="1131" t="s">
        <v>1256</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19"/>
      <c r="M21" s="2713"/>
      <c r="N21" s="2713"/>
      <c r="O21" s="2713"/>
      <c r="P21" s="3853"/>
      <c r="Q21" s="3449" t="str">
        <f>B21</f>
        <v>基础设施水平</v>
      </c>
      <c r="R21" s="705" t="s">
        <v>14</v>
      </c>
      <c r="S21" s="706">
        <f>F21</f>
        <v>100</v>
      </c>
      <c r="T21" s="705" t="s">
        <v>14</v>
      </c>
      <c r="U21" s="706">
        <f>H21</f>
        <v>100</v>
      </c>
      <c r="V21" s="705" t="s">
        <v>14</v>
      </c>
      <c r="W21" s="706">
        <f>J21</f>
        <v>100</v>
      </c>
      <c r="X21" s="3451"/>
      <c r="Y21" s="3855"/>
      <c r="Z21" s="3452" t="str">
        <f>Q21</f>
        <v>基础设施水平</v>
      </c>
      <c r="AA21" s="3450">
        <f t="shared" ref="AA21" si="8">D21/F21</f>
        <v>1</v>
      </c>
      <c r="AB21" s="3450">
        <f t="shared" ref="AB21" si="9">D21/H21</f>
        <v>1</v>
      </c>
      <c r="AC21" s="3450">
        <f t="shared" ref="AC21" si="10">D21/J21</f>
        <v>1</v>
      </c>
    </row>
    <row r="22" spans="1:29" ht="15">
      <c r="A22" s="379"/>
      <c r="B22" s="1131"/>
      <c r="C22" s="1901" t="s">
        <v>3516</v>
      </c>
      <c r="D22" s="399"/>
      <c r="E22" s="1901" t="s">
        <v>3516</v>
      </c>
      <c r="F22" s="399"/>
      <c r="G22" s="1901" t="s">
        <v>3516</v>
      </c>
      <c r="H22" s="399"/>
      <c r="I22" s="1901" t="s">
        <v>3516</v>
      </c>
      <c r="J22" s="399"/>
      <c r="K22" s="1905"/>
      <c r="L22" s="2719"/>
      <c r="M22" s="2713"/>
      <c r="N22" s="2713"/>
      <c r="O22" s="2713"/>
      <c r="P22" s="3853"/>
      <c r="Q22" s="3449"/>
      <c r="R22" s="705"/>
      <c r="S22" s="706"/>
      <c r="T22" s="705"/>
      <c r="U22" s="706"/>
      <c r="V22" s="705"/>
      <c r="W22" s="706"/>
      <c r="X22" s="3451"/>
      <c r="Y22" s="3855"/>
      <c r="Z22" s="3452"/>
      <c r="AA22" s="3450">
        <v>1</v>
      </c>
      <c r="AB22" s="3450">
        <v>1</v>
      </c>
      <c r="AC22" s="3450">
        <v>1</v>
      </c>
    </row>
    <row r="23" spans="1:29" ht="42.75">
      <c r="A23" s="379"/>
      <c r="B23" s="402" t="s">
        <v>1257</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19"/>
      <c r="M23" s="2713"/>
      <c r="N23" s="2713"/>
      <c r="O23" s="2713"/>
      <c r="P23" s="3853"/>
      <c r="Q23" s="3449" t="str">
        <f>B23</f>
        <v>自然及人文环境</v>
      </c>
      <c r="R23" s="705" t="s">
        <v>14</v>
      </c>
      <c r="S23" s="706">
        <f>F23</f>
        <v>100</v>
      </c>
      <c r="T23" s="705" t="s">
        <v>14</v>
      </c>
      <c r="U23" s="706">
        <f>H23</f>
        <v>100</v>
      </c>
      <c r="V23" s="705" t="s">
        <v>14</v>
      </c>
      <c r="W23" s="706">
        <f>J23</f>
        <v>100</v>
      </c>
      <c r="X23" s="3451"/>
      <c r="Y23" s="3855"/>
      <c r="Z23" s="3452" t="str">
        <f>Q23</f>
        <v>自然及人文环境</v>
      </c>
      <c r="AA23" s="3450">
        <f>D23/F23</f>
        <v>1</v>
      </c>
      <c r="AB23" s="3450">
        <f>D23/H23</f>
        <v>1</v>
      </c>
      <c r="AC23" s="3450">
        <f>D23/J23</f>
        <v>1</v>
      </c>
    </row>
    <row r="24" spans="1:29" ht="15">
      <c r="A24" s="379"/>
      <c r="B24" s="407"/>
      <c r="C24" s="398" t="s">
        <v>3513</v>
      </c>
      <c r="D24" s="399"/>
      <c r="E24" s="398" t="s">
        <v>3513</v>
      </c>
      <c r="F24" s="399"/>
      <c r="G24" s="398" t="s">
        <v>3513</v>
      </c>
      <c r="H24" s="399"/>
      <c r="I24" s="398" t="s">
        <v>3513</v>
      </c>
      <c r="J24" s="399"/>
      <c r="K24" s="1899"/>
      <c r="L24" s="2719"/>
      <c r="M24" s="2713"/>
      <c r="N24" s="2713"/>
      <c r="O24" s="2713"/>
      <c r="P24" s="3853"/>
      <c r="Q24" s="3449"/>
      <c r="R24" s="705"/>
      <c r="S24" s="706"/>
      <c r="T24" s="705"/>
      <c r="U24" s="706"/>
      <c r="V24" s="705"/>
      <c r="W24" s="706"/>
      <c r="X24" s="3451"/>
      <c r="Y24" s="3855"/>
      <c r="Z24" s="3452"/>
      <c r="AA24" s="3450">
        <v>1</v>
      </c>
      <c r="AB24" s="3450">
        <v>1</v>
      </c>
      <c r="AC24" s="3450">
        <v>1</v>
      </c>
    </row>
    <row r="25" spans="1:29" ht="15" hidden="1">
      <c r="A25" s="379"/>
      <c r="B25" s="375" t="s">
        <v>1687</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853"/>
      <c r="Q25" s="3449" t="str">
        <f t="shared" ref="Q25:Q46" si="11">B25</f>
        <v>楼层-1</v>
      </c>
      <c r="R25" s="705" t="s">
        <v>14</v>
      </c>
      <c r="S25" s="706">
        <f t="shared" ref="S25:S46" si="12">F25</f>
        <v>100</v>
      </c>
      <c r="T25" s="705" t="s">
        <v>14</v>
      </c>
      <c r="U25" s="706">
        <f t="shared" ref="U25:U46" si="13">H25</f>
        <v>100</v>
      </c>
      <c r="V25" s="705" t="s">
        <v>14</v>
      </c>
      <c r="W25" s="706">
        <f t="shared" ref="W25:W46" si="14">J25</f>
        <v>100</v>
      </c>
      <c r="X25" s="3451"/>
      <c r="Y25" s="3855"/>
      <c r="Z25" s="3452" t="str">
        <f>Q25</f>
        <v>楼层-1</v>
      </c>
      <c r="AA25" s="3450">
        <f t="shared" ref="AA25:AA46" si="15">D25/F25</f>
        <v>1</v>
      </c>
      <c r="AB25" s="3450">
        <f t="shared" ref="AB25:AB46" si="16">D25/H25</f>
        <v>1</v>
      </c>
      <c r="AC25" s="3450">
        <f t="shared" ref="AC25:AC46" si="17">D25/J25</f>
        <v>1</v>
      </c>
    </row>
    <row r="26" spans="1:29" ht="15">
      <c r="A26" s="379"/>
      <c r="B26" s="375" t="s">
        <v>1688</v>
      </c>
      <c r="C26" s="411" t="s">
        <v>3528</v>
      </c>
      <c r="D26" s="386">
        <v>100</v>
      </c>
      <c r="E26" s="1906" t="s">
        <v>3527</v>
      </c>
      <c r="F26" s="386">
        <f>SUMIF(88:88,E26,89:89)-SUMIF(88:88,C26,89:89)+100</f>
        <v>102</v>
      </c>
      <c r="G26" s="1907" t="s">
        <v>3523</v>
      </c>
      <c r="H26" s="386">
        <f>SUMIF(88:88,G26,89:89)-SUMIF(88:88,C26,89:89)+100</f>
        <v>103.5</v>
      </c>
      <c r="I26" s="1907" t="s">
        <v>3527</v>
      </c>
      <c r="J26" s="386">
        <f>SUMIF(88:88,I26,89:89)-SUMIF(88:88,C26,89:89)+100</f>
        <v>102</v>
      </c>
      <c r="K26" s="377">
        <v>0.5</v>
      </c>
      <c r="L26" s="2719"/>
      <c r="M26" s="2713"/>
      <c r="N26" s="2713"/>
      <c r="O26" s="2713"/>
      <c r="P26" s="3853"/>
      <c r="Q26" s="3449" t="str">
        <f t="shared" si="11"/>
        <v>朝向</v>
      </c>
      <c r="R26" s="705" t="s">
        <v>14</v>
      </c>
      <c r="S26" s="706">
        <f t="shared" si="12"/>
        <v>102</v>
      </c>
      <c r="T26" s="705" t="s">
        <v>14</v>
      </c>
      <c r="U26" s="706">
        <f t="shared" si="13"/>
        <v>103.5</v>
      </c>
      <c r="V26" s="705" t="s">
        <v>14</v>
      </c>
      <c r="W26" s="706">
        <f t="shared" si="14"/>
        <v>102</v>
      </c>
      <c r="X26" s="3451"/>
      <c r="Y26" s="3855"/>
      <c r="Z26" s="3452" t="str">
        <f>Q26</f>
        <v>朝向</v>
      </c>
      <c r="AA26" s="3450">
        <f t="shared" si="15"/>
        <v>0.98039215686274506</v>
      </c>
      <c r="AB26" s="3450">
        <f t="shared" si="16"/>
        <v>0.96618357487922701</v>
      </c>
      <c r="AC26" s="3450">
        <f t="shared" si="17"/>
        <v>0.98039215686274506</v>
      </c>
    </row>
    <row r="27" spans="1:29" s="108" customFormat="1" ht="15.75" thickBot="1">
      <c r="A27" s="382"/>
      <c r="B27" s="3503" t="s">
        <v>3514</v>
      </c>
      <c r="C27" s="3541" t="s">
        <v>3582</v>
      </c>
      <c r="D27" s="413">
        <v>100</v>
      </c>
      <c r="E27" s="3519" t="str">
        <f>租金案例!R2</f>
        <v>高楼层/18</v>
      </c>
      <c r="F27" s="413">
        <f>SUMIF(90:90,E27,91:91)-SUMIF(90:90,C27,91:91)+100</f>
        <v>104</v>
      </c>
      <c r="G27" s="3519" t="str">
        <f>租金案例!R3</f>
        <v>中楼层/18</v>
      </c>
      <c r="H27" s="413">
        <f>SUMIF(90:90,G27,91:91)-SUMIF(90:90,C27,91:91)+100</f>
        <v>102</v>
      </c>
      <c r="I27" s="3519" t="str">
        <f>租金案例!R6</f>
        <v>高楼层/18</v>
      </c>
      <c r="J27" s="413">
        <f>SUMIF(90:90,I27,91:91)-SUMIF(90:90,C27,91:91)+100</f>
        <v>104</v>
      </c>
      <c r="K27" s="1894"/>
      <c r="L27" s="2714"/>
      <c r="M27" s="2715"/>
      <c r="N27" s="2715"/>
      <c r="O27" s="2715"/>
      <c r="P27" s="3853"/>
      <c r="Q27" s="3448" t="str">
        <f t="shared" si="11"/>
        <v>楼层</v>
      </c>
      <c r="R27" s="701" t="s">
        <v>14</v>
      </c>
      <c r="S27" s="702">
        <f t="shared" si="12"/>
        <v>104</v>
      </c>
      <c r="T27" s="701" t="s">
        <v>14</v>
      </c>
      <c r="U27" s="702">
        <f t="shared" si="13"/>
        <v>102</v>
      </c>
      <c r="V27" s="701" t="s">
        <v>14</v>
      </c>
      <c r="W27" s="702">
        <f t="shared" si="14"/>
        <v>104</v>
      </c>
      <c r="X27" s="703"/>
      <c r="Y27" s="3855"/>
      <c r="Z27" s="3447" t="str">
        <f>Q27</f>
        <v>楼层</v>
      </c>
      <c r="AA27" s="3450">
        <f t="shared" si="15"/>
        <v>0.96153846153846156</v>
      </c>
      <c r="AB27" s="3450">
        <f t="shared" si="16"/>
        <v>0.98039215686274506</v>
      </c>
      <c r="AC27" s="3450">
        <f t="shared" si="17"/>
        <v>0.96153846153846156</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853"/>
      <c r="Q28" s="3449">
        <f t="shared" si="11"/>
        <v>111</v>
      </c>
      <c r="R28" s="705" t="s">
        <v>14</v>
      </c>
      <c r="S28" s="706">
        <f t="shared" si="12"/>
        <v>100</v>
      </c>
      <c r="T28" s="705" t="s">
        <v>14</v>
      </c>
      <c r="U28" s="706">
        <f t="shared" si="13"/>
        <v>100</v>
      </c>
      <c r="V28" s="705" t="s">
        <v>14</v>
      </c>
      <c r="W28" s="706">
        <f t="shared" si="14"/>
        <v>100</v>
      </c>
      <c r="X28" s="3451"/>
      <c r="Y28" s="3855"/>
      <c r="Z28" s="3452">
        <f t="shared" ref="Z28:Z46" si="18">Q28</f>
        <v>111</v>
      </c>
      <c r="AA28" s="3450">
        <f t="shared" si="15"/>
        <v>1</v>
      </c>
      <c r="AB28" s="3450">
        <f t="shared" si="16"/>
        <v>1</v>
      </c>
      <c r="AC28" s="3450">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853"/>
      <c r="Q29" s="3449">
        <f t="shared" si="11"/>
        <v>111</v>
      </c>
      <c r="R29" s="705" t="s">
        <v>14</v>
      </c>
      <c r="S29" s="706">
        <f t="shared" si="12"/>
        <v>100</v>
      </c>
      <c r="T29" s="705" t="s">
        <v>14</v>
      </c>
      <c r="U29" s="706">
        <f t="shared" si="13"/>
        <v>100</v>
      </c>
      <c r="V29" s="705" t="s">
        <v>14</v>
      </c>
      <c r="W29" s="706">
        <f t="shared" si="14"/>
        <v>100</v>
      </c>
      <c r="X29" s="3451"/>
      <c r="Y29" s="3855"/>
      <c r="Z29" s="3452">
        <f t="shared" si="18"/>
        <v>111</v>
      </c>
      <c r="AA29" s="3450">
        <f t="shared" si="15"/>
        <v>1</v>
      </c>
      <c r="AB29" s="3450">
        <f t="shared" si="16"/>
        <v>1</v>
      </c>
      <c r="AC29" s="3450">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853"/>
      <c r="Q30" s="3449">
        <f t="shared" si="11"/>
        <v>111</v>
      </c>
      <c r="R30" s="705" t="s">
        <v>14</v>
      </c>
      <c r="S30" s="706">
        <f t="shared" si="12"/>
        <v>100</v>
      </c>
      <c r="T30" s="705" t="s">
        <v>14</v>
      </c>
      <c r="U30" s="706">
        <f t="shared" si="13"/>
        <v>100</v>
      </c>
      <c r="V30" s="705" t="s">
        <v>14</v>
      </c>
      <c r="W30" s="706">
        <f t="shared" si="14"/>
        <v>100</v>
      </c>
      <c r="X30" s="3451"/>
      <c r="Y30" s="3855"/>
      <c r="Z30" s="3452">
        <f t="shared" si="18"/>
        <v>111</v>
      </c>
      <c r="AA30" s="3450">
        <f t="shared" si="15"/>
        <v>1</v>
      </c>
      <c r="AB30" s="3450">
        <f t="shared" si="16"/>
        <v>1</v>
      </c>
      <c r="AC30" s="3450">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853"/>
      <c r="Q31" s="3449">
        <f t="shared" si="11"/>
        <v>111</v>
      </c>
      <c r="R31" s="705" t="s">
        <v>14</v>
      </c>
      <c r="S31" s="706">
        <f t="shared" si="12"/>
        <v>100</v>
      </c>
      <c r="T31" s="705" t="s">
        <v>14</v>
      </c>
      <c r="U31" s="706">
        <f t="shared" si="13"/>
        <v>100</v>
      </c>
      <c r="V31" s="705" t="s">
        <v>14</v>
      </c>
      <c r="W31" s="706">
        <f t="shared" si="14"/>
        <v>100</v>
      </c>
      <c r="X31" s="3451"/>
      <c r="Y31" s="3855"/>
      <c r="Z31" s="3452">
        <f t="shared" si="18"/>
        <v>111</v>
      </c>
      <c r="AA31" s="3450">
        <f t="shared" si="15"/>
        <v>1</v>
      </c>
      <c r="AB31" s="3450">
        <f t="shared" si="16"/>
        <v>1</v>
      </c>
      <c r="AC31" s="3450">
        <f t="shared" si="17"/>
        <v>1</v>
      </c>
    </row>
    <row r="32" spans="1:29" ht="15">
      <c r="A32" s="391" t="s">
        <v>1689</v>
      </c>
      <c r="B32" s="63" t="s">
        <v>1690</v>
      </c>
      <c r="C32" s="1910" t="s">
        <v>3534</v>
      </c>
      <c r="D32" s="418">
        <v>100</v>
      </c>
      <c r="E32" s="1910" t="s">
        <v>3534</v>
      </c>
      <c r="F32" s="412">
        <f>SUMIF(100:100,E32,101:101)-SUMIF(100:100,C32,101:101)+100</f>
        <v>100</v>
      </c>
      <c r="G32" s="1910" t="s">
        <v>3534</v>
      </c>
      <c r="H32" s="418">
        <f>SUMIF(100:100,G32,101:101)-SUMIF(100:100,C32,101:101)+100</f>
        <v>100</v>
      </c>
      <c r="I32" s="1910" t="s">
        <v>3534</v>
      </c>
      <c r="J32" s="386">
        <f>SUMIF(100:100,I32,101:101)-SUMIF(100:100,C32,101:101)+100</f>
        <v>100</v>
      </c>
      <c r="K32" s="377">
        <v>2</v>
      </c>
      <c r="L32" s="2719"/>
      <c r="M32" s="2713"/>
      <c r="N32" s="2713"/>
      <c r="O32" s="2713"/>
      <c r="P32" s="3856" t="s">
        <v>1691</v>
      </c>
      <c r="Q32" s="3449" t="str">
        <f t="shared" si="11"/>
        <v>建筑类型</v>
      </c>
      <c r="R32" s="705" t="s">
        <v>14</v>
      </c>
      <c r="S32" s="706">
        <f t="shared" si="12"/>
        <v>100</v>
      </c>
      <c r="T32" s="705" t="s">
        <v>14</v>
      </c>
      <c r="U32" s="706">
        <f t="shared" si="13"/>
        <v>100</v>
      </c>
      <c r="V32" s="705" t="s">
        <v>14</v>
      </c>
      <c r="W32" s="706">
        <f t="shared" si="14"/>
        <v>100</v>
      </c>
      <c r="X32" s="3451"/>
      <c r="Y32" s="3859" t="s">
        <v>1691</v>
      </c>
      <c r="Z32" s="3452" t="str">
        <f t="shared" si="18"/>
        <v>建筑类型</v>
      </c>
      <c r="AA32" s="3450">
        <f t="shared" si="15"/>
        <v>1</v>
      </c>
      <c r="AB32" s="3450">
        <f t="shared" si="16"/>
        <v>1</v>
      </c>
      <c r="AC32" s="3450">
        <f t="shared" si="17"/>
        <v>1</v>
      </c>
    </row>
    <row r="33" spans="1:29" s="422" customFormat="1" ht="15">
      <c r="A33" s="419"/>
      <c r="B33" s="375" t="s">
        <v>1692</v>
      </c>
      <c r="C33" s="420">
        <f>'数据-汇总表'!F19</f>
        <v>85.3</v>
      </c>
      <c r="D33" s="127">
        <v>100</v>
      </c>
      <c r="E33" s="381">
        <f>租金案例!K2</f>
        <v>75</v>
      </c>
      <c r="F33" s="376">
        <f>LOOKUP(E33,103:103,104:104)-LOOKUP(C33,103:103,104:104)+100</f>
        <v>102</v>
      </c>
      <c r="G33" s="380">
        <f>租金案例!K3</f>
        <v>84.43</v>
      </c>
      <c r="H33" s="127">
        <f>LOOKUP(G33,103:103,104:104)-LOOKUP(C33,103:103,104:104)+100</f>
        <v>100</v>
      </c>
      <c r="I33" s="381">
        <f>租金案例!K6</f>
        <v>85.3</v>
      </c>
      <c r="J33" s="127">
        <f>LOOKUP(I33,103:103,104:104)-LOOKUP(C33,103:103,104:104)+100</f>
        <v>100</v>
      </c>
      <c r="K33" s="1894"/>
      <c r="L33" s="2718"/>
      <c r="M33" s="2720"/>
      <c r="N33" s="2720"/>
      <c r="O33" s="2720"/>
      <c r="P33" s="3857"/>
      <c r="Q33" s="707" t="str">
        <f t="shared" si="11"/>
        <v>项目建筑规模</v>
      </c>
      <c r="R33" s="708" t="s">
        <v>14</v>
      </c>
      <c r="S33" s="709">
        <f t="shared" si="12"/>
        <v>102</v>
      </c>
      <c r="T33" s="708" t="s">
        <v>14</v>
      </c>
      <c r="U33" s="709">
        <f t="shared" si="13"/>
        <v>100</v>
      </c>
      <c r="V33" s="708" t="s">
        <v>14</v>
      </c>
      <c r="W33" s="709">
        <f t="shared" si="14"/>
        <v>100</v>
      </c>
      <c r="X33" s="710"/>
      <c r="Y33" s="3859"/>
      <c r="Z33" s="711" t="str">
        <f t="shared" si="18"/>
        <v>项目建筑规模</v>
      </c>
      <c r="AA33" s="3450">
        <f t="shared" si="15"/>
        <v>0.98039215686274506</v>
      </c>
      <c r="AB33" s="3450">
        <f t="shared" si="16"/>
        <v>1</v>
      </c>
      <c r="AC33" s="3450">
        <f t="shared" si="17"/>
        <v>1</v>
      </c>
    </row>
    <row r="34" spans="1:29" ht="15">
      <c r="A34" s="423"/>
      <c r="B34" s="375" t="s">
        <v>1693</v>
      </c>
      <c r="C34" s="1911" t="s">
        <v>3536</v>
      </c>
      <c r="D34" s="386">
        <v>100</v>
      </c>
      <c r="E34" s="1911" t="s">
        <v>3536</v>
      </c>
      <c r="F34" s="412">
        <f>SUMIF(105:105,E34,106:106)-SUMIF(105:105,C34,106:106)+100</f>
        <v>100</v>
      </c>
      <c r="G34" s="1911" t="s">
        <v>3536</v>
      </c>
      <c r="H34" s="386">
        <f>SUMIF(105:105,G34,106:106)-SUMIF(105:105,C34,106:106)+100</f>
        <v>100</v>
      </c>
      <c r="I34" s="1911" t="s">
        <v>3536</v>
      </c>
      <c r="J34" s="386">
        <f>SUMIF(105:105,I34,106:106)-SUMIF(105:105,C34,106:106)+100</f>
        <v>100</v>
      </c>
      <c r="K34" s="377">
        <v>2</v>
      </c>
      <c r="L34" s="2719"/>
      <c r="M34" s="2713"/>
      <c r="N34" s="2713"/>
      <c r="O34" s="2713"/>
      <c r="P34" s="3857"/>
      <c r="Q34" s="3449" t="str">
        <f t="shared" si="11"/>
        <v>建筑结构</v>
      </c>
      <c r="R34" s="705" t="s">
        <v>14</v>
      </c>
      <c r="S34" s="706">
        <f t="shared" si="12"/>
        <v>100</v>
      </c>
      <c r="T34" s="705" t="s">
        <v>14</v>
      </c>
      <c r="U34" s="706">
        <f t="shared" si="13"/>
        <v>100</v>
      </c>
      <c r="V34" s="705" t="s">
        <v>14</v>
      </c>
      <c r="W34" s="706">
        <f t="shared" si="14"/>
        <v>100</v>
      </c>
      <c r="X34" s="3451"/>
      <c r="Y34" s="3859"/>
      <c r="Z34" s="3452" t="str">
        <f t="shared" si="18"/>
        <v>建筑结构</v>
      </c>
      <c r="AA34" s="3450">
        <f t="shared" si="15"/>
        <v>1</v>
      </c>
      <c r="AB34" s="3450">
        <f t="shared" si="16"/>
        <v>1</v>
      </c>
      <c r="AC34" s="3450">
        <f t="shared" si="17"/>
        <v>1</v>
      </c>
    </row>
    <row r="35" spans="1:29" ht="15" hidden="1">
      <c r="A35" s="423"/>
      <c r="B35" s="375" t="s">
        <v>1694</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v>2</v>
      </c>
      <c r="L35" s="2719"/>
      <c r="M35" s="2713"/>
      <c r="N35" s="2713"/>
      <c r="O35" s="2713"/>
      <c r="P35" s="3857"/>
      <c r="Q35" s="3449" t="str">
        <f t="shared" si="11"/>
        <v>建筑品质</v>
      </c>
      <c r="R35" s="705" t="s">
        <v>14</v>
      </c>
      <c r="S35" s="706">
        <f t="shared" si="12"/>
        <v>100</v>
      </c>
      <c r="T35" s="705" t="s">
        <v>14</v>
      </c>
      <c r="U35" s="706">
        <f t="shared" si="13"/>
        <v>100</v>
      </c>
      <c r="V35" s="705" t="s">
        <v>14</v>
      </c>
      <c r="W35" s="706">
        <f t="shared" si="14"/>
        <v>100</v>
      </c>
      <c r="X35" s="3451"/>
      <c r="Y35" s="3859"/>
      <c r="Z35" s="3452" t="str">
        <f t="shared" si="18"/>
        <v>建筑品质</v>
      </c>
      <c r="AA35" s="3450">
        <f t="shared" si="15"/>
        <v>1</v>
      </c>
      <c r="AB35" s="3450">
        <f t="shared" si="16"/>
        <v>1</v>
      </c>
      <c r="AC35" s="3450">
        <f t="shared" si="17"/>
        <v>1</v>
      </c>
    </row>
    <row r="36" spans="1:29" ht="15">
      <c r="A36" s="423"/>
      <c r="B36" s="375" t="s">
        <v>1695</v>
      </c>
      <c r="C36" s="1906" t="s">
        <v>3554</v>
      </c>
      <c r="D36" s="386">
        <v>100</v>
      </c>
      <c r="E36" s="1906" t="s">
        <v>3554</v>
      </c>
      <c r="F36" s="412">
        <f>SUMIF(109:109,E36,110:110)-SUMIF(109:109,C36,110:110)+100</f>
        <v>100</v>
      </c>
      <c r="G36" s="1906" t="s">
        <v>3554</v>
      </c>
      <c r="H36" s="386">
        <f>SUMIF(109:109,G36,110:110)-SUMIF(109:109,C36,110:110)+100</f>
        <v>100</v>
      </c>
      <c r="I36" s="1906" t="s">
        <v>3554</v>
      </c>
      <c r="J36" s="386">
        <f>SUMIF(109:109,I36,110:110)-SUMIF(109:109,C36,110:110)+100</f>
        <v>100</v>
      </c>
      <c r="K36" s="377">
        <v>2</v>
      </c>
      <c r="L36" s="2719"/>
      <c r="M36" s="2713"/>
      <c r="N36" s="2713"/>
      <c r="O36" s="2713"/>
      <c r="P36" s="3857"/>
      <c r="Q36" s="3449" t="str">
        <f t="shared" si="11"/>
        <v>公共部分装修</v>
      </c>
      <c r="R36" s="705" t="s">
        <v>14</v>
      </c>
      <c r="S36" s="706">
        <f t="shared" si="12"/>
        <v>100</v>
      </c>
      <c r="T36" s="705" t="s">
        <v>14</v>
      </c>
      <c r="U36" s="706">
        <f t="shared" si="13"/>
        <v>100</v>
      </c>
      <c r="V36" s="705" t="s">
        <v>14</v>
      </c>
      <c r="W36" s="706">
        <f t="shared" si="14"/>
        <v>100</v>
      </c>
      <c r="X36" s="3451"/>
      <c r="Y36" s="3859"/>
      <c r="Z36" s="3452" t="str">
        <f t="shared" si="18"/>
        <v>公共部分装修</v>
      </c>
      <c r="AA36" s="3450">
        <f t="shared" si="15"/>
        <v>1</v>
      </c>
      <c r="AB36" s="3450">
        <f t="shared" si="16"/>
        <v>1</v>
      </c>
      <c r="AC36" s="3450">
        <f t="shared" si="17"/>
        <v>1</v>
      </c>
    </row>
    <row r="37" spans="1:29" s="108" customFormat="1" ht="15">
      <c r="A37" s="424"/>
      <c r="B37" s="375" t="s">
        <v>1696</v>
      </c>
      <c r="C37" s="425">
        <v>0.6</v>
      </c>
      <c r="D37" s="127">
        <v>100</v>
      </c>
      <c r="E37" s="425">
        <f>C37</f>
        <v>0.6</v>
      </c>
      <c r="F37" s="376">
        <f>LOOKUP(E37,112:112,113:113)-LOOKUP(C37,112:112,113:113)+100</f>
        <v>100</v>
      </c>
      <c r="G37" s="427">
        <f>C37</f>
        <v>0.6</v>
      </c>
      <c r="H37" s="127">
        <f>LOOKUP(G37,112:112,113:113)-LOOKUP(C37,112:112,113:113)+100</f>
        <v>100</v>
      </c>
      <c r="I37" s="426">
        <f>C37</f>
        <v>0.6</v>
      </c>
      <c r="J37" s="127">
        <f>LOOKUP(I37,112:112,113:113)-LOOKUP(C37,112:112,113:113)+100</f>
        <v>100</v>
      </c>
      <c r="K37" s="377">
        <v>1</v>
      </c>
      <c r="L37" s="2714"/>
      <c r="M37" s="2715"/>
      <c r="N37" s="2715"/>
      <c r="O37" s="2715"/>
      <c r="P37" s="3857"/>
      <c r="Q37" s="3448" t="str">
        <f t="shared" si="11"/>
        <v>成新度</v>
      </c>
      <c r="R37" s="701" t="s">
        <v>14</v>
      </c>
      <c r="S37" s="702">
        <f t="shared" si="12"/>
        <v>100</v>
      </c>
      <c r="T37" s="701" t="s">
        <v>14</v>
      </c>
      <c r="U37" s="702">
        <f t="shared" si="13"/>
        <v>100</v>
      </c>
      <c r="V37" s="701" t="s">
        <v>14</v>
      </c>
      <c r="W37" s="702">
        <f t="shared" si="14"/>
        <v>100</v>
      </c>
      <c r="X37" s="703"/>
      <c r="Y37" s="3859"/>
      <c r="Z37" s="3447" t="str">
        <f t="shared" si="18"/>
        <v>成新度</v>
      </c>
      <c r="AA37" s="704">
        <f t="shared" si="15"/>
        <v>1</v>
      </c>
      <c r="AB37" s="704">
        <f t="shared" si="16"/>
        <v>1</v>
      </c>
      <c r="AC37" s="704">
        <f t="shared" si="17"/>
        <v>1</v>
      </c>
    </row>
    <row r="38" spans="1:29" ht="15">
      <c r="A38" s="423"/>
      <c r="B38" s="375" t="s">
        <v>1697</v>
      </c>
      <c r="C38" s="1906" t="s">
        <v>3545</v>
      </c>
      <c r="D38" s="386">
        <v>100</v>
      </c>
      <c r="E38" s="1906" t="s">
        <v>3545</v>
      </c>
      <c r="F38" s="412">
        <f>SUMIF(114:114,E38,115:115)-SUMIF(114:114,C38,115:115)+100</f>
        <v>100</v>
      </c>
      <c r="G38" s="1906" t="s">
        <v>3545</v>
      </c>
      <c r="H38" s="386">
        <f>SUMIF(114:114,G38,115:115)-SUMIF(114:114,C38,115:115)+100</f>
        <v>100</v>
      </c>
      <c r="I38" s="1906" t="s">
        <v>3545</v>
      </c>
      <c r="J38" s="386">
        <f>SUMIF(114:114,I38,115:115)-SUMIF(114:114,C38,115:115)+100</f>
        <v>100</v>
      </c>
      <c r="K38" s="377">
        <v>1</v>
      </c>
      <c r="L38" s="2719"/>
      <c r="M38" s="2713"/>
      <c r="N38" s="2713"/>
      <c r="O38" s="2713"/>
      <c r="P38" s="3857" t="s">
        <v>1691</v>
      </c>
      <c r="Q38" s="3449" t="str">
        <f t="shared" si="11"/>
        <v>物业管理</v>
      </c>
      <c r="R38" s="705" t="s">
        <v>14</v>
      </c>
      <c r="S38" s="706">
        <f t="shared" si="12"/>
        <v>100</v>
      </c>
      <c r="T38" s="705" t="s">
        <v>14</v>
      </c>
      <c r="U38" s="706">
        <f t="shared" si="13"/>
        <v>100</v>
      </c>
      <c r="V38" s="705" t="s">
        <v>14</v>
      </c>
      <c r="W38" s="706">
        <f t="shared" si="14"/>
        <v>100</v>
      </c>
      <c r="X38" s="3451"/>
      <c r="Y38" s="3859" t="s">
        <v>1691</v>
      </c>
      <c r="Z38" s="3452" t="str">
        <f t="shared" si="18"/>
        <v>物业管理</v>
      </c>
      <c r="AA38" s="3450">
        <f t="shared" si="15"/>
        <v>1</v>
      </c>
      <c r="AB38" s="3450">
        <f t="shared" si="16"/>
        <v>1</v>
      </c>
      <c r="AC38" s="3450">
        <f t="shared" si="17"/>
        <v>1</v>
      </c>
    </row>
    <row r="39" spans="1:29" ht="15">
      <c r="A39" s="423"/>
      <c r="B39" s="375" t="s">
        <v>1698</v>
      </c>
      <c r="C39" s="1906" t="s">
        <v>3516</v>
      </c>
      <c r="D39" s="386">
        <v>100</v>
      </c>
      <c r="E39" s="1906" t="s">
        <v>3516</v>
      </c>
      <c r="F39" s="412">
        <f>SUMIF(116:116,E39,117:117)-SUMIF(116:116,C39,117:117)+100</f>
        <v>100</v>
      </c>
      <c r="G39" s="1906" t="s">
        <v>3516</v>
      </c>
      <c r="H39" s="386">
        <f>SUMIF(116:116,G39,117:117)-SUMIF(116:116,C39,117:117)+100</f>
        <v>100</v>
      </c>
      <c r="I39" s="1906" t="s">
        <v>3516</v>
      </c>
      <c r="J39" s="386">
        <f>SUMIF(116:116,I39,117:117)-SUMIF(116:116,C39,117:117)+100</f>
        <v>100</v>
      </c>
      <c r="K39" s="377">
        <v>1</v>
      </c>
      <c r="L39" s="2719"/>
      <c r="M39" s="2713"/>
      <c r="N39" s="2713"/>
      <c r="O39" s="2713"/>
      <c r="P39" s="3857"/>
      <c r="Q39" s="3449" t="str">
        <f t="shared" si="11"/>
        <v>市政基础设施</v>
      </c>
      <c r="R39" s="705" t="s">
        <v>14</v>
      </c>
      <c r="S39" s="706">
        <f t="shared" si="12"/>
        <v>100</v>
      </c>
      <c r="T39" s="705" t="s">
        <v>14</v>
      </c>
      <c r="U39" s="706">
        <f t="shared" si="13"/>
        <v>100</v>
      </c>
      <c r="V39" s="705" t="s">
        <v>14</v>
      </c>
      <c r="W39" s="706">
        <f t="shared" si="14"/>
        <v>100</v>
      </c>
      <c r="X39" s="3451"/>
      <c r="Y39" s="3859"/>
      <c r="Z39" s="3452" t="str">
        <f t="shared" si="18"/>
        <v>市政基础设施</v>
      </c>
      <c r="AA39" s="3450">
        <f t="shared" si="15"/>
        <v>1</v>
      </c>
      <c r="AB39" s="3450">
        <f t="shared" si="16"/>
        <v>1</v>
      </c>
      <c r="AC39" s="3450">
        <f t="shared" si="17"/>
        <v>1</v>
      </c>
    </row>
    <row r="40" spans="1:29" ht="15">
      <c r="A40" s="423"/>
      <c r="B40" s="375" t="s">
        <v>1699</v>
      </c>
      <c r="C40" s="1906" t="s">
        <v>3553</v>
      </c>
      <c r="D40" s="386">
        <v>100</v>
      </c>
      <c r="E40" s="1906" t="s">
        <v>3553</v>
      </c>
      <c r="F40" s="412">
        <f>SUMIF(118:118,E40,119:119)-SUMIF(118:118,C40,119:119)+100</f>
        <v>100</v>
      </c>
      <c r="G40" s="1906" t="s">
        <v>3553</v>
      </c>
      <c r="H40" s="386">
        <f>SUMIF(118:118,G40,119:119)-SUMIF(118:118,C40,119:119)+100</f>
        <v>100</v>
      </c>
      <c r="I40" s="1906" t="s">
        <v>3553</v>
      </c>
      <c r="J40" s="386">
        <f>SUMIF(118:118,I40,119:119)-SUMIF(118:118,C40,119:119)+100</f>
        <v>100</v>
      </c>
      <c r="K40" s="377">
        <v>2</v>
      </c>
      <c r="L40" s="2719"/>
      <c r="M40" s="2713"/>
      <c r="N40" s="2713"/>
      <c r="O40" s="2713"/>
      <c r="P40" s="3857"/>
      <c r="Q40" s="3449" t="str">
        <f t="shared" si="11"/>
        <v>房型</v>
      </c>
      <c r="R40" s="705" t="s">
        <v>14</v>
      </c>
      <c r="S40" s="706">
        <f t="shared" si="12"/>
        <v>100</v>
      </c>
      <c r="T40" s="705" t="s">
        <v>14</v>
      </c>
      <c r="U40" s="706">
        <f t="shared" si="13"/>
        <v>100</v>
      </c>
      <c r="V40" s="705" t="s">
        <v>14</v>
      </c>
      <c r="W40" s="706">
        <f t="shared" si="14"/>
        <v>100</v>
      </c>
      <c r="X40" s="3451"/>
      <c r="Y40" s="3859"/>
      <c r="Z40" s="3452" t="str">
        <f t="shared" si="18"/>
        <v>房型</v>
      </c>
      <c r="AA40" s="3450">
        <f t="shared" si="15"/>
        <v>1</v>
      </c>
      <c r="AB40" s="3450">
        <f t="shared" si="16"/>
        <v>1</v>
      </c>
      <c r="AC40" s="3450">
        <f t="shared" si="17"/>
        <v>1</v>
      </c>
    </row>
    <row r="41" spans="1:29" s="422" customFormat="1" ht="28.5" hidden="1">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857"/>
      <c r="Q41" s="707" t="str">
        <f t="shared" si="11"/>
        <v>单套/主力户型建筑面积</v>
      </c>
      <c r="R41" s="708" t="s">
        <v>14</v>
      </c>
      <c r="S41" s="709">
        <f t="shared" si="12"/>
        <v>100</v>
      </c>
      <c r="T41" s="708" t="s">
        <v>14</v>
      </c>
      <c r="U41" s="709">
        <f t="shared" si="13"/>
        <v>100</v>
      </c>
      <c r="V41" s="708" t="s">
        <v>14</v>
      </c>
      <c r="W41" s="709">
        <f t="shared" si="14"/>
        <v>100</v>
      </c>
      <c r="X41" s="710"/>
      <c r="Y41" s="3859"/>
      <c r="Z41" s="711" t="str">
        <f t="shared" si="18"/>
        <v>单套/主力户型建筑面积</v>
      </c>
      <c r="AA41" s="3450">
        <f t="shared" si="15"/>
        <v>1</v>
      </c>
      <c r="AB41" s="3450">
        <f t="shared" si="16"/>
        <v>1</v>
      </c>
      <c r="AC41" s="3450">
        <f t="shared" si="17"/>
        <v>1</v>
      </c>
    </row>
    <row r="42" spans="1:29" ht="15">
      <c r="A42" s="423"/>
      <c r="B42" s="375" t="s">
        <v>1701</v>
      </c>
      <c r="C42" s="1906" t="s">
        <v>3541</v>
      </c>
      <c r="D42" s="386">
        <v>100</v>
      </c>
      <c r="E42" s="1906" t="s">
        <v>3541</v>
      </c>
      <c r="F42" s="412">
        <f>SUMIF(122:122,E42,123:123)-SUMIF(122:122,C42,123:123)+100</f>
        <v>100</v>
      </c>
      <c r="G42" s="1906" t="s">
        <v>3540</v>
      </c>
      <c r="H42" s="386">
        <f>SUMIF(122:122,G42,123:123)-SUMIF(122:122,C42,123:123)+100</f>
        <v>105</v>
      </c>
      <c r="I42" s="1906" t="s">
        <v>3541</v>
      </c>
      <c r="J42" s="386">
        <f>SUMIF(122:122,I42,123:123)-SUMIF(122:122,C42,123:123)+100</f>
        <v>100</v>
      </c>
      <c r="K42" s="377">
        <v>5</v>
      </c>
      <c r="L42" s="2719"/>
      <c r="M42" s="2713"/>
      <c r="N42" s="2713"/>
      <c r="O42" s="2713"/>
      <c r="P42" s="3857"/>
      <c r="Q42" s="3449" t="str">
        <f t="shared" si="11"/>
        <v>内部装修</v>
      </c>
      <c r="R42" s="705" t="s">
        <v>14</v>
      </c>
      <c r="S42" s="706">
        <f t="shared" si="12"/>
        <v>100</v>
      </c>
      <c r="T42" s="705" t="s">
        <v>14</v>
      </c>
      <c r="U42" s="706">
        <f t="shared" si="13"/>
        <v>105</v>
      </c>
      <c r="V42" s="705" t="s">
        <v>14</v>
      </c>
      <c r="W42" s="706">
        <f t="shared" si="14"/>
        <v>100</v>
      </c>
      <c r="X42" s="3451"/>
      <c r="Y42" s="3859"/>
      <c r="Z42" s="3452" t="str">
        <f t="shared" si="18"/>
        <v>内部装修</v>
      </c>
      <c r="AA42" s="3450">
        <f t="shared" si="15"/>
        <v>1</v>
      </c>
      <c r="AB42" s="3450">
        <f t="shared" si="16"/>
        <v>0.95238095238095233</v>
      </c>
      <c r="AC42" s="3450">
        <f t="shared" si="17"/>
        <v>1</v>
      </c>
    </row>
    <row r="43" spans="1:29" ht="15">
      <c r="A43" s="423"/>
      <c r="B43" s="375" t="s">
        <v>1702</v>
      </c>
      <c r="C43" s="1906" t="s">
        <v>3513</v>
      </c>
      <c r="D43" s="386">
        <v>100</v>
      </c>
      <c r="E43" s="1906" t="s">
        <v>3513</v>
      </c>
      <c r="F43" s="412">
        <f>SUMIF(124:124,E43,125:125)-SUMIF(124:124,C43,125:125)+100</f>
        <v>100</v>
      </c>
      <c r="G43" s="1906" t="s">
        <v>3513</v>
      </c>
      <c r="H43" s="386">
        <f>SUMIF(124:124,G43,125:125)-SUMIF(124:124,C43,125:125)+100</f>
        <v>100</v>
      </c>
      <c r="I43" s="1906" t="s">
        <v>3513</v>
      </c>
      <c r="J43" s="386">
        <f>SUMIF(124:124,I43,125:125)-SUMIF(124:124,C43,125:125)+100</f>
        <v>100</v>
      </c>
      <c r="K43" s="377">
        <v>1</v>
      </c>
      <c r="L43" s="2719"/>
      <c r="M43" s="2713"/>
      <c r="N43" s="2713"/>
      <c r="O43" s="2713"/>
      <c r="P43" s="3857"/>
      <c r="Q43" s="3449" t="str">
        <f t="shared" si="11"/>
        <v>内部装修维护情况</v>
      </c>
      <c r="R43" s="705" t="s">
        <v>14</v>
      </c>
      <c r="S43" s="706">
        <f t="shared" si="12"/>
        <v>100</v>
      </c>
      <c r="T43" s="705" t="s">
        <v>14</v>
      </c>
      <c r="U43" s="706">
        <f t="shared" si="13"/>
        <v>100</v>
      </c>
      <c r="V43" s="705" t="s">
        <v>14</v>
      </c>
      <c r="W43" s="706">
        <f t="shared" si="14"/>
        <v>100</v>
      </c>
      <c r="X43" s="3451"/>
      <c r="Y43" s="3859"/>
      <c r="Z43" s="3452" t="str">
        <f t="shared" si="18"/>
        <v>内部装修维护情况</v>
      </c>
      <c r="AA43" s="3450">
        <f t="shared" si="15"/>
        <v>1</v>
      </c>
      <c r="AB43" s="3450">
        <f t="shared" si="16"/>
        <v>1</v>
      </c>
      <c r="AC43" s="3450">
        <f t="shared" si="17"/>
        <v>1</v>
      </c>
    </row>
    <row r="44" spans="1:29" s="108" customFormat="1" ht="30" customHeight="1">
      <c r="A44" s="424"/>
      <c r="B44" s="3503" t="s">
        <v>3597</v>
      </c>
      <c r="C44" s="3542" t="s">
        <v>3598</v>
      </c>
      <c r="D44" s="127">
        <v>100</v>
      </c>
      <c r="E44" s="3542" t="s">
        <v>3599</v>
      </c>
      <c r="F44" s="376">
        <f>SUMIF(126:126,E44,127:127)-SUMIF(126:126,C44,127:127)+100</f>
        <v>90</v>
      </c>
      <c r="G44" s="3542" t="s">
        <v>3599</v>
      </c>
      <c r="H44" s="127">
        <f>SUMIF(126:126,G44,127:127)-SUMIF(126:126,C44,127:127)+100</f>
        <v>90</v>
      </c>
      <c r="I44" s="3542" t="s">
        <v>3599</v>
      </c>
      <c r="J44" s="127">
        <f>SUMIF(126:126,I44,127:127)-SUMIF(126:126,C44,127:127)+100</f>
        <v>90</v>
      </c>
      <c r="K44" s="1894"/>
      <c r="L44" s="2714"/>
      <c r="M44" s="2715"/>
      <c r="N44" s="2715"/>
      <c r="O44" s="2715"/>
      <c r="P44" s="3857"/>
      <c r="Q44" s="3448" t="str">
        <f t="shared" si="11"/>
        <v>室内设施设备</v>
      </c>
      <c r="R44" s="701" t="s">
        <v>14</v>
      </c>
      <c r="S44" s="702">
        <f t="shared" si="12"/>
        <v>90</v>
      </c>
      <c r="T44" s="701" t="s">
        <v>14</v>
      </c>
      <c r="U44" s="702">
        <f t="shared" si="13"/>
        <v>90</v>
      </c>
      <c r="V44" s="701" t="s">
        <v>14</v>
      </c>
      <c r="W44" s="702">
        <f t="shared" si="14"/>
        <v>90</v>
      </c>
      <c r="X44" s="703"/>
      <c r="Y44" s="3859"/>
      <c r="Z44" s="3447" t="str">
        <f t="shared" si="18"/>
        <v>室内设施设备</v>
      </c>
      <c r="AA44" s="704">
        <f t="shared" si="15"/>
        <v>1.1111111111111112</v>
      </c>
      <c r="AB44" s="704">
        <f t="shared" si="16"/>
        <v>1.1111111111111112</v>
      </c>
      <c r="AC44" s="704">
        <f t="shared" si="17"/>
        <v>1.1111111111111112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857"/>
      <c r="Q45" s="3449">
        <f t="shared" si="11"/>
        <v>111</v>
      </c>
      <c r="R45" s="705" t="s">
        <v>14</v>
      </c>
      <c r="S45" s="706">
        <f t="shared" si="12"/>
        <v>100</v>
      </c>
      <c r="T45" s="705" t="s">
        <v>14</v>
      </c>
      <c r="U45" s="706">
        <f t="shared" si="13"/>
        <v>100</v>
      </c>
      <c r="V45" s="705" t="s">
        <v>14</v>
      </c>
      <c r="W45" s="706">
        <f t="shared" si="14"/>
        <v>100</v>
      </c>
      <c r="X45" s="3451"/>
      <c r="Y45" s="3859"/>
      <c r="Z45" s="3452">
        <f t="shared" si="18"/>
        <v>111</v>
      </c>
      <c r="AA45" s="3450">
        <f t="shared" si="15"/>
        <v>1</v>
      </c>
      <c r="AB45" s="3450">
        <f t="shared" si="16"/>
        <v>1</v>
      </c>
      <c r="AC45" s="3450">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858"/>
      <c r="Q46" s="3449">
        <f t="shared" si="11"/>
        <v>111</v>
      </c>
      <c r="R46" s="705" t="s">
        <v>14</v>
      </c>
      <c r="S46" s="706">
        <f t="shared" si="12"/>
        <v>100</v>
      </c>
      <c r="T46" s="705" t="s">
        <v>14</v>
      </c>
      <c r="U46" s="706">
        <f t="shared" si="13"/>
        <v>100</v>
      </c>
      <c r="V46" s="705" t="s">
        <v>14</v>
      </c>
      <c r="W46" s="706">
        <f t="shared" si="14"/>
        <v>100</v>
      </c>
      <c r="X46" s="3451"/>
      <c r="Y46" s="3860"/>
      <c r="Z46" s="3452">
        <f t="shared" si="18"/>
        <v>111</v>
      </c>
      <c r="AA46" s="3450">
        <f t="shared" si="15"/>
        <v>1</v>
      </c>
      <c r="AB46" s="3450">
        <f t="shared" si="16"/>
        <v>1</v>
      </c>
      <c r="AC46" s="3450">
        <f t="shared" si="17"/>
        <v>1</v>
      </c>
    </row>
    <row r="47" spans="1:29" ht="15">
      <c r="A47" s="430" t="s">
        <v>1703</v>
      </c>
      <c r="B47" s="431"/>
      <c r="C47" s="1154" t="s">
        <v>0</v>
      </c>
      <c r="D47" s="1155"/>
      <c r="E47" s="1156">
        <f>ROUND(租金案例!P2*(1-0.025/1.05),2)</f>
        <v>172.1</v>
      </c>
      <c r="F47" s="1157"/>
      <c r="G47" s="1158">
        <f>ROUND(租金案例!P3*(1-0.025/1.05),2)</f>
        <v>181.39</v>
      </c>
      <c r="H47" s="1159"/>
      <c r="I47" s="1156">
        <f>ROUND(租金案例!P6*(1-0.025/1.05),2)</f>
        <v>168.05</v>
      </c>
      <c r="J47" s="1159"/>
      <c r="K47" s="1912"/>
      <c r="L47" s="2721"/>
      <c r="M47" s="2722"/>
      <c r="N47" s="2713"/>
      <c r="O47" s="2722"/>
      <c r="P47" s="3861" t="str">
        <f>A47</f>
        <v>成交单价（元/平方米）</v>
      </c>
      <c r="Q47" s="3861"/>
      <c r="R47" s="3862">
        <f>E47</f>
        <v>172.1</v>
      </c>
      <c r="S47" s="3862"/>
      <c r="T47" s="3862">
        <f>G47</f>
        <v>181.39</v>
      </c>
      <c r="U47" s="3862"/>
      <c r="V47" s="3862">
        <f>I47</f>
        <v>168.05</v>
      </c>
      <c r="W47" s="3862"/>
      <c r="X47" s="690"/>
      <c r="Y47" s="712"/>
      <c r="Z47" s="690"/>
      <c r="AA47" s="690"/>
      <c r="AB47" s="690"/>
      <c r="AC47" s="690"/>
    </row>
    <row r="48" spans="1:29" ht="15.75" thickBot="1">
      <c r="A48" s="437" t="s">
        <v>1704</v>
      </c>
      <c r="B48" s="438"/>
      <c r="C48" s="1160">
        <f>R49</f>
        <v>178.19</v>
      </c>
      <c r="D48" s="2315" t="s">
        <v>2130</v>
      </c>
      <c r="E48" s="1161">
        <f>R48</f>
        <v>176.73</v>
      </c>
      <c r="F48" s="2316"/>
      <c r="G48" s="1160">
        <f>T48</f>
        <v>181.82</v>
      </c>
      <c r="H48" s="2316"/>
      <c r="I48" s="1161">
        <f>V48</f>
        <v>176.02</v>
      </c>
      <c r="J48" s="2316"/>
      <c r="K48" s="2317">
        <f>F48+H48+J48</f>
        <v>0</v>
      </c>
      <c r="L48" s="2721"/>
      <c r="M48" s="2722"/>
      <c r="N48" s="2722"/>
      <c r="O48" s="2722"/>
      <c r="P48" s="3861" t="str">
        <f>A48</f>
        <v>比较价值（元/平方米）</v>
      </c>
      <c r="Q48" s="3861"/>
      <c r="R48" s="3862">
        <f>IF(F1="售价",ROUND(PRODUCT(R47,AA7:AA46),2),ROUND(PRODUCT(R47,AA7:AA46),2))</f>
        <v>176.73</v>
      </c>
      <c r="S48" s="3862"/>
      <c r="T48" s="3862">
        <f>IF(F1="售价",ROUND(PRODUCT(T47,AB7:AB46),2),ROUND(PRODUCT(T47,AB7:AB46),2))</f>
        <v>181.82</v>
      </c>
      <c r="U48" s="3862"/>
      <c r="V48" s="3862">
        <f>IF(F1="售价",ROUND(PRODUCT(V47,AC7:AC46),2),ROUND(PRODUCT(V47,AC7:AC46),1))</f>
        <v>176.02</v>
      </c>
      <c r="W48" s="3862"/>
      <c r="X48" s="690"/>
      <c r="Y48" s="690"/>
      <c r="Z48" s="690"/>
      <c r="AA48" s="690"/>
      <c r="AB48" s="690"/>
      <c r="AC48" s="690"/>
    </row>
    <row r="49" spans="1:29" ht="15.75" thickBot="1">
      <c r="A49" s="3505" t="s">
        <v>3515</v>
      </c>
      <c r="B49" s="442"/>
      <c r="C49" s="1162">
        <f>R49</f>
        <v>178.19</v>
      </c>
      <c r="D49" s="1163"/>
      <c r="E49" s="1163"/>
      <c r="F49" s="1163"/>
      <c r="G49" s="1163"/>
      <c r="H49" s="1163"/>
      <c r="I49" s="1163"/>
      <c r="J49" s="1163"/>
      <c r="K49" s="1913"/>
      <c r="L49" s="2721"/>
      <c r="M49" s="2722"/>
      <c r="N49" s="2722"/>
      <c r="O49" s="2722"/>
      <c r="P49" s="3863" t="str">
        <f>A49</f>
        <v>估价对象住宅用房的比较价值（月租金单价，元/平方米/月）</v>
      </c>
      <c r="Q49" s="3864"/>
      <c r="R49" s="3865">
        <f>IF(F1="售价",ROUND(IF(D48="简单平均",AVERAGE(R48:V48),R48*F48+T48*H48+V48*J48),2),ROUND(IF(D48="简单平均",AVERAGE(R48:V48),R48*F48+T48*H48+V48*J48),1))</f>
        <v>178.19</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1705</v>
      </c>
      <c r="D52" s="447"/>
      <c r="E52" s="448">
        <f>IF(E47&lt;E48,E48/E47-1,E47/E48-1)</f>
        <v>2.6902963393375945E-2</v>
      </c>
      <c r="F52" s="449" t="str">
        <f>IF(OR(E52&gt;=0.3,E52&lt;=-0.3),"超过30%","")</f>
        <v/>
      </c>
      <c r="G52" s="448">
        <f>IF(G47&lt;G48,G48/G47-1,G47/G48-1)</f>
        <v>2.3705827223110543E-3</v>
      </c>
      <c r="H52" s="449" t="str">
        <f>IF(OR(G52&gt;=0.3,G52&lt;=-0.3),"超过30%","")</f>
        <v/>
      </c>
      <c r="I52" s="448">
        <f>IF(I47&lt;I48,I48/I47-1,I47/I48-1)</f>
        <v>4.7426361202023148E-2</v>
      </c>
      <c r="J52" s="449" t="str">
        <f>IF(OR(I52&gt;=0.3,I52&lt;=-0.3),"超过30%","")</f>
        <v/>
      </c>
      <c r="K52" s="2727"/>
      <c r="L52" s="2723"/>
      <c r="M52" s="2722"/>
      <c r="N52" s="2722"/>
      <c r="O52" s="2722"/>
    </row>
    <row r="53" spans="1:29" ht="13.5" customHeight="1">
      <c r="A53" s="2722"/>
      <c r="B53" s="2722"/>
      <c r="C53" s="446" t="s">
        <v>1706</v>
      </c>
      <c r="D53" s="450"/>
      <c r="E53" s="448">
        <f>IF(E48&lt;G48,G48/E48-1,E48/G48-1)</f>
        <v>2.8800995869405321E-2</v>
      </c>
      <c r="F53" s="449" t="str">
        <f>IF(OR(E53&gt;=0.2,E53&lt;=-0.2),"超过20%","")</f>
        <v/>
      </c>
      <c r="G53" s="448">
        <f>IF(G48&lt;I48,I48/G48-1,G48/I48-1)</f>
        <v>3.2950801045335654E-2</v>
      </c>
      <c r="H53" s="449" t="str">
        <f>IF(OR(G53&gt;=0.2,G53&lt;=-0.2),"超过20%","")</f>
        <v/>
      </c>
      <c r="I53" s="448">
        <f>IF(I48&lt;E48,E48/I48-1,I48/E48-1)</f>
        <v>4.0336325417564822E-3</v>
      </c>
      <c r="J53" s="449" t="str">
        <f>IF(OR(I53&gt;=0.2,I53&lt;=-0.2),"超过20%","")</f>
        <v/>
      </c>
      <c r="K53" s="2727"/>
      <c r="L53" s="2723"/>
      <c r="M53" s="2722"/>
      <c r="N53" s="2722"/>
      <c r="O53" s="2722"/>
    </row>
    <row r="54" spans="1:29" s="451" customFormat="1" ht="13.5" customHeight="1">
      <c r="A54" s="2725"/>
      <c r="B54" s="2725"/>
      <c r="C54" s="446" t="s">
        <v>1707</v>
      </c>
      <c r="D54" s="450"/>
      <c r="E54" s="448">
        <f>IF(E47&lt;G47,G47/E47-1,E47/G47-1)</f>
        <v>5.3980244044160353E-2</v>
      </c>
      <c r="F54" s="449" t="str">
        <f>IF(OR(E54&gt;=0.3,E54&lt;=-0.3),"超过30%","")</f>
        <v/>
      </c>
      <c r="G54" s="448">
        <f>IF(G47&lt;I47,I47/G47-1,G47/I47-1)</f>
        <v>7.9381136566497812E-2</v>
      </c>
      <c r="H54" s="449" t="str">
        <f>IF(OR(G54&gt;=0.3,G54&lt;=-0.3),"超过30%","")</f>
        <v/>
      </c>
      <c r="I54" s="448">
        <f>IF(I47&lt;E47,E47/I47-1,I47/E47-1)</f>
        <v>2.4099970246950209E-2</v>
      </c>
      <c r="J54" s="449" t="str">
        <f>IF(OR(I54&gt;=0.3,I54&lt;=-0.3),"超过30%","")</f>
        <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4" t="s">
        <v>1708</v>
      </c>
      <c r="B57" s="690"/>
      <c r="C57" s="695"/>
      <c r="D57" s="695"/>
      <c r="E57" s="695"/>
      <c r="F57" s="696"/>
      <c r="G57" s="696"/>
      <c r="H57" s="695"/>
      <c r="I57" s="695"/>
      <c r="J57" s="695"/>
      <c r="K57" s="941"/>
      <c r="L57" s="942"/>
      <c r="M57" s="940"/>
      <c r="N57" s="940"/>
      <c r="O57" s="940"/>
      <c r="P57" s="1916"/>
      <c r="Q57" s="453"/>
    </row>
    <row r="58" spans="1:29" s="457" customFormat="1" ht="15">
      <c r="A58" s="454" t="s">
        <v>1674</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7"/>
      <c r="C59" s="1183">
        <v>100</v>
      </c>
      <c r="D59" s="460"/>
      <c r="E59" s="461"/>
      <c r="F59" s="461"/>
      <c r="G59" s="461"/>
      <c r="H59" s="461"/>
      <c r="I59" s="461"/>
      <c r="J59" s="461"/>
      <c r="K59" s="461"/>
      <c r="L59" s="461"/>
      <c r="M59" s="462"/>
      <c r="N59" s="461"/>
      <c r="O59" s="462"/>
      <c r="P59" s="1918"/>
    </row>
    <row r="60" spans="1:29" s="108" customFormat="1" ht="15.75" thickBot="1">
      <c r="A60" s="464" t="s">
        <v>1709</v>
      </c>
      <c r="B60" s="465"/>
      <c r="C60" s="466"/>
      <c r="D60" s="467"/>
      <c r="E60" s="467"/>
      <c r="F60" s="467"/>
      <c r="G60" s="467"/>
      <c r="H60" s="467"/>
      <c r="I60" s="467"/>
      <c r="J60" s="467"/>
      <c r="K60" s="467"/>
      <c r="L60" s="467"/>
      <c r="M60" s="468"/>
      <c r="N60" s="467"/>
      <c r="O60" s="468"/>
      <c r="P60" s="1918"/>
      <c r="Q60" s="453"/>
    </row>
    <row r="61" spans="1:29" s="108" customFormat="1" ht="15">
      <c r="A61" s="470" t="s">
        <v>1676</v>
      </c>
      <c r="B61" s="459"/>
      <c r="C61" s="471" t="s">
        <v>1710</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1711</v>
      </c>
      <c r="B63" s="477" t="s">
        <v>1680</v>
      </c>
      <c r="C63" s="478" t="str">
        <f>C9</f>
        <v>住宅</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1683</v>
      </c>
      <c r="C65" s="3501" t="s">
        <v>3506</v>
      </c>
      <c r="D65" s="3501" t="s">
        <v>3507</v>
      </c>
      <c r="E65" s="3501" t="s">
        <v>3508</v>
      </c>
      <c r="F65" s="3501" t="s">
        <v>3509</v>
      </c>
      <c r="G65" s="3501" t="s">
        <v>3510</v>
      </c>
      <c r="H65" s="3501" t="s">
        <v>3511</v>
      </c>
      <c r="I65" s="3501" t="s">
        <v>3512</v>
      </c>
      <c r="J65" s="532"/>
      <c r="K65" s="532"/>
      <c r="L65" s="532"/>
      <c r="M65" s="532"/>
      <c r="N65" s="934"/>
      <c r="O65" s="934"/>
      <c r="P65" s="1920"/>
      <c r="Q65" s="453"/>
    </row>
    <row r="66" spans="1:17" ht="15.75" thickBot="1">
      <c r="A66" s="483"/>
      <c r="B66" s="492"/>
      <c r="C66" s="3502">
        <v>100</v>
      </c>
      <c r="D66" s="3502">
        <f t="shared" ref="D66:I66" si="20">C66-$K10</f>
        <v>100</v>
      </c>
      <c r="E66" s="3502">
        <f t="shared" si="20"/>
        <v>100</v>
      </c>
      <c r="F66" s="3502">
        <f t="shared" si="20"/>
        <v>100</v>
      </c>
      <c r="G66" s="3502">
        <f t="shared" si="20"/>
        <v>100</v>
      </c>
      <c r="H66" s="3502">
        <f t="shared" si="20"/>
        <v>100</v>
      </c>
      <c r="I66" s="3502">
        <f t="shared" si="20"/>
        <v>100</v>
      </c>
      <c r="J66" s="485"/>
      <c r="K66" s="485"/>
      <c r="L66" s="485"/>
      <c r="M66" s="486"/>
      <c r="N66" s="934"/>
      <c r="O66" s="934"/>
      <c r="P66" s="1920"/>
      <c r="Q66" s="453"/>
    </row>
    <row r="67" spans="1:17" ht="15.75" hidden="1" thickTop="1">
      <c r="A67" s="483"/>
      <c r="B67" s="495" t="s">
        <v>1684</v>
      </c>
      <c r="C67" s="496" t="str">
        <f>C68&amp;"（含）"&amp;"-"&amp;D68</f>
        <v>0（含）-1</v>
      </c>
      <c r="D67" s="496" t="str">
        <f t="shared" ref="D67:L67" si="21">D68&amp;"（含）"&amp;"-"&amp;E68</f>
        <v>1（含）-2</v>
      </c>
      <c r="E67" s="496" t="str">
        <f t="shared" si="21"/>
        <v>2（含）-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9" t="str">
        <f>M68&amp;"（含）"&amp;"-"&amp;P68</f>
        <v>（含）-</v>
      </c>
      <c r="N67" s="934"/>
      <c r="O67" s="934"/>
      <c r="P67" s="1920"/>
      <c r="Q67" s="453"/>
    </row>
    <row r="68" spans="1:17" ht="15" hidden="1">
      <c r="A68" s="483"/>
      <c r="B68" s="497"/>
      <c r="C68" s="498">
        <v>0</v>
      </c>
      <c r="D68" s="498">
        <v>1</v>
      </c>
      <c r="E68" s="498">
        <v>2</v>
      </c>
      <c r="F68" s="498"/>
      <c r="G68" s="498"/>
      <c r="H68" s="498"/>
      <c r="I68" s="498"/>
      <c r="J68" s="498"/>
      <c r="K68" s="499"/>
      <c r="L68" s="500"/>
      <c r="M68" s="501"/>
      <c r="N68" s="933"/>
      <c r="O68" s="933"/>
      <c r="P68" s="1920"/>
      <c r="Q68" s="453"/>
    </row>
    <row r="69" spans="1:17" ht="15.75" hidden="1" thickBot="1">
      <c r="A69" s="483"/>
      <c r="B69" s="484"/>
      <c r="C69" s="493">
        <v>100</v>
      </c>
      <c r="D69" s="493">
        <f t="shared" ref="D69:M69" si="22">C69-$K11</f>
        <v>98</v>
      </c>
      <c r="E69" s="493">
        <f t="shared" si="22"/>
        <v>96</v>
      </c>
      <c r="F69" s="493">
        <f t="shared" si="22"/>
        <v>94</v>
      </c>
      <c r="G69" s="493">
        <f t="shared" si="22"/>
        <v>92</v>
      </c>
      <c r="H69" s="493">
        <f t="shared" si="22"/>
        <v>90</v>
      </c>
      <c r="I69" s="493">
        <f t="shared" si="22"/>
        <v>88</v>
      </c>
      <c r="J69" s="493">
        <f t="shared" si="22"/>
        <v>86</v>
      </c>
      <c r="K69" s="493">
        <f t="shared" si="22"/>
        <v>84</v>
      </c>
      <c r="L69" s="493">
        <f t="shared" si="22"/>
        <v>82</v>
      </c>
      <c r="M69" s="494">
        <f t="shared" si="22"/>
        <v>80</v>
      </c>
      <c r="N69" s="934"/>
      <c r="O69" s="934"/>
      <c r="P69" s="1920"/>
      <c r="Q69" s="453"/>
    </row>
    <row r="70" spans="1:17" s="422" customFormat="1" ht="15.75" hidden="1" thickTop="1">
      <c r="A70" s="502"/>
      <c r="B70" s="487">
        <f>B12</f>
        <v>111</v>
      </c>
      <c r="C70" s="503"/>
      <c r="D70" s="503"/>
      <c r="E70" s="503"/>
      <c r="F70" s="503"/>
      <c r="G70" s="503"/>
      <c r="H70" s="504"/>
      <c r="I70" s="504"/>
      <c r="J70" s="504"/>
      <c r="K70" s="504"/>
      <c r="L70" s="505"/>
      <c r="M70" s="506"/>
      <c r="N70" s="935"/>
      <c r="O70" s="935"/>
      <c r="P70" s="1921"/>
      <c r="Q70" s="508"/>
    </row>
    <row r="71" spans="1:17" s="422" customFormat="1" ht="15.75" hidden="1" thickBot="1">
      <c r="A71" s="502"/>
      <c r="B71" s="492"/>
      <c r="C71" s="509"/>
      <c r="D71" s="485"/>
      <c r="E71" s="485"/>
      <c r="F71" s="485"/>
      <c r="G71" s="485"/>
      <c r="H71" s="485"/>
      <c r="I71" s="485"/>
      <c r="J71" s="485"/>
      <c r="K71" s="485"/>
      <c r="L71" s="485"/>
      <c r="M71" s="486"/>
      <c r="N71" s="934"/>
      <c r="O71" s="934"/>
      <c r="P71" s="1921"/>
      <c r="Q71" s="508"/>
    </row>
    <row r="72" spans="1:17" s="422" customFormat="1" ht="15.75" hidden="1" thickTop="1">
      <c r="A72" s="502"/>
      <c r="B72" s="487">
        <f>B13</f>
        <v>111</v>
      </c>
      <c r="C72" s="503"/>
      <c r="D72" s="503"/>
      <c r="E72" s="503"/>
      <c r="F72" s="503"/>
      <c r="G72" s="503"/>
      <c r="H72" s="504"/>
      <c r="I72" s="504"/>
      <c r="J72" s="504"/>
      <c r="K72" s="504"/>
      <c r="L72" s="505"/>
      <c r="M72" s="506"/>
      <c r="N72" s="935"/>
      <c r="O72" s="935"/>
      <c r="P72" s="1922"/>
      <c r="Q72" s="510"/>
    </row>
    <row r="73" spans="1:17" s="422" customFormat="1" ht="15.75" hidden="1" thickBot="1">
      <c r="A73" s="502"/>
      <c r="B73" s="492"/>
      <c r="C73" s="509"/>
      <c r="D73" s="509"/>
      <c r="E73" s="509"/>
      <c r="F73" s="509"/>
      <c r="G73" s="509"/>
      <c r="H73" s="511"/>
      <c r="I73" s="511"/>
      <c r="J73" s="511"/>
      <c r="K73" s="511"/>
      <c r="L73" s="511"/>
      <c r="M73" s="512"/>
      <c r="N73" s="935"/>
      <c r="O73" s="935"/>
      <c r="P73" s="1921"/>
      <c r="Q73" s="508"/>
    </row>
    <row r="74" spans="1:17" s="422" customFormat="1" ht="15.75" hidden="1" thickTop="1">
      <c r="A74" s="502"/>
      <c r="B74" s="495">
        <f>B14</f>
        <v>111</v>
      </c>
      <c r="C74" s="503"/>
      <c r="D74" s="503"/>
      <c r="E74" s="503"/>
      <c r="F74" s="503"/>
      <c r="G74" s="472"/>
      <c r="H74" s="513"/>
      <c r="I74" s="513"/>
      <c r="J74" s="513"/>
      <c r="K74" s="513"/>
      <c r="L74" s="514"/>
      <c r="M74" s="515"/>
      <c r="N74" s="935"/>
      <c r="O74" s="935"/>
      <c r="P74" s="1923"/>
      <c r="Q74" s="508"/>
    </row>
    <row r="75" spans="1:17" s="422" customFormat="1" ht="15.75" hidden="1" thickBot="1">
      <c r="A75" s="517"/>
      <c r="B75" s="518"/>
      <c r="C75" s="519"/>
      <c r="D75" s="519"/>
      <c r="E75" s="519"/>
      <c r="F75" s="519"/>
      <c r="G75" s="519"/>
      <c r="H75" s="520"/>
      <c r="I75" s="520"/>
      <c r="J75" s="520"/>
      <c r="K75" s="520"/>
      <c r="L75" s="520"/>
      <c r="M75" s="521"/>
      <c r="N75" s="935"/>
      <c r="O75" s="935"/>
      <c r="P75" s="1921"/>
      <c r="Q75" s="508"/>
    </row>
    <row r="76" spans="1:17" ht="15" thickTop="1">
      <c r="A76" s="476" t="s">
        <v>1685</v>
      </c>
      <c r="B76" s="477" t="s">
        <v>1712</v>
      </c>
      <c r="C76" s="522" t="s">
        <v>1713</v>
      </c>
      <c r="D76" s="522" t="s">
        <v>1714</v>
      </c>
      <c r="E76" s="522" t="s">
        <v>1715</v>
      </c>
      <c r="F76" s="522" t="s">
        <v>1716</v>
      </c>
      <c r="G76" s="522" t="s">
        <v>1717</v>
      </c>
      <c r="H76" s="478"/>
      <c r="I76" s="478"/>
      <c r="J76" s="478"/>
      <c r="K76" s="523"/>
      <c r="L76" s="524"/>
      <c r="M76" s="525"/>
      <c r="N76" s="933"/>
      <c r="O76" s="933"/>
      <c r="P76" s="1924"/>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75" thickTop="1">
      <c r="A78" s="483"/>
      <c r="B78" s="487" t="s">
        <v>1718</v>
      </c>
      <c r="C78" s="527" t="s">
        <v>1713</v>
      </c>
      <c r="D78" s="527" t="s">
        <v>1714</v>
      </c>
      <c r="E78" s="527" t="s">
        <v>1715</v>
      </c>
      <c r="F78" s="527" t="s">
        <v>1716</v>
      </c>
      <c r="G78" s="527" t="s">
        <v>1717</v>
      </c>
      <c r="H78" s="488"/>
      <c r="I78" s="488"/>
      <c r="J78" s="488"/>
      <c r="K78" s="489"/>
      <c r="L78" s="490"/>
      <c r="M78" s="491"/>
      <c r="N78" s="933"/>
      <c r="O78" s="933"/>
      <c r="P78" s="1920"/>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75" thickTop="1">
      <c r="A80" s="483"/>
      <c r="B80" s="487" t="s">
        <v>1719</v>
      </c>
      <c r="C80" s="527" t="s">
        <v>1713</v>
      </c>
      <c r="D80" s="527" t="s">
        <v>1714</v>
      </c>
      <c r="E80" s="527" t="s">
        <v>1715</v>
      </c>
      <c r="F80" s="527" t="s">
        <v>1716</v>
      </c>
      <c r="G80" s="527" t="s">
        <v>1717</v>
      </c>
      <c r="H80" s="488"/>
      <c r="I80" s="488"/>
      <c r="J80" s="488"/>
      <c r="K80" s="489"/>
      <c r="L80" s="490"/>
      <c r="M80" s="491"/>
      <c r="N80" s="933"/>
      <c r="O80" s="933"/>
      <c r="P80" s="1920"/>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75" thickTop="1">
      <c r="A82" s="483"/>
      <c r="B82" s="495" t="s">
        <v>1256</v>
      </c>
      <c r="C82" s="488" t="s">
        <v>1720</v>
      </c>
      <c r="D82" s="488" t="s">
        <v>1721</v>
      </c>
      <c r="E82" s="488" t="s">
        <v>1722</v>
      </c>
      <c r="F82" s="488" t="s">
        <v>1723</v>
      </c>
      <c r="G82" s="488" t="s">
        <v>1724</v>
      </c>
      <c r="H82" s="488"/>
      <c r="I82" s="488"/>
      <c r="J82" s="488"/>
      <c r="K82" s="488"/>
      <c r="L82" s="488"/>
      <c r="M82" s="1129"/>
      <c r="N82" s="934"/>
      <c r="O82" s="934"/>
      <c r="P82" s="1920"/>
      <c r="Q82" s="453"/>
    </row>
    <row r="83" spans="1:17" ht="15.75" thickBot="1">
      <c r="A83" s="483"/>
      <c r="B83" s="495"/>
      <c r="C83" s="608">
        <v>100</v>
      </c>
      <c r="D83" s="608">
        <f>C83-$K21</f>
        <v>99</v>
      </c>
      <c r="E83" s="608">
        <f t="shared" ref="E83:G83" si="23">D83-$K21</f>
        <v>98</v>
      </c>
      <c r="F83" s="608">
        <f t="shared" si="23"/>
        <v>97</v>
      </c>
      <c r="G83" s="608">
        <f t="shared" si="23"/>
        <v>96</v>
      </c>
      <c r="H83" s="608"/>
      <c r="I83" s="608"/>
      <c r="J83" s="608"/>
      <c r="K83" s="608"/>
      <c r="L83" s="608"/>
      <c r="M83" s="401"/>
      <c r="N83" s="934"/>
      <c r="O83" s="934"/>
      <c r="P83" s="1920"/>
      <c r="Q83" s="453"/>
    </row>
    <row r="84" spans="1:17" ht="15.75" thickTop="1">
      <c r="A84" s="483"/>
      <c r="B84" s="487" t="s">
        <v>1725</v>
      </c>
      <c r="C84" s="527" t="s">
        <v>1713</v>
      </c>
      <c r="D84" s="527" t="s">
        <v>1714</v>
      </c>
      <c r="E84" s="527" t="s">
        <v>1715</v>
      </c>
      <c r="F84" s="527" t="s">
        <v>1716</v>
      </c>
      <c r="G84" s="527" t="s">
        <v>1717</v>
      </c>
      <c r="H84" s="488"/>
      <c r="I84" s="488"/>
      <c r="J84" s="488"/>
      <c r="K84" s="489"/>
      <c r="L84" s="490"/>
      <c r="M84" s="491"/>
      <c r="N84" s="933"/>
      <c r="O84" s="933"/>
      <c r="P84" s="1920"/>
      <c r="Q84" s="453"/>
    </row>
    <row r="85" spans="1:17" ht="16.5" customHeight="1"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75" hidden="1" thickTop="1">
      <c r="A86" s="528"/>
      <c r="B86" s="487" t="s">
        <v>1726</v>
      </c>
      <c r="C86" s="503"/>
      <c r="D86" s="503"/>
      <c r="E86" s="503"/>
      <c r="F86" s="503"/>
      <c r="G86" s="503"/>
      <c r="H86" s="503"/>
      <c r="I86" s="503"/>
      <c r="J86" s="503"/>
      <c r="K86" s="503"/>
      <c r="L86" s="529"/>
      <c r="M86" s="530"/>
      <c r="N86" s="932"/>
      <c r="O86" s="932"/>
      <c r="P86" s="1920"/>
      <c r="Q86" s="453"/>
    </row>
    <row r="87" spans="1:17" s="108" customFormat="1" ht="15.75" hidden="1"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934"/>
      <c r="O87" s="934"/>
      <c r="P87" s="1920"/>
      <c r="Q87" s="453"/>
    </row>
    <row r="88" spans="1:17" s="108" customFormat="1" ht="15.75" thickTop="1">
      <c r="A88" s="528"/>
      <c r="B88" s="487" t="s">
        <v>1727</v>
      </c>
      <c r="C88" s="3551" t="s">
        <v>3524</v>
      </c>
      <c r="D88" s="3552" t="s">
        <v>3600</v>
      </c>
      <c r="E88" s="3552" t="s">
        <v>3557</v>
      </c>
      <c r="F88" s="3552" t="s">
        <v>3556</v>
      </c>
      <c r="G88" s="3552" t="s">
        <v>3601</v>
      </c>
      <c r="H88" s="3552" t="s">
        <v>3602</v>
      </c>
      <c r="I88" s="3553" t="s">
        <v>3603</v>
      </c>
      <c r="J88" s="3553" t="s">
        <v>3576</v>
      </c>
      <c r="K88" s="3552" t="s">
        <v>3558</v>
      </c>
      <c r="L88" s="3552" t="s">
        <v>3604</v>
      </c>
      <c r="M88" s="3513" t="s">
        <v>3529</v>
      </c>
      <c r="N88" s="932"/>
      <c r="O88" s="932"/>
      <c r="P88" s="1920"/>
      <c r="Q88" s="453"/>
    </row>
    <row r="89" spans="1:17" s="108" customFormat="1" ht="15.75" thickBot="1">
      <c r="A89" s="528"/>
      <c r="B89" s="492"/>
      <c r="C89" s="531">
        <v>100</v>
      </c>
      <c r="D89" s="493">
        <f t="shared" ref="D89:M89" si="25">C89-$K26</f>
        <v>99.5</v>
      </c>
      <c r="E89" s="493">
        <f t="shared" si="25"/>
        <v>99</v>
      </c>
      <c r="F89" s="493">
        <f t="shared" si="25"/>
        <v>98.5</v>
      </c>
      <c r="G89" s="493">
        <f t="shared" si="25"/>
        <v>98</v>
      </c>
      <c r="H89" s="493">
        <f t="shared" si="25"/>
        <v>97.5</v>
      </c>
      <c r="I89" s="493">
        <f t="shared" si="25"/>
        <v>97</v>
      </c>
      <c r="J89" s="493">
        <f t="shared" si="25"/>
        <v>96.5</v>
      </c>
      <c r="K89" s="493">
        <f t="shared" si="25"/>
        <v>96</v>
      </c>
      <c r="L89" s="493">
        <f t="shared" si="25"/>
        <v>95.5</v>
      </c>
      <c r="M89" s="493">
        <f t="shared" si="25"/>
        <v>95</v>
      </c>
      <c r="N89" s="934"/>
      <c r="O89" s="934"/>
      <c r="P89" s="1920"/>
      <c r="Q89" s="453"/>
    </row>
    <row r="90" spans="1:17" s="422" customFormat="1" ht="15.75" thickTop="1">
      <c r="A90" s="502"/>
      <c r="B90" s="487" t="str">
        <f>B27</f>
        <v>楼层</v>
      </c>
      <c r="C90" s="3514" t="s">
        <v>3587</v>
      </c>
      <c r="D90" s="3514" t="s">
        <v>3588</v>
      </c>
      <c r="E90" s="3514" t="s">
        <v>3589</v>
      </c>
      <c r="F90" s="3514"/>
      <c r="G90" s="503"/>
      <c r="H90" s="504"/>
      <c r="I90" s="504"/>
      <c r="J90" s="504"/>
      <c r="K90" s="504"/>
      <c r="L90" s="505"/>
      <c r="M90" s="506"/>
      <c r="N90" s="935"/>
      <c r="O90" s="935"/>
      <c r="P90" s="1921"/>
      <c r="Q90" s="508"/>
    </row>
    <row r="91" spans="1:17" s="422" customFormat="1" ht="15.75" thickBot="1">
      <c r="A91" s="502"/>
      <c r="B91" s="492"/>
      <c r="C91" s="509">
        <v>100</v>
      </c>
      <c r="D91" s="509">
        <f>C91-2</f>
        <v>98</v>
      </c>
      <c r="E91" s="509">
        <f>D91-2</f>
        <v>96</v>
      </c>
      <c r="F91" s="509"/>
      <c r="G91" s="509"/>
      <c r="H91" s="511"/>
      <c r="I91" s="511"/>
      <c r="J91" s="511"/>
      <c r="K91" s="511"/>
      <c r="L91" s="511"/>
      <c r="M91" s="512"/>
      <c r="N91" s="935"/>
      <c r="O91" s="935"/>
      <c r="P91" s="1921"/>
      <c r="Q91" s="508"/>
    </row>
    <row r="92" spans="1:17" ht="15.75" hidden="1" thickTop="1">
      <c r="A92" s="483"/>
      <c r="B92" s="487">
        <f>B28</f>
        <v>111</v>
      </c>
      <c r="C92" s="503"/>
      <c r="D92" s="503"/>
      <c r="E92" s="503"/>
      <c r="F92" s="503"/>
      <c r="G92" s="532"/>
      <c r="H92" s="532"/>
      <c r="I92" s="532"/>
      <c r="J92" s="532"/>
      <c r="K92" s="533"/>
      <c r="L92" s="534"/>
      <c r="M92" s="535"/>
      <c r="N92" s="933"/>
      <c r="O92" s="933"/>
      <c r="P92" s="1920"/>
      <c r="Q92" s="453"/>
    </row>
    <row r="93" spans="1:17" ht="15.75" hidden="1" thickBot="1">
      <c r="A93" s="483"/>
      <c r="B93" s="492"/>
      <c r="C93" s="509"/>
      <c r="D93" s="485"/>
      <c r="E93" s="485"/>
      <c r="F93" s="485"/>
      <c r="G93" s="485"/>
      <c r="H93" s="485"/>
      <c r="I93" s="485"/>
      <c r="J93" s="485"/>
      <c r="K93" s="485"/>
      <c r="L93" s="485"/>
      <c r="M93" s="486"/>
      <c r="N93" s="934"/>
      <c r="O93" s="934"/>
      <c r="P93" s="1920"/>
      <c r="Q93" s="453"/>
    </row>
    <row r="94" spans="1:17" ht="15.75" hidden="1" thickTop="1">
      <c r="A94" s="483"/>
      <c r="B94" s="487">
        <f>B29</f>
        <v>111</v>
      </c>
      <c r="C94" s="503"/>
      <c r="D94" s="503"/>
      <c r="E94" s="503"/>
      <c r="F94" s="503"/>
      <c r="G94" s="532"/>
      <c r="H94" s="532"/>
      <c r="I94" s="532"/>
      <c r="J94" s="532"/>
      <c r="K94" s="533"/>
      <c r="L94" s="534"/>
      <c r="M94" s="535"/>
      <c r="N94" s="933"/>
      <c r="O94" s="933"/>
      <c r="P94" s="1920"/>
      <c r="Q94" s="453"/>
    </row>
    <row r="95" spans="1:17" ht="15.75" hidden="1" thickBot="1">
      <c r="A95" s="483"/>
      <c r="B95" s="492"/>
      <c r="C95" s="509"/>
      <c r="D95" s="509"/>
      <c r="E95" s="509"/>
      <c r="F95" s="509"/>
      <c r="G95" s="485"/>
      <c r="H95" s="485"/>
      <c r="I95" s="485"/>
      <c r="J95" s="485"/>
      <c r="K95" s="485"/>
      <c r="L95" s="485"/>
      <c r="M95" s="486"/>
      <c r="N95" s="934"/>
      <c r="O95" s="934"/>
      <c r="P95" s="1920"/>
      <c r="Q95" s="453"/>
    </row>
    <row r="96" spans="1:17" ht="15.75" hidden="1" thickTop="1">
      <c r="A96" s="483"/>
      <c r="B96" s="487">
        <f>B30</f>
        <v>111</v>
      </c>
      <c r="C96" s="503"/>
      <c r="D96" s="503"/>
      <c r="E96" s="503"/>
      <c r="F96" s="503"/>
      <c r="G96" s="532"/>
      <c r="H96" s="532"/>
      <c r="I96" s="532"/>
      <c r="J96" s="532"/>
      <c r="K96" s="533"/>
      <c r="L96" s="534"/>
      <c r="M96" s="535"/>
      <c r="N96" s="933"/>
      <c r="O96" s="933"/>
      <c r="P96" s="1920"/>
      <c r="Q96" s="453"/>
    </row>
    <row r="97" spans="1:17" ht="15.75" hidden="1" thickBot="1">
      <c r="A97" s="483"/>
      <c r="B97" s="492"/>
      <c r="C97" s="519"/>
      <c r="D97" s="519"/>
      <c r="E97" s="519"/>
      <c r="F97" s="519"/>
      <c r="G97" s="485"/>
      <c r="H97" s="485"/>
      <c r="I97" s="485"/>
      <c r="J97" s="485"/>
      <c r="K97" s="485"/>
      <c r="L97" s="485"/>
      <c r="M97" s="486"/>
      <c r="N97" s="934"/>
      <c r="O97" s="934"/>
      <c r="P97" s="1920"/>
      <c r="Q97" s="453"/>
    </row>
    <row r="98" spans="1:17" ht="15.75" hidden="1" thickTop="1">
      <c r="A98" s="483"/>
      <c r="B98" s="495">
        <f>B31</f>
        <v>111</v>
      </c>
      <c r="C98" s="536"/>
      <c r="D98" s="536"/>
      <c r="E98" s="536"/>
      <c r="F98" s="536"/>
      <c r="G98" s="536"/>
      <c r="H98" s="536"/>
      <c r="I98" s="536"/>
      <c r="J98" s="536"/>
      <c r="K98" s="537"/>
      <c r="L98" s="538"/>
      <c r="M98" s="539"/>
      <c r="N98" s="933"/>
      <c r="O98" s="933"/>
      <c r="P98" s="1920"/>
      <c r="Q98" s="453"/>
    </row>
    <row r="99" spans="1:17" ht="15.75" hidden="1" thickBot="1">
      <c r="A99" s="1926"/>
      <c r="B99" s="518"/>
      <c r="C99" s="540"/>
      <c r="D99" s="540"/>
      <c r="E99" s="540"/>
      <c r="F99" s="540"/>
      <c r="G99" s="540"/>
      <c r="H99" s="540"/>
      <c r="I99" s="540"/>
      <c r="J99" s="540"/>
      <c r="K99" s="540"/>
      <c r="L99" s="540"/>
      <c r="M99" s="541"/>
      <c r="N99" s="934"/>
      <c r="O99" s="934"/>
      <c r="P99" s="1920"/>
      <c r="Q99" s="453"/>
    </row>
    <row r="100" spans="1:17" ht="15" thickTop="1">
      <c r="A100" s="476" t="s">
        <v>1689</v>
      </c>
      <c r="B100" s="477" t="s">
        <v>1728</v>
      </c>
      <c r="C100" s="3515" t="s">
        <v>3530</v>
      </c>
      <c r="D100" s="3516" t="s">
        <v>3531</v>
      </c>
      <c r="E100" s="3517" t="s">
        <v>3532</v>
      </c>
      <c r="F100" s="3518" t="s">
        <v>3533</v>
      </c>
      <c r="G100" s="3518" t="s">
        <v>3534</v>
      </c>
      <c r="H100" s="479"/>
      <c r="I100" s="479"/>
      <c r="J100" s="479"/>
      <c r="K100" s="480"/>
      <c r="L100" s="481"/>
      <c r="M100" s="482"/>
      <c r="N100" s="933"/>
      <c r="O100" s="933"/>
      <c r="P100" s="1920"/>
      <c r="Q100" s="453"/>
    </row>
    <row r="101" spans="1:17" ht="15.75" thickBot="1">
      <c r="A101" s="483"/>
      <c r="B101" s="492"/>
      <c r="C101" s="493">
        <v>100</v>
      </c>
      <c r="D101" s="493">
        <f t="shared" ref="D101:M101" si="26">C101-$K32</f>
        <v>98</v>
      </c>
      <c r="E101" s="493">
        <f t="shared" si="26"/>
        <v>96</v>
      </c>
      <c r="F101" s="493">
        <f t="shared" si="26"/>
        <v>94</v>
      </c>
      <c r="G101" s="493">
        <f t="shared" si="26"/>
        <v>92</v>
      </c>
      <c r="H101" s="493">
        <f t="shared" si="26"/>
        <v>90</v>
      </c>
      <c r="I101" s="493">
        <f t="shared" si="26"/>
        <v>88</v>
      </c>
      <c r="J101" s="493">
        <f t="shared" si="26"/>
        <v>86</v>
      </c>
      <c r="K101" s="493">
        <f t="shared" si="26"/>
        <v>84</v>
      </c>
      <c r="L101" s="493">
        <f t="shared" si="26"/>
        <v>82</v>
      </c>
      <c r="M101" s="493">
        <f t="shared" si="26"/>
        <v>80</v>
      </c>
      <c r="N101" s="934"/>
      <c r="O101" s="934"/>
      <c r="P101" s="1920"/>
      <c r="Q101" s="453"/>
    </row>
    <row r="102" spans="1:17" ht="15.75" thickTop="1">
      <c r="A102" s="483"/>
      <c r="B102" s="487" t="s">
        <v>1729</v>
      </c>
      <c r="C102" s="527" t="str">
        <f>C103&amp;"(含)"&amp;"-"&amp;D103</f>
        <v>0(含)-40</v>
      </c>
      <c r="D102" s="527" t="str">
        <f t="shared" ref="D102:L102" si="27">D103&amp;"(含)"&amp;"-"&amp;E103</f>
        <v>40(含)-80</v>
      </c>
      <c r="E102" s="527" t="str">
        <f t="shared" si="27"/>
        <v>80(含)-120</v>
      </c>
      <c r="F102" s="527" t="str">
        <f t="shared" si="27"/>
        <v>120(含)-160</v>
      </c>
      <c r="G102" s="527" t="str">
        <f t="shared" si="27"/>
        <v>160(含)-</v>
      </c>
      <c r="H102" s="527" t="str">
        <f t="shared" si="27"/>
        <v>(含)-</v>
      </c>
      <c r="I102" s="527" t="str">
        <f t="shared" si="27"/>
        <v>(含)-</v>
      </c>
      <c r="J102" s="527" t="str">
        <f t="shared" si="27"/>
        <v>(含)-</v>
      </c>
      <c r="K102" s="527" t="str">
        <f>K103&amp;"(含)"&amp;"-"&amp;L103</f>
        <v>(含)-</v>
      </c>
      <c r="L102" s="527" t="str">
        <f t="shared" si="27"/>
        <v>(含)-</v>
      </c>
      <c r="M102" s="527" t="str">
        <f>M103&amp;"(含)"&amp;"-"&amp;P103</f>
        <v>(含)-</v>
      </c>
      <c r="N102" s="932"/>
      <c r="O102" s="932"/>
      <c r="P102" s="1920"/>
      <c r="Q102" s="453"/>
    </row>
    <row r="103" spans="1:17" s="422" customFormat="1">
      <c r="A103" s="542"/>
      <c r="B103" s="543"/>
      <c r="C103" s="6">
        <v>0</v>
      </c>
      <c r="D103" s="6">
        <v>40</v>
      </c>
      <c r="E103" s="6">
        <v>80</v>
      </c>
      <c r="F103" s="6">
        <v>120</v>
      </c>
      <c r="G103" s="6">
        <v>160</v>
      </c>
      <c r="H103" s="3554"/>
      <c r="I103" s="544"/>
      <c r="J103" s="545"/>
      <c r="K103" s="545"/>
      <c r="L103" s="546"/>
      <c r="M103" s="547"/>
      <c r="N103" s="935"/>
      <c r="O103" s="935"/>
      <c r="P103" s="1921"/>
      <c r="Q103" s="508"/>
    </row>
    <row r="104" spans="1:17" s="422" customFormat="1" ht="15.75" thickBot="1">
      <c r="A104" s="502"/>
      <c r="B104" s="492"/>
      <c r="C104" s="3544">
        <v>100</v>
      </c>
      <c r="D104" s="3545">
        <v>98</v>
      </c>
      <c r="E104" s="3545">
        <v>96</v>
      </c>
      <c r="F104" s="3545">
        <v>94</v>
      </c>
      <c r="G104" s="3545">
        <v>92</v>
      </c>
      <c r="H104" s="3555"/>
      <c r="I104" s="485"/>
      <c r="J104" s="485"/>
      <c r="K104" s="485"/>
      <c r="L104" s="485"/>
      <c r="M104" s="485"/>
      <c r="N104" s="934"/>
      <c r="O104" s="934"/>
      <c r="P104" s="1921"/>
      <c r="Q104" s="508"/>
    </row>
    <row r="105" spans="1:17" ht="15" thickTop="1">
      <c r="A105" s="548"/>
      <c r="B105" s="487" t="s">
        <v>1730</v>
      </c>
      <c r="C105" s="3511" t="s">
        <v>3535</v>
      </c>
      <c r="D105" s="3511" t="s">
        <v>3536</v>
      </c>
      <c r="E105" s="3520" t="s">
        <v>3537</v>
      </c>
      <c r="F105" s="3520" t="s">
        <v>3538</v>
      </c>
      <c r="G105" s="3521" t="s">
        <v>3539</v>
      </c>
      <c r="H105" s="532"/>
      <c r="I105" s="532"/>
      <c r="J105" s="532"/>
      <c r="K105" s="533"/>
      <c r="L105" s="534"/>
      <c r="M105" s="535"/>
      <c r="N105" s="933"/>
      <c r="O105" s="933"/>
      <c r="P105" s="1920"/>
      <c r="Q105" s="453"/>
    </row>
    <row r="106" spans="1:17" ht="15.75" thickBot="1">
      <c r="A106" s="483"/>
      <c r="B106" s="492"/>
      <c r="C106" s="493">
        <v>100</v>
      </c>
      <c r="D106" s="493">
        <f t="shared" ref="D106:M106" si="28">C106-$K34</f>
        <v>98</v>
      </c>
      <c r="E106" s="493">
        <f t="shared" si="28"/>
        <v>96</v>
      </c>
      <c r="F106" s="493">
        <f t="shared" si="28"/>
        <v>94</v>
      </c>
      <c r="G106" s="493">
        <f t="shared" si="28"/>
        <v>92</v>
      </c>
      <c r="H106" s="493">
        <f t="shared" si="28"/>
        <v>90</v>
      </c>
      <c r="I106" s="493">
        <f t="shared" si="28"/>
        <v>88</v>
      </c>
      <c r="J106" s="493">
        <f t="shared" si="28"/>
        <v>86</v>
      </c>
      <c r="K106" s="493">
        <f t="shared" si="28"/>
        <v>84</v>
      </c>
      <c r="L106" s="493">
        <f t="shared" si="28"/>
        <v>82</v>
      </c>
      <c r="M106" s="493">
        <f t="shared" si="28"/>
        <v>80</v>
      </c>
      <c r="N106" s="934"/>
      <c r="O106" s="934"/>
      <c r="P106" s="1920"/>
      <c r="Q106" s="453"/>
    </row>
    <row r="107" spans="1:17" ht="15" thickTop="1">
      <c r="A107" s="548"/>
      <c r="B107" s="487" t="s">
        <v>1731</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9">C108-$K35</f>
        <v>98</v>
      </c>
      <c r="E108" s="493">
        <f t="shared" si="29"/>
        <v>96</v>
      </c>
      <c r="F108" s="493">
        <f t="shared" si="29"/>
        <v>94</v>
      </c>
      <c r="G108" s="493">
        <f t="shared" si="29"/>
        <v>92</v>
      </c>
      <c r="H108" s="493">
        <f t="shared" si="29"/>
        <v>90</v>
      </c>
      <c r="I108" s="493">
        <f t="shared" si="29"/>
        <v>88</v>
      </c>
      <c r="J108" s="493">
        <f t="shared" si="29"/>
        <v>86</v>
      </c>
      <c r="K108" s="493">
        <f t="shared" si="29"/>
        <v>84</v>
      </c>
      <c r="L108" s="493">
        <f t="shared" si="29"/>
        <v>82</v>
      </c>
      <c r="M108" s="493">
        <f t="shared" si="29"/>
        <v>80</v>
      </c>
      <c r="N108" s="934"/>
      <c r="O108" s="934"/>
      <c r="P108" s="1920"/>
      <c r="Q108" s="453"/>
    </row>
    <row r="109" spans="1:17" ht="15" thickTop="1">
      <c r="A109" s="548"/>
      <c r="B109" s="487" t="s">
        <v>1732</v>
      </c>
      <c r="C109" s="3511" t="s">
        <v>3540</v>
      </c>
      <c r="D109" s="3511" t="s">
        <v>3541</v>
      </c>
      <c r="E109" s="3511" t="s">
        <v>3542</v>
      </c>
      <c r="F109" s="3520" t="s">
        <v>3543</v>
      </c>
      <c r="G109" s="532"/>
      <c r="H109" s="532"/>
      <c r="I109" s="532"/>
      <c r="J109" s="532"/>
      <c r="K109" s="533"/>
      <c r="L109" s="534"/>
      <c r="M109" s="535"/>
      <c r="N109" s="933"/>
      <c r="O109" s="933"/>
      <c r="P109" s="1920"/>
      <c r="Q109" s="453"/>
    </row>
    <row r="110" spans="1:17" ht="15.75" thickBot="1">
      <c r="A110" s="483"/>
      <c r="B110" s="492"/>
      <c r="C110" s="493">
        <v>100</v>
      </c>
      <c r="D110" s="493">
        <f t="shared" ref="D110:M110" si="30">C110-$K36</f>
        <v>98</v>
      </c>
      <c r="E110" s="493">
        <f t="shared" si="30"/>
        <v>96</v>
      </c>
      <c r="F110" s="493">
        <f t="shared" si="30"/>
        <v>94</v>
      </c>
      <c r="G110" s="493">
        <f t="shared" si="30"/>
        <v>92</v>
      </c>
      <c r="H110" s="493">
        <f t="shared" si="30"/>
        <v>90</v>
      </c>
      <c r="I110" s="493">
        <f t="shared" si="30"/>
        <v>88</v>
      </c>
      <c r="J110" s="493">
        <f t="shared" si="30"/>
        <v>86</v>
      </c>
      <c r="K110" s="493">
        <f t="shared" si="30"/>
        <v>84</v>
      </c>
      <c r="L110" s="493">
        <f t="shared" si="30"/>
        <v>82</v>
      </c>
      <c r="M110" s="493">
        <f t="shared" si="30"/>
        <v>80</v>
      </c>
      <c r="N110" s="934"/>
      <c r="O110" s="934"/>
      <c r="P110" s="1920"/>
      <c r="Q110" s="453"/>
    </row>
    <row r="111" spans="1:17" s="422" customFormat="1" ht="15" thickTop="1">
      <c r="A111" s="542"/>
      <c r="B111" s="487" t="s">
        <v>1186</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1"/>
      <c r="Q113" s="508"/>
    </row>
    <row r="114" spans="1:17" ht="15" thickTop="1">
      <c r="A114" s="548"/>
      <c r="B114" s="487" t="s">
        <v>1733</v>
      </c>
      <c r="C114" s="3511" t="s">
        <v>3544</v>
      </c>
      <c r="D114" s="3511" t="s">
        <v>3545</v>
      </c>
      <c r="E114" s="3521" t="s">
        <v>3546</v>
      </c>
      <c r="F114" s="3521" t="s">
        <v>3547</v>
      </c>
      <c r="G114" s="532"/>
      <c r="H114" s="532"/>
      <c r="I114" s="532"/>
      <c r="J114" s="532"/>
      <c r="K114" s="533"/>
      <c r="L114" s="534"/>
      <c r="M114" s="535"/>
      <c r="N114" s="933"/>
      <c r="O114" s="933"/>
      <c r="P114" s="1920"/>
      <c r="Q114" s="453"/>
    </row>
    <row r="115" spans="1:17" ht="15.75" thickBot="1">
      <c r="A115" s="483"/>
      <c r="B115" s="492"/>
      <c r="C115" s="493">
        <v>100</v>
      </c>
      <c r="D115" s="493">
        <f t="shared" ref="D115:M115" si="31">C115-$K38</f>
        <v>99</v>
      </c>
      <c r="E115" s="493">
        <f t="shared" si="31"/>
        <v>98</v>
      </c>
      <c r="F115" s="493">
        <f t="shared" si="31"/>
        <v>97</v>
      </c>
      <c r="G115" s="493">
        <f t="shared" si="31"/>
        <v>96</v>
      </c>
      <c r="H115" s="493">
        <f t="shared" si="31"/>
        <v>95</v>
      </c>
      <c r="I115" s="493">
        <f t="shared" si="31"/>
        <v>94</v>
      </c>
      <c r="J115" s="493">
        <f t="shared" si="31"/>
        <v>93</v>
      </c>
      <c r="K115" s="493">
        <f t="shared" si="31"/>
        <v>92</v>
      </c>
      <c r="L115" s="493">
        <f t="shared" si="31"/>
        <v>91</v>
      </c>
      <c r="M115" s="493">
        <f t="shared" si="31"/>
        <v>90</v>
      </c>
      <c r="N115" s="934"/>
      <c r="O115" s="934"/>
      <c r="P115" s="1920"/>
      <c r="Q115" s="453"/>
    </row>
    <row r="116" spans="1:17" ht="15" thickTop="1">
      <c r="A116" s="548"/>
      <c r="B116" s="487" t="s">
        <v>1734</v>
      </c>
      <c r="C116" s="3511" t="s">
        <v>3516</v>
      </c>
      <c r="D116" s="3511" t="s">
        <v>3548</v>
      </c>
      <c r="E116" s="3511" t="s">
        <v>3549</v>
      </c>
      <c r="F116" s="3511" t="s">
        <v>3550</v>
      </c>
      <c r="G116" s="3511" t="s">
        <v>3551</v>
      </c>
      <c r="H116" s="532"/>
      <c r="I116" s="532"/>
      <c r="J116" s="532"/>
      <c r="K116" s="533"/>
      <c r="L116" s="534"/>
      <c r="M116" s="535"/>
      <c r="N116" s="933"/>
      <c r="O116" s="933"/>
      <c r="P116" s="1920"/>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20"/>
      <c r="Q117" s="453"/>
    </row>
    <row r="118" spans="1:17" ht="15" thickTop="1">
      <c r="A118" s="548"/>
      <c r="B118" s="487" t="s">
        <v>1735</v>
      </c>
      <c r="C118" s="3511" t="s">
        <v>3552</v>
      </c>
      <c r="D118" s="3511" t="s">
        <v>3553</v>
      </c>
      <c r="E118" s="3522"/>
      <c r="F118" s="3522"/>
      <c r="G118" s="3522"/>
      <c r="H118" s="532"/>
      <c r="I118" s="532"/>
      <c r="J118" s="532"/>
      <c r="K118" s="533"/>
      <c r="L118" s="534"/>
      <c r="M118" s="535"/>
      <c r="N118" s="933"/>
      <c r="O118" s="933"/>
      <c r="P118" s="1920"/>
      <c r="Q118" s="453"/>
    </row>
    <row r="119" spans="1:17" ht="15.75" thickBot="1">
      <c r="A119" s="483"/>
      <c r="B119" s="492"/>
      <c r="C119" s="493">
        <v>100</v>
      </c>
      <c r="D119" s="493">
        <f t="shared" ref="D119:M119" si="32">C119-$K40</f>
        <v>98</v>
      </c>
      <c r="E119" s="493">
        <f t="shared" si="32"/>
        <v>96</v>
      </c>
      <c r="F119" s="493">
        <f t="shared" si="32"/>
        <v>94</v>
      </c>
      <c r="G119" s="493">
        <f t="shared" si="32"/>
        <v>92</v>
      </c>
      <c r="H119" s="493">
        <f t="shared" si="32"/>
        <v>90</v>
      </c>
      <c r="I119" s="493">
        <f t="shared" si="32"/>
        <v>88</v>
      </c>
      <c r="J119" s="493">
        <f t="shared" si="32"/>
        <v>86</v>
      </c>
      <c r="K119" s="493">
        <f t="shared" si="32"/>
        <v>84</v>
      </c>
      <c r="L119" s="493">
        <f t="shared" si="32"/>
        <v>82</v>
      </c>
      <c r="M119" s="493">
        <f t="shared" si="32"/>
        <v>80</v>
      </c>
      <c r="N119" s="934"/>
      <c r="O119" s="934"/>
      <c r="P119" s="1920"/>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1736</v>
      </c>
      <c r="C122" s="3511" t="s">
        <v>3540</v>
      </c>
      <c r="D122" s="3511" t="s">
        <v>3541</v>
      </c>
      <c r="E122" s="3511" t="s">
        <v>3542</v>
      </c>
      <c r="F122" s="3520" t="s">
        <v>3543</v>
      </c>
      <c r="G122" s="532"/>
      <c r="H122" s="532"/>
      <c r="I122" s="532"/>
      <c r="J122" s="532"/>
      <c r="K122" s="533"/>
      <c r="L122" s="534"/>
      <c r="M122" s="535"/>
      <c r="N122" s="933"/>
      <c r="O122" s="933"/>
      <c r="P122" s="1920"/>
      <c r="Q122" s="453"/>
    </row>
    <row r="123" spans="1:17" ht="15.75" thickBot="1">
      <c r="A123" s="483"/>
      <c r="B123" s="492"/>
      <c r="C123" s="493">
        <v>100</v>
      </c>
      <c r="D123" s="493">
        <f t="shared" ref="D123:M123" si="33">C123-$K42</f>
        <v>95</v>
      </c>
      <c r="E123" s="493">
        <f t="shared" si="33"/>
        <v>90</v>
      </c>
      <c r="F123" s="493">
        <f t="shared" si="33"/>
        <v>85</v>
      </c>
      <c r="G123" s="493">
        <f t="shared" si="33"/>
        <v>80</v>
      </c>
      <c r="H123" s="493">
        <f t="shared" si="33"/>
        <v>75</v>
      </c>
      <c r="I123" s="493">
        <f t="shared" si="33"/>
        <v>70</v>
      </c>
      <c r="J123" s="493">
        <f t="shared" si="33"/>
        <v>65</v>
      </c>
      <c r="K123" s="493">
        <f t="shared" si="33"/>
        <v>60</v>
      </c>
      <c r="L123" s="493">
        <f t="shared" si="33"/>
        <v>55</v>
      </c>
      <c r="M123" s="493">
        <f t="shared" si="33"/>
        <v>50</v>
      </c>
      <c r="N123" s="934"/>
      <c r="O123" s="934"/>
      <c r="P123" s="1920"/>
      <c r="Q123" s="453"/>
    </row>
    <row r="124" spans="1:17" ht="15" thickTop="1">
      <c r="A124" s="548"/>
      <c r="B124" s="487" t="s">
        <v>1737</v>
      </c>
      <c r="C124" s="527" t="s">
        <v>1713</v>
      </c>
      <c r="D124" s="527" t="s">
        <v>1714</v>
      </c>
      <c r="E124" s="527" t="s">
        <v>1715</v>
      </c>
      <c r="F124" s="527" t="s">
        <v>1716</v>
      </c>
      <c r="G124" s="527" t="s">
        <v>1717</v>
      </c>
      <c r="H124" s="488"/>
      <c r="I124" s="488"/>
      <c r="J124" s="488"/>
      <c r="K124" s="489"/>
      <c r="L124" s="490"/>
      <c r="M124" s="491"/>
      <c r="N124" s="933"/>
      <c r="O124" s="933"/>
      <c r="P124" s="1921"/>
      <c r="Q124" s="453"/>
    </row>
    <row r="125" spans="1:17" ht="15.75" thickBot="1">
      <c r="A125" s="483"/>
      <c r="B125" s="492"/>
      <c r="C125" s="493">
        <v>100</v>
      </c>
      <c r="D125" s="493">
        <f>C125-$K43</f>
        <v>99</v>
      </c>
      <c r="E125" s="493">
        <f>D125-$K43</f>
        <v>98</v>
      </c>
      <c r="F125" s="493">
        <f>E125-$K43</f>
        <v>97</v>
      </c>
      <c r="G125" s="493">
        <f>F125-$K43</f>
        <v>96</v>
      </c>
      <c r="H125" s="493"/>
      <c r="I125" s="493"/>
      <c r="J125" s="493"/>
      <c r="K125" s="493"/>
      <c r="L125" s="493"/>
      <c r="M125" s="494"/>
      <c r="N125" s="934"/>
      <c r="O125" s="934"/>
      <c r="P125" s="1920"/>
      <c r="Q125" s="453"/>
    </row>
    <row r="126" spans="1:17" s="422" customFormat="1" ht="27.75" thickTop="1">
      <c r="A126" s="542"/>
      <c r="B126" s="487" t="str">
        <f>B44</f>
        <v>室内设施设备</v>
      </c>
      <c r="C126" s="3543" t="s">
        <v>3598</v>
      </c>
      <c r="D126" s="3543" t="s">
        <v>3599</v>
      </c>
      <c r="E126" s="503"/>
      <c r="F126" s="503"/>
      <c r="G126" s="503"/>
      <c r="H126" s="504"/>
      <c r="I126" s="504"/>
      <c r="J126" s="504"/>
      <c r="K126" s="504"/>
      <c r="L126" s="505"/>
      <c r="M126" s="506"/>
      <c r="N126" s="935"/>
      <c r="O126" s="935"/>
      <c r="P126" s="1921"/>
      <c r="Q126" s="508"/>
    </row>
    <row r="127" spans="1:17" s="422" customFormat="1" ht="15.75" thickBot="1">
      <c r="A127" s="502"/>
      <c r="B127" s="492"/>
      <c r="C127" s="3544">
        <v>100</v>
      </c>
      <c r="D127" s="3545">
        <v>90</v>
      </c>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1738</v>
      </c>
    </row>
    <row r="137" spans="1:17" ht="15">
      <c r="B137" s="1928" t="s">
        <v>1739</v>
      </c>
      <c r="C137" s="1929"/>
      <c r="D137" s="1929"/>
      <c r="E137" s="1929"/>
      <c r="F137" s="1929"/>
      <c r="G137" s="1930"/>
      <c r="H137" s="1931"/>
      <c r="I137" s="1932" t="s">
        <v>1740</v>
      </c>
      <c r="J137" s="1929"/>
      <c r="K137" s="1933"/>
    </row>
    <row r="138" spans="1:17" ht="15">
      <c r="B138" s="1934"/>
      <c r="C138" s="137" t="s">
        <v>1741</v>
      </c>
      <c r="D138" s="137" t="s">
        <v>1742</v>
      </c>
      <c r="E138" s="1935" t="s">
        <v>1743</v>
      </c>
      <c r="F138" s="1936" t="s">
        <v>1744</v>
      </c>
      <c r="G138" s="137" t="s">
        <v>1742</v>
      </c>
      <c r="H138" s="138" t="s">
        <v>1743</v>
      </c>
      <c r="I138" s="1937"/>
      <c r="J138" s="137" t="s">
        <v>1745</v>
      </c>
      <c r="K138" s="138" t="s">
        <v>1746</v>
      </c>
    </row>
    <row r="139" spans="1:17" ht="15">
      <c r="B139" s="867">
        <v>6</v>
      </c>
      <c r="C139" s="868">
        <v>96</v>
      </c>
      <c r="D139" s="1938" t="s">
        <v>1747</v>
      </c>
      <c r="E139" s="869">
        <v>100</v>
      </c>
      <c r="F139" s="870">
        <v>102.5</v>
      </c>
      <c r="G139" s="1938" t="s">
        <v>1747</v>
      </c>
      <c r="H139" s="871">
        <v>105</v>
      </c>
      <c r="I139" s="1939" t="s">
        <v>1748</v>
      </c>
      <c r="J139" s="868">
        <v>20</v>
      </c>
      <c r="K139" s="872">
        <f>C145/(J139-2)</f>
        <v>4.0555555555555553E-3</v>
      </c>
    </row>
    <row r="140" spans="1:17" ht="15">
      <c r="B140" s="873">
        <v>5</v>
      </c>
      <c r="C140" s="874">
        <v>100</v>
      </c>
      <c r="D140" s="874"/>
      <c r="E140" s="875"/>
      <c r="F140" s="876">
        <v>102</v>
      </c>
      <c r="G140" s="874"/>
      <c r="H140" s="877"/>
      <c r="I140" s="1940" t="s">
        <v>1749</v>
      </c>
      <c r="J140" s="271">
        <f>ROUNDUP((J139-1)/2,0)</f>
        <v>10</v>
      </c>
      <c r="K140" s="878">
        <v>100</v>
      </c>
    </row>
    <row r="141" spans="1:17" ht="15">
      <c r="B141" s="873">
        <v>4</v>
      </c>
      <c r="C141" s="874">
        <v>102</v>
      </c>
      <c r="D141" s="874"/>
      <c r="E141" s="875"/>
      <c r="F141" s="876">
        <v>101.5</v>
      </c>
      <c r="G141" s="874"/>
      <c r="H141" s="877"/>
      <c r="I141" s="1940" t="s">
        <v>1750</v>
      </c>
      <c r="J141" s="271">
        <v>1</v>
      </c>
      <c r="K141" s="879">
        <f>ROUND(100+(J141-J140)*K139*100,1)</f>
        <v>96.4</v>
      </c>
    </row>
    <row r="142" spans="1:17" ht="15">
      <c r="B142" s="873">
        <v>3</v>
      </c>
      <c r="C142" s="874">
        <v>103</v>
      </c>
      <c r="D142" s="874"/>
      <c r="E142" s="875"/>
      <c r="F142" s="876">
        <v>101</v>
      </c>
      <c r="G142" s="874"/>
      <c r="H142" s="877"/>
      <c r="I142" s="1940" t="s">
        <v>1751</v>
      </c>
      <c r="J142" s="271">
        <f>J139</f>
        <v>20</v>
      </c>
      <c r="K142" s="880">
        <v>95</v>
      </c>
    </row>
    <row r="143" spans="1:17" ht="15">
      <c r="B143" s="873">
        <v>2</v>
      </c>
      <c r="C143" s="874">
        <v>100</v>
      </c>
      <c r="D143" s="874"/>
      <c r="E143" s="875"/>
      <c r="F143" s="876">
        <v>100.5</v>
      </c>
      <c r="G143" s="874"/>
      <c r="H143" s="877"/>
      <c r="I143" s="1940" t="s">
        <v>1752</v>
      </c>
      <c r="J143" s="874">
        <v>15</v>
      </c>
      <c r="K143" s="879">
        <f>ROUND(100+(J143-J140)*K139*100,1)</f>
        <v>102</v>
      </c>
    </row>
    <row r="144" spans="1:17" ht="15">
      <c r="B144" s="873">
        <v>1</v>
      </c>
      <c r="C144" s="874">
        <v>98</v>
      </c>
      <c r="D144" s="1941" t="s">
        <v>1753</v>
      </c>
      <c r="E144" s="875">
        <v>102</v>
      </c>
      <c r="F144" s="881">
        <v>100</v>
      </c>
      <c r="G144" s="1941" t="s">
        <v>1753</v>
      </c>
      <c r="H144" s="877">
        <v>105</v>
      </c>
      <c r="I144" s="1940" t="s">
        <v>1752</v>
      </c>
      <c r="J144" s="874">
        <v>18</v>
      </c>
      <c r="K144" s="879">
        <f>ROUND(100+(J144-J140)*K139*100,1)</f>
        <v>103.2</v>
      </c>
    </row>
    <row r="145" spans="2:11" ht="15.75" thickBot="1">
      <c r="B145" s="1942" t="s">
        <v>1754</v>
      </c>
      <c r="C145" s="882">
        <f>ROUND(MAX(C139:C144)/MIN(C139:C144)-1,3)</f>
        <v>7.2999999999999995E-2</v>
      </c>
      <c r="D145" s="883"/>
      <c r="E145" s="883"/>
      <c r="F145" s="1943" t="s">
        <v>1755</v>
      </c>
      <c r="G145" s="1944"/>
      <c r="H145" s="1945"/>
      <c r="I145" s="1946" t="s">
        <v>1752</v>
      </c>
      <c r="J145" s="884">
        <v>8</v>
      </c>
      <c r="K145" s="885">
        <f>ROUND(100+(J145-J140)*K139*100,1)</f>
        <v>99.2</v>
      </c>
    </row>
    <row r="147" spans="2:11">
      <c r="B147" s="1927" t="s">
        <v>1756</v>
      </c>
    </row>
    <row r="148" spans="2:11">
      <c r="B148" s="1927" t="s">
        <v>1757</v>
      </c>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J52">
    <cfRule type="containsText" dxfId="156" priority="18" stopIfTrue="1" operator="containsText" text="超过">
      <formula>NOT(ISERROR(SEARCH("超过",F52)))</formula>
    </cfRule>
  </conditionalFormatting>
  <conditionalFormatting sqref="J54">
    <cfRule type="containsText" dxfId="155" priority="17" stopIfTrue="1" operator="containsText" text="超过">
      <formula>NOT(ISERROR(SEARCH("超过",J54)))</formula>
    </cfRule>
  </conditionalFormatting>
  <conditionalFormatting sqref="H54">
    <cfRule type="containsText" dxfId="154" priority="16" stopIfTrue="1" operator="containsText" text="超过">
      <formula>NOT(ISERROR(SEARCH("超过",H54)))</formula>
    </cfRule>
  </conditionalFormatting>
  <conditionalFormatting sqref="F54">
    <cfRule type="containsText" dxfId="153" priority="15" stopIfTrue="1" operator="containsText" text="超过">
      <formula>NOT(ISERROR(SEARCH("超过",F54)))</formula>
    </cfRule>
  </conditionalFormatting>
  <conditionalFormatting sqref="F53 H53 J53">
    <cfRule type="containsText" dxfId="152" priority="14" stopIfTrue="1" operator="containsText" text="超过">
      <formula>NOT(ISERROR(SEARCH("超过",F53)))</formula>
    </cfRule>
  </conditionalFormatting>
  <conditionalFormatting sqref="E52">
    <cfRule type="expression" dxfId="151" priority="13"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1" xr:uid="{43CAC284-8506-4544-B4D6-3D69557987C7}">
      <formula1>"项目模式,单套模式"</formula1>
    </dataValidation>
    <dataValidation type="list" allowBlank="1" showInputMessage="1" showErrorMessage="1" sqref="D48" xr:uid="{E3638F57-E9A3-4B51-A500-4C2B05BF15D3}">
      <formula1>"简单平均,加权平均"</formula1>
    </dataValidation>
    <dataValidation type="list" allowBlank="1" showInputMessage="1" showErrorMessage="1" sqref="F2" xr:uid="{610006AB-A7D2-4EF5-A0F5-905751CB5597}">
      <formula1>估价方法</formula1>
    </dataValidation>
    <dataValidation type="list" allowBlank="1" showInputMessage="1" showErrorMessage="1" sqref="C2" xr:uid="{9DE26946-58C8-4D88-A609-5CCEE0A8D420}">
      <formula1>"需扣减承租人权益,——"</formula1>
    </dataValidation>
    <dataValidation type="list" allowBlank="1" showInputMessage="1" showErrorMessage="1" sqref="F1" xr:uid="{E485BC35-32FE-4D3A-91EE-E1900197BF64}">
      <formula1>"售价,租金"</formula1>
    </dataValidation>
    <dataValidation type="list" allowBlank="1" showInputMessage="1" showErrorMessage="1" sqref="C22 E22 G22 I22" xr:uid="{F2035531-552F-45A5-9C6F-B514E09928BF}">
      <formula1>基础设施水平</formula1>
    </dataValidation>
    <dataValidation type="list" allowBlank="1" showInputMessage="1" showErrorMessage="1" sqref="E9 G9 I9" xr:uid="{928A624D-4209-46FD-AF90-66AD39C50208}">
      <formula1>住宅用途</formula1>
    </dataValidation>
    <dataValidation type="list" allowBlank="1" showInputMessage="1" showErrorMessage="1" sqref="D1" xr:uid="{314ECE8D-C9E9-49C2-B4E0-2771F43F6559}">
      <formula1>项目类型</formula1>
    </dataValidation>
    <dataValidation type="list" allowBlank="1" showInputMessage="1" showErrorMessage="1" sqref="E8 G8 I8 C8" xr:uid="{46BFE7E9-8E53-4C62-804C-4B8275EB0FB4}">
      <formula1>住宅交易情况</formula1>
    </dataValidation>
    <dataValidation type="list" allowBlank="1" showInputMessage="1" showErrorMessage="1" sqref="E43 G43 I43 C43" xr:uid="{D3CCBD58-F727-4441-A4C0-1EC0B3A8F78C}">
      <formula1>内部装修维护情况</formula1>
    </dataValidation>
    <dataValidation type="list" allowBlank="1" showInputMessage="1" showErrorMessage="1" sqref="E42 C42 G42 I42" xr:uid="{094576B5-F579-46FA-A42D-325AF1A8138E}">
      <formula1>住宅内部装修</formula1>
    </dataValidation>
    <dataValidation type="list" allowBlank="1" showInputMessage="1" showErrorMessage="1" sqref="E40 G40 I40 C40" xr:uid="{D7F69D50-43FB-45A1-A990-5E379ED4A7B1}">
      <formula1>住宅房型</formula1>
    </dataValidation>
    <dataValidation type="list" allowBlank="1" showInputMessage="1" showErrorMessage="1" sqref="E39 G39 I39 C39" xr:uid="{9ACD8E52-3EF8-4608-90F1-BCE96554CA10}">
      <formula1>住宅基础设施水平</formula1>
    </dataValidation>
    <dataValidation type="list" allowBlank="1" showInputMessage="1" showErrorMessage="1" sqref="E38 G38 I38 C38" xr:uid="{EE7C4933-3326-4B5E-AA96-984E11C42D6C}">
      <formula1>住宅物业管理</formula1>
    </dataValidation>
    <dataValidation type="list" allowBlank="1" showInputMessage="1" showErrorMessage="1" sqref="E36 G36 I36 C36" xr:uid="{45667E6B-A074-4B38-91BA-24CDEEC86594}">
      <formula1>住宅公共部分装修</formula1>
    </dataValidation>
    <dataValidation type="list" allowBlank="1" showInputMessage="1" showErrorMessage="1" sqref="E35 G35 I35 C35" xr:uid="{D83E498D-007F-4A85-97CD-1CDCC3DB1FD1}">
      <formula1>住宅建筑品质</formula1>
    </dataValidation>
    <dataValidation type="list" allowBlank="1" showInputMessage="1" showErrorMessage="1" sqref="E34 G34 I34 C34" xr:uid="{41576C61-DFC7-4C13-B309-0AEFDE3BB372}">
      <formula1>住宅建筑结构</formula1>
    </dataValidation>
    <dataValidation type="list" allowBlank="1" showInputMessage="1" showErrorMessage="1" sqref="E32 G32 I32 C32" xr:uid="{7254B8DC-B940-4342-9443-8BFBFF088D70}">
      <formula1>住宅建筑类型</formula1>
    </dataValidation>
    <dataValidation type="list" allowBlank="1" showInputMessage="1" showErrorMessage="1" sqref="E26 G26 I26 C26" xr:uid="{35DE8269-5C71-41A8-AC78-5A1078FFB7AB}">
      <formula1>住宅朝向</formula1>
    </dataValidation>
    <dataValidation type="list" allowBlank="1" showInputMessage="1" showErrorMessage="1" sqref="E25 G25 I25 C25" xr:uid="{53395A0A-F34D-4059-84DC-358ADA4A8FDC}">
      <formula1>住宅楼层</formula1>
    </dataValidation>
    <dataValidation type="list" allowBlank="1" showInputMessage="1" showErrorMessage="1" sqref="C20 G20 E20 I20" xr:uid="{572E0222-A368-474A-947B-6670A45DE15B}">
      <formula1>公共配套设施</formula1>
    </dataValidation>
    <dataValidation type="list" allowBlank="1" showInputMessage="1" showErrorMessage="1" sqref="E18 G18 I18 C18" xr:uid="{E9D09188-3750-4563-AD9C-61897F38212E}">
      <formula1>交通便捷度</formula1>
    </dataValidation>
    <dataValidation type="list" allowBlank="1" showInputMessage="1" showErrorMessage="1" sqref="E16 G16 I16 C16" xr:uid="{34E75723-230B-4044-A83C-1C88C5FD06D4}">
      <formula1>居住社区成熟度</formula1>
    </dataValidation>
    <dataValidation type="list" allowBlank="1" showInputMessage="1" showErrorMessage="1" sqref="E24 G24 I24 C24" xr:uid="{F8DE5EA2-0749-40A9-935B-4C1D9D01F455}">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D8F5D-BDE3-4AF0-93B7-8EB0EAE458AA}">
  <dimension ref="J1:R18"/>
  <sheetViews>
    <sheetView workbookViewId="0">
      <selection activeCell="P22" sqref="P22"/>
    </sheetView>
  </sheetViews>
  <sheetFormatPr defaultRowHeight="12"/>
  <cols>
    <col min="1" max="9" width="9" style="3509"/>
    <col min="10" max="10" width="7.5" style="3509" customWidth="1"/>
    <col min="11" max="11" width="6.875" style="3509" customWidth="1"/>
    <col min="12" max="12" width="10.625" style="3509" customWidth="1"/>
    <col min="13" max="13" width="10.125" style="3509" customWidth="1"/>
    <col min="14" max="16" width="9" style="3509"/>
    <col min="17" max="17" width="5.375" style="3509" customWidth="1"/>
    <col min="18" max="16384" width="9" style="3509"/>
  </cols>
  <sheetData>
    <row r="1" spans="10:18" s="3507" customFormat="1" ht="36">
      <c r="J1" s="3866" t="s">
        <v>3575</v>
      </c>
      <c r="K1" s="3506" t="s">
        <v>3519</v>
      </c>
      <c r="L1" s="3506" t="s">
        <v>3517</v>
      </c>
      <c r="M1" s="3506" t="s">
        <v>3518</v>
      </c>
      <c r="N1" s="3506" t="s">
        <v>3520</v>
      </c>
      <c r="O1" s="3506" t="s">
        <v>3521</v>
      </c>
      <c r="P1" s="3506" t="s">
        <v>3525</v>
      </c>
      <c r="Q1" s="3506" t="s">
        <v>3522</v>
      </c>
      <c r="R1" s="3506" t="s">
        <v>3514</v>
      </c>
    </row>
    <row r="2" spans="10:18">
      <c r="J2" s="3866"/>
      <c r="K2" s="3510">
        <v>75</v>
      </c>
      <c r="L2" s="3510">
        <v>13500</v>
      </c>
      <c r="M2" s="3510">
        <f>ROUND(L2/K2,2)</f>
        <v>180</v>
      </c>
      <c r="N2" s="3510">
        <v>1.2</v>
      </c>
      <c r="O2" s="3510">
        <v>2.5</v>
      </c>
      <c r="P2" s="3510">
        <f>M2-N2-O2</f>
        <v>176.3</v>
      </c>
      <c r="Q2" s="3510" t="s">
        <v>3556</v>
      </c>
      <c r="R2" s="3510" t="s">
        <v>3580</v>
      </c>
    </row>
    <row r="3" spans="10:18">
      <c r="J3" s="3866"/>
      <c r="K3" s="3510">
        <v>84.43</v>
      </c>
      <c r="L3" s="3510">
        <v>16000</v>
      </c>
      <c r="M3" s="3510">
        <f t="shared" ref="M3:M7" si="0">ROUND(L3/K3,2)</f>
        <v>189.51</v>
      </c>
      <c r="N3" s="3510">
        <f>N2</f>
        <v>1.2</v>
      </c>
      <c r="O3" s="3510">
        <f>O2</f>
        <v>2.5</v>
      </c>
      <c r="P3" s="3510">
        <f>M3-N3-O3</f>
        <v>185.81</v>
      </c>
      <c r="Q3" s="3510" t="s">
        <v>3524</v>
      </c>
      <c r="R3" s="3510" t="s">
        <v>3581</v>
      </c>
    </row>
    <row r="4" spans="10:18">
      <c r="J4" s="3866"/>
      <c r="K4" s="3540">
        <v>85</v>
      </c>
      <c r="L4" s="3540">
        <v>14000</v>
      </c>
      <c r="M4" s="3540">
        <f t="shared" si="0"/>
        <v>164.71</v>
      </c>
      <c r="N4" s="3540">
        <f>N3</f>
        <v>1.2</v>
      </c>
      <c r="O4" s="3540">
        <f>O2</f>
        <v>2.5</v>
      </c>
      <c r="P4" s="3540">
        <f t="shared" ref="P4:P7" si="1">M4-N4-O4</f>
        <v>161.01000000000002</v>
      </c>
      <c r="Q4" s="3540" t="s">
        <v>3578</v>
      </c>
      <c r="R4" s="3540" t="s">
        <v>3567</v>
      </c>
    </row>
    <row r="5" spans="10:18">
      <c r="J5" s="3866"/>
      <c r="K5" s="3540">
        <v>85.3</v>
      </c>
      <c r="L5" s="3540">
        <v>14500</v>
      </c>
      <c r="M5" s="3540">
        <f t="shared" si="0"/>
        <v>169.99</v>
      </c>
      <c r="N5" s="3540">
        <f>N2</f>
        <v>1.2</v>
      </c>
      <c r="O5" s="3540">
        <f>O2</f>
        <v>2.5</v>
      </c>
      <c r="P5" s="3540">
        <f t="shared" si="1"/>
        <v>166.29000000000002</v>
      </c>
      <c r="Q5" s="3540" t="s">
        <v>3579</v>
      </c>
      <c r="R5" s="3540" t="s">
        <v>3581</v>
      </c>
    </row>
    <row r="6" spans="10:18">
      <c r="J6" s="3866"/>
      <c r="K6" s="3510">
        <v>85.3</v>
      </c>
      <c r="L6" s="3510">
        <v>15000</v>
      </c>
      <c r="M6" s="3510">
        <f t="shared" si="0"/>
        <v>175.85</v>
      </c>
      <c r="N6" s="3510">
        <f>N2</f>
        <v>1.2</v>
      </c>
      <c r="O6" s="3510">
        <f>O2</f>
        <v>2.5</v>
      </c>
      <c r="P6" s="3510">
        <f t="shared" si="1"/>
        <v>172.15</v>
      </c>
      <c r="Q6" s="3510" t="s">
        <v>3556</v>
      </c>
      <c r="R6" s="3510" t="s">
        <v>3580</v>
      </c>
    </row>
    <row r="7" spans="10:18">
      <c r="J7" s="3866"/>
      <c r="K7" s="3508">
        <v>73</v>
      </c>
      <c r="L7" s="3508">
        <v>12000</v>
      </c>
      <c r="M7" s="3508">
        <f t="shared" si="0"/>
        <v>164.38</v>
      </c>
      <c r="N7" s="3508"/>
      <c r="O7" s="3508"/>
      <c r="P7" s="3540">
        <f t="shared" si="1"/>
        <v>164.38</v>
      </c>
      <c r="Q7" s="3508"/>
      <c r="R7" s="3508"/>
    </row>
    <row r="8" spans="10:18">
      <c r="J8" s="3866"/>
      <c r="K8" s="3508"/>
      <c r="L8" s="3508"/>
      <c r="M8" s="3508"/>
      <c r="N8" s="3508"/>
      <c r="O8" s="3508"/>
      <c r="P8" s="3508"/>
      <c r="Q8" s="3508"/>
      <c r="R8" s="3508"/>
    </row>
    <row r="9" spans="10:18">
      <c r="J9" s="3866"/>
      <c r="K9" s="3508"/>
      <c r="L9" s="3508"/>
      <c r="M9" s="3508"/>
      <c r="N9" s="3508"/>
      <c r="O9" s="3508"/>
      <c r="P9" s="3508"/>
      <c r="Q9" s="3508"/>
      <c r="R9" s="3508"/>
    </row>
    <row r="10" spans="10:18">
      <c r="J10" s="3866"/>
      <c r="K10" s="3510"/>
      <c r="L10" s="3510"/>
      <c r="M10" s="3510"/>
      <c r="N10" s="3510"/>
      <c r="O10" s="3510"/>
      <c r="P10" s="3510"/>
      <c r="Q10" s="3508"/>
      <c r="R10" s="3508"/>
    </row>
    <row r="16" spans="10:18">
      <c r="L16" s="3532" t="s">
        <v>3574</v>
      </c>
      <c r="M16" s="3532" t="s">
        <v>3565</v>
      </c>
      <c r="N16" s="3532" t="s">
        <v>3564</v>
      </c>
    </row>
    <row r="17" spans="11:14" ht="13.5">
      <c r="K17" s="3536" t="s">
        <v>3571</v>
      </c>
      <c r="L17" s="3536" t="s">
        <v>3572</v>
      </c>
      <c r="M17" s="3536" t="s">
        <v>3573</v>
      </c>
      <c r="N17" s="3536" t="s">
        <v>3570</v>
      </c>
    </row>
    <row r="18" spans="11:14">
      <c r="L18" s="3533"/>
      <c r="M18" s="3533"/>
    </row>
  </sheetData>
  <mergeCells count="1">
    <mergeCell ref="J1:J10"/>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武警：</v>
      </c>
    </row>
    <row r="4" spans="1:1" ht="18">
      <c r="A4" s="1480" t="str">
        <f>"受贵公司委托，我公司对"&amp;项目基本情况!S1&amp;"进行了预评估。"</f>
        <v>受贵公司委托，我公司对北京市进行了预评估。</v>
      </c>
    </row>
    <row r="5" spans="1:1" ht="18.75">
      <c r="A5" s="1481" t="s">
        <v>895</v>
      </c>
    </row>
    <row r="6" spans="1:1" ht="18.75">
      <c r="A6" s="1482" t="s">
        <v>896</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估价对象为北京市房地产，为所有。根据《国有土地使用证》[]，估价对象（分摊）出让国有建设用地使用权面积为0平方米，建筑面积为85.3平方米。</v>
      </c>
    </row>
    <row r="8" spans="1:1" ht="57.75">
      <c r="A8" s="1483" t="s">
        <v>897</v>
      </c>
    </row>
    <row r="9" spans="1:1" ht="18.75">
      <c r="A9" s="1482" t="s">
        <v>898</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估价对象为北京市房地产,属开发建设的，该项目尚在开发建设中。根据《国有土地使用证》[]，估价对象（分摊）出让国有建设用地使用权面积为0平方米，规划建筑面积为85.3平方米。</v>
      </c>
    </row>
    <row r="11" spans="1:1" ht="76.5">
      <c r="A11" s="1483" t="s">
        <v>899</v>
      </c>
    </row>
    <row r="12" spans="1:1" ht="18.75">
      <c r="A12" s="1481" t="s">
        <v>900</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901</v>
      </c>
    </row>
    <row r="15" spans="1:1" ht="18">
      <c r="A15" s="1486" t="str">
        <f>TEXT(项目基本情况!D3,"yyyy年m月d日;;")&amp;IF(项目基本情况!D3=项目基本情况!B3,"（评估专业人员实地查勘之日）","")</f>
        <v>2023年2月20日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本次评估采用的主估价方法为比较法和收益法。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7" sqref="E17"/>
    </sheetView>
  </sheetViews>
  <sheetFormatPr defaultColWidth="9" defaultRowHeight="13.5"/>
  <cols>
    <col min="1" max="1" width="25" style="2510" customWidth="1"/>
    <col min="2" max="9" width="15.75" style="2510" customWidth="1"/>
    <col min="10" max="16384" width="9" style="2510"/>
  </cols>
  <sheetData>
    <row r="1" spans="1:11" ht="16.5">
      <c r="A1" s="2509" t="s">
        <v>661</v>
      </c>
      <c r="B1" s="2509">
        <f>SUM(B14:B23)</f>
        <v>0</v>
      </c>
      <c r="C1" s="2683"/>
      <c r="D1" s="2683"/>
      <c r="E1" s="2683"/>
      <c r="F1" s="2683"/>
      <c r="G1" s="2684"/>
      <c r="H1" s="2685"/>
      <c r="I1" s="2685"/>
      <c r="J1" s="2685"/>
      <c r="K1" s="2685"/>
    </row>
    <row r="2" spans="1:11" ht="16.5">
      <c r="A2" s="2509" t="s">
        <v>649</v>
      </c>
      <c r="B2" s="2509">
        <f>SUM(C14:C23)</f>
        <v>0</v>
      </c>
      <c r="C2" s="2683"/>
      <c r="D2" s="2683"/>
      <c r="E2" s="2683"/>
      <c r="F2" s="2683"/>
      <c r="G2" s="2684"/>
      <c r="H2" s="2685"/>
      <c r="I2" s="2685"/>
      <c r="J2" s="2685"/>
      <c r="K2" s="2685"/>
    </row>
    <row r="3" spans="1:11" ht="16.5">
      <c r="A3" s="2509" t="s">
        <v>658</v>
      </c>
      <c r="B3" s="2511">
        <f>项目基本情况!D3</f>
        <v>44977</v>
      </c>
      <c r="C3" s="2683"/>
      <c r="D3" s="2683"/>
      <c r="E3" s="2683"/>
      <c r="F3" s="2683"/>
      <c r="G3" s="2684"/>
      <c r="H3" s="2685"/>
      <c r="I3" s="2685"/>
      <c r="J3" s="2685"/>
      <c r="K3" s="2685"/>
    </row>
    <row r="4" spans="1:11" ht="33">
      <c r="A4" s="2509" t="s">
        <v>657</v>
      </c>
      <c r="B4" s="2509" t="s">
        <v>656</v>
      </c>
      <c r="C4" s="2509" t="s">
        <v>655</v>
      </c>
      <c r="D4" s="2509" t="s">
        <v>654</v>
      </c>
      <c r="E4" s="2683"/>
      <c r="F4" s="2684"/>
      <c r="G4" s="2684"/>
      <c r="H4" s="2685"/>
      <c r="I4" s="2685"/>
      <c r="J4" s="2685"/>
      <c r="K4" s="2685"/>
    </row>
    <row r="5" spans="1:11" ht="16.5">
      <c r="A5" s="2509" t="s">
        <v>653</v>
      </c>
      <c r="B5" s="2509">
        <f>SUM(D14:D23)</f>
        <v>0</v>
      </c>
      <c r="C5" s="2509">
        <f ca="1">IF(B5=D14,结果表!H102,ROUND(B5*10000/$B$1,0))</f>
        <v>0</v>
      </c>
      <c r="D5" s="2509" t="e">
        <f>ROUND(B5*10000/$B$2,0)</f>
        <v>#DIV/0!</v>
      </c>
      <c r="E5" s="2683"/>
      <c r="F5" s="2684"/>
      <c r="G5" s="2684"/>
      <c r="H5" s="2685"/>
      <c r="I5" s="2685"/>
      <c r="J5" s="2685"/>
      <c r="K5" s="2685"/>
    </row>
    <row r="6" spans="1:11" ht="16.5">
      <c r="A6" s="2509" t="s">
        <v>652</v>
      </c>
      <c r="B6" s="2509">
        <f>SUM(G14:G23)</f>
        <v>0</v>
      </c>
      <c r="C6" s="2509">
        <f ca="1">IF(B6=G14,结果表!H108,ROUND(B6*10000/$B$1,0))</f>
        <v>0</v>
      </c>
      <c r="D6" s="2509" t="e">
        <f>ROUND(B6*10000/$B$2,0)</f>
        <v>#DIV/0!</v>
      </c>
      <c r="E6" s="2683"/>
      <c r="F6" s="2684"/>
      <c r="G6" s="2684"/>
      <c r="H6" s="2685"/>
      <c r="I6" s="2685"/>
      <c r="J6" s="2685"/>
      <c r="K6" s="2685"/>
    </row>
    <row r="7" spans="1:11" ht="16.5">
      <c r="A7" s="2509" t="s">
        <v>660</v>
      </c>
      <c r="B7" s="2509">
        <f>SUM(H14:H23)</f>
        <v>0</v>
      </c>
      <c r="C7" s="2509" t="str">
        <f>IF(B7=H14,结果表!H110,ROUND(B7*10000/$B$1,0))</f>
        <v>——</v>
      </c>
      <c r="D7" s="2509" t="e">
        <f>ROUND(B7*10000/$B$2,0)</f>
        <v>#DIV/0!</v>
      </c>
      <c r="E7" s="2683"/>
      <c r="F7" s="2684"/>
      <c r="G7" s="2684"/>
      <c r="H7" s="2685"/>
      <c r="I7" s="2685"/>
      <c r="J7" s="2685"/>
      <c r="K7" s="2685"/>
    </row>
    <row r="8" spans="1:11" ht="16.5">
      <c r="A8" s="2509" t="s">
        <v>583</v>
      </c>
      <c r="B8" s="2509">
        <f>SUM(I14:I23)</f>
        <v>0</v>
      </c>
      <c r="C8" s="2509" t="str">
        <f>IF(B8=I14,结果表!H112,ROUND(B8*10000/$B$1,0))</f>
        <v>——</v>
      </c>
      <c r="D8" s="2509" t="e">
        <f>ROUND(B8*10000/$B$2,0)</f>
        <v>#DIV/0!</v>
      </c>
      <c r="E8" s="2683"/>
      <c r="F8" s="2684"/>
      <c r="G8" s="2684"/>
      <c r="H8" s="2685"/>
      <c r="I8" s="2685"/>
      <c r="J8" s="2685"/>
      <c r="K8" s="2685"/>
    </row>
    <row r="9" spans="1:11" ht="16.5">
      <c r="A9" s="2509" t="s">
        <v>651</v>
      </c>
      <c r="B9" s="2517"/>
      <c r="C9" s="2683"/>
      <c r="D9" s="2683"/>
      <c r="E9" s="2683"/>
      <c r="F9" s="2684"/>
      <c r="G9" s="2684"/>
      <c r="H9" s="2685"/>
      <c r="I9" s="2685"/>
      <c r="J9" s="2685"/>
      <c r="K9" s="2685"/>
    </row>
    <row r="10" spans="1:11" ht="16.5">
      <c r="A10" s="2509" t="s">
        <v>650</v>
      </c>
      <c r="B10" s="2509">
        <f>IF(E10="",0,ROUND(B1*(E10*365/G10)/10000,0))</f>
        <v>0</v>
      </c>
      <c r="C10" s="2509" t="s">
        <v>3356</v>
      </c>
      <c r="D10" s="2509" t="s">
        <v>3357</v>
      </c>
      <c r="E10" s="3438"/>
      <c r="F10" s="3442" t="s">
        <v>3358</v>
      </c>
      <c r="G10" s="3439"/>
      <c r="H10" s="2685"/>
      <c r="I10" s="2685"/>
      <c r="J10" s="2685"/>
      <c r="K10" s="2685"/>
    </row>
    <row r="11" spans="1:11" ht="16.5">
      <c r="A11" s="2509" t="s">
        <v>666</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665</v>
      </c>
      <c r="B13" s="2513" t="s">
        <v>662</v>
      </c>
      <c r="C13" s="2513" t="s">
        <v>664</v>
      </c>
      <c r="D13" s="2513" t="s">
        <v>663</v>
      </c>
      <c r="E13" s="2509" t="s">
        <v>655</v>
      </c>
      <c r="F13" s="2509" t="s">
        <v>654</v>
      </c>
      <c r="G13" s="2513" t="s">
        <v>648</v>
      </c>
      <c r="H13" s="2513" t="s">
        <v>659</v>
      </c>
      <c r="I13" s="2513" t="s">
        <v>647</v>
      </c>
      <c r="J13" s="2684"/>
      <c r="K13" s="2685"/>
    </row>
    <row r="14" spans="1:11" ht="16.5">
      <c r="A14" s="2514" t="s">
        <v>646</v>
      </c>
      <c r="B14" s="2515"/>
      <c r="C14" s="2515"/>
      <c r="D14" s="2515"/>
      <c r="E14" s="2515" t="e">
        <f>ROUND(D14*10000/B14,0)</f>
        <v>#DIV/0!</v>
      </c>
      <c r="F14" s="2515" t="e">
        <f>ROUND(D14*10000/C14,0)</f>
        <v>#DIV/0!</v>
      </c>
      <c r="G14" s="2515"/>
      <c r="H14" s="2515"/>
      <c r="I14" s="2515"/>
      <c r="J14" s="2684"/>
      <c r="K14" s="2685"/>
    </row>
    <row r="15" spans="1:11" ht="16.5">
      <c r="A15" s="2514" t="s">
        <v>645</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644</v>
      </c>
      <c r="B16" s="2516"/>
      <c r="C16" s="2516"/>
      <c r="D16" s="2516"/>
      <c r="E16" s="2515" t="e">
        <f t="shared" si="0"/>
        <v>#DIV/0!</v>
      </c>
      <c r="F16" s="2515" t="e">
        <f t="shared" si="1"/>
        <v>#DIV/0!</v>
      </c>
      <c r="G16" s="1331"/>
      <c r="H16" s="1331"/>
      <c r="I16" s="2516"/>
      <c r="J16" s="2685"/>
      <c r="K16" s="2685"/>
    </row>
    <row r="17" spans="1:11" ht="16.5">
      <c r="A17" s="2514" t="s">
        <v>643</v>
      </c>
      <c r="B17" s="2516"/>
      <c r="C17" s="2516"/>
      <c r="D17" s="2516"/>
      <c r="E17" s="2515" t="e">
        <f t="shared" si="0"/>
        <v>#DIV/0!</v>
      </c>
      <c r="F17" s="2515" t="e">
        <f t="shared" si="1"/>
        <v>#DIV/0!</v>
      </c>
      <c r="G17" s="1331"/>
      <c r="H17" s="1331"/>
      <c r="I17" s="2516"/>
      <c r="J17" s="2685"/>
      <c r="K17" s="2685"/>
    </row>
    <row r="18" spans="1:11" ht="16.5">
      <c r="A18" s="2514" t="s">
        <v>642</v>
      </c>
      <c r="B18" s="2516"/>
      <c r="C18" s="2516"/>
      <c r="D18" s="2516"/>
      <c r="E18" s="2515" t="e">
        <f t="shared" si="0"/>
        <v>#DIV/0!</v>
      </c>
      <c r="F18" s="2515" t="e">
        <f t="shared" si="1"/>
        <v>#DIV/0!</v>
      </c>
      <c r="G18" s="2516"/>
      <c r="H18" s="2516"/>
      <c r="I18" s="2516"/>
      <c r="J18" s="2685"/>
      <c r="K18" s="2685"/>
    </row>
    <row r="19" spans="1:11" ht="16.5">
      <c r="A19" s="2514" t="s">
        <v>641</v>
      </c>
      <c r="B19" s="2516"/>
      <c r="C19" s="2516"/>
      <c r="D19" s="2516"/>
      <c r="E19" s="2515" t="e">
        <f t="shared" si="0"/>
        <v>#DIV/0!</v>
      </c>
      <c r="F19" s="2515" t="e">
        <f t="shared" si="1"/>
        <v>#DIV/0!</v>
      </c>
      <c r="G19" s="2516"/>
      <c r="H19" s="2516"/>
      <c r="I19" s="2516"/>
      <c r="J19" s="2685"/>
      <c r="K19" s="2685"/>
    </row>
    <row r="20" spans="1:11" ht="16.5">
      <c r="A20" s="2514" t="s">
        <v>640</v>
      </c>
      <c r="B20" s="2516"/>
      <c r="C20" s="2516"/>
      <c r="D20" s="2516"/>
      <c r="E20" s="2515" t="e">
        <f t="shared" si="0"/>
        <v>#DIV/0!</v>
      </c>
      <c r="F20" s="2515" t="e">
        <f t="shared" si="1"/>
        <v>#DIV/0!</v>
      </c>
      <c r="G20" s="2516"/>
      <c r="H20" s="2516"/>
      <c r="I20" s="2516"/>
      <c r="J20" s="2685"/>
      <c r="K20" s="2685"/>
    </row>
    <row r="21" spans="1:11" ht="16.5">
      <c r="A21" s="2514" t="s">
        <v>639</v>
      </c>
      <c r="B21" s="2516"/>
      <c r="C21" s="2516"/>
      <c r="D21" s="2516"/>
      <c r="E21" s="2515" t="e">
        <f t="shared" si="0"/>
        <v>#DIV/0!</v>
      </c>
      <c r="F21" s="2515" t="e">
        <f t="shared" si="1"/>
        <v>#DIV/0!</v>
      </c>
      <c r="G21" s="2516"/>
      <c r="H21" s="2516"/>
      <c r="I21" s="2516"/>
      <c r="J21" s="2685"/>
      <c r="K21" s="2685"/>
    </row>
    <row r="22" spans="1:11" ht="16.5">
      <c r="A22" s="2514" t="s">
        <v>638</v>
      </c>
      <c r="B22" s="2516"/>
      <c r="C22" s="2516"/>
      <c r="D22" s="2516"/>
      <c r="E22" s="2515" t="e">
        <f t="shared" si="0"/>
        <v>#DIV/0!</v>
      </c>
      <c r="F22" s="2515" t="e">
        <f t="shared" si="1"/>
        <v>#DIV/0!</v>
      </c>
      <c r="G22" s="2516"/>
      <c r="H22" s="2516"/>
      <c r="I22" s="2516"/>
      <c r="J22" s="2685"/>
      <c r="K22" s="2685"/>
    </row>
    <row r="23" spans="1:11" ht="16.5">
      <c r="A23" s="2514" t="s">
        <v>637</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878" t="s">
        <v>1758</v>
      </c>
      <c r="C1" s="1238" t="s">
        <v>1658</v>
      </c>
      <c r="D1" s="1225"/>
      <c r="E1" s="3423"/>
      <c r="F1" s="1879"/>
      <c r="G1" s="1235" t="s">
        <v>1759</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1458</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1950"/>
      <c r="Q2" s="912"/>
      <c r="R2" s="912"/>
      <c r="S2" s="912"/>
      <c r="T2" s="912"/>
      <c r="U2" s="912"/>
      <c r="V2" s="912"/>
      <c r="W2" s="912"/>
      <c r="X2" s="912"/>
      <c r="Y2" s="912"/>
      <c r="Z2" s="912"/>
      <c r="AA2" s="912"/>
      <c r="AB2" s="912"/>
      <c r="AC2" s="1951"/>
    </row>
    <row r="3" spans="1:29" s="352" customFormat="1" ht="28.5" customHeight="1" thickBot="1">
      <c r="A3" s="203" t="s">
        <v>1460</v>
      </c>
      <c r="B3" s="558">
        <f>IF(C2="——",C49,ROUND(B2*10000/D3,0))</f>
        <v>0</v>
      </c>
      <c r="C3" s="354" t="s">
        <v>1760</v>
      </c>
      <c r="D3" s="353">
        <f>IF(D1="",'数据-汇总表'!E3,SUMIF('数据-汇总表'!$C19:$C33,D1,'数据-汇总表'!$E19:$E33))</f>
        <v>85.3</v>
      </c>
      <c r="E3" s="1952"/>
      <c r="F3" s="909"/>
      <c r="G3" s="908"/>
      <c r="H3" s="908"/>
      <c r="I3" s="908"/>
      <c r="J3" s="908"/>
      <c r="K3" s="910"/>
      <c r="L3" s="2731"/>
      <c r="M3" s="2732"/>
      <c r="N3" s="2732"/>
      <c r="O3" s="2732"/>
      <c r="P3" s="1950"/>
      <c r="Q3" s="912"/>
      <c r="R3" s="912"/>
      <c r="S3" s="912"/>
      <c r="T3" s="912"/>
      <c r="U3" s="912"/>
      <c r="V3" s="912"/>
      <c r="W3" s="912"/>
      <c r="X3" s="912"/>
      <c r="Y3" s="912"/>
      <c r="Z3" s="912"/>
      <c r="AA3" s="912"/>
      <c r="AB3" s="912"/>
      <c r="AC3" s="1952"/>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47"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47"/>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47"/>
      <c r="AC6" s="3821"/>
    </row>
    <row r="7" spans="1:29" s="108" customFormat="1" ht="15.75" thickBot="1">
      <c r="A7" s="362" t="s">
        <v>1674</v>
      </c>
      <c r="B7" s="363"/>
      <c r="C7" s="364">
        <f>'数据-取费表'!B2</f>
        <v>44977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85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85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851"/>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85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85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851"/>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71.25">
      <c r="A15" s="391" t="s">
        <v>1685</v>
      </c>
      <c r="B15" s="61" t="s">
        <v>1769</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852" t="s">
        <v>1686</v>
      </c>
      <c r="Q15" s="1352" t="str">
        <f t="shared" si="6"/>
        <v>商业繁华度</v>
      </c>
      <c r="R15" s="705" t="s">
        <v>14</v>
      </c>
      <c r="S15" s="706">
        <f t="shared" si="0"/>
        <v>100</v>
      </c>
      <c r="T15" s="705" t="s">
        <v>14</v>
      </c>
      <c r="U15" s="706">
        <f t="shared" si="1"/>
        <v>100</v>
      </c>
      <c r="V15" s="705" t="s">
        <v>14</v>
      </c>
      <c r="W15" s="706">
        <f t="shared" si="2"/>
        <v>100</v>
      </c>
      <c r="X15" s="1355"/>
      <c r="Y15" s="3854"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853"/>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853"/>
      <c r="Q18" s="1352"/>
      <c r="R18" s="705"/>
      <c r="S18" s="706"/>
      <c r="T18" s="705"/>
      <c r="U18" s="706"/>
      <c r="V18" s="705"/>
      <c r="W18" s="706"/>
      <c r="X18" s="1355"/>
      <c r="Y18" s="3855"/>
      <c r="Z18" s="1356"/>
      <c r="AA18" s="1353">
        <v>1</v>
      </c>
      <c r="AB18" s="1353">
        <v>1</v>
      </c>
      <c r="AC18" s="1353">
        <v>1</v>
      </c>
    </row>
    <row r="19" spans="1:29" ht="42.75">
      <c r="A19" s="379"/>
      <c r="B19" s="402" t="s">
        <v>1770</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853"/>
      <c r="Q20" s="1352"/>
      <c r="R20" s="705"/>
      <c r="S20" s="706"/>
      <c r="T20" s="705"/>
      <c r="U20" s="706"/>
      <c r="V20" s="705"/>
      <c r="W20" s="706"/>
      <c r="X20" s="1355"/>
      <c r="Y20" s="3855"/>
      <c r="Z20" s="1356"/>
      <c r="AA20" s="1353">
        <v>1</v>
      </c>
      <c r="AB20" s="1353">
        <v>1</v>
      </c>
      <c r="AC20" s="1353">
        <v>1</v>
      </c>
    </row>
    <row r="21" spans="1:29" ht="28.5">
      <c r="A21" s="379"/>
      <c r="B21" s="1131" t="s">
        <v>1771</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853"/>
      <c r="Q22" s="1352"/>
      <c r="R22" s="705"/>
      <c r="S22" s="706"/>
      <c r="T22" s="705"/>
      <c r="U22" s="706"/>
      <c r="V22" s="705"/>
      <c r="W22" s="706"/>
      <c r="X22" s="1355"/>
      <c r="Y22" s="3855"/>
      <c r="Z22" s="1356"/>
      <c r="AA22" s="1353">
        <v>1</v>
      </c>
      <c r="AB22" s="1353">
        <v>1</v>
      </c>
      <c r="AC22" s="1353">
        <v>1</v>
      </c>
    </row>
    <row r="23" spans="1:29" ht="57">
      <c r="A23" s="379"/>
      <c r="B23" s="402" t="s">
        <v>1257</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853"/>
      <c r="Q23" s="1352" t="str">
        <f>B23</f>
        <v>自然及人文环境</v>
      </c>
      <c r="R23" s="705" t="s">
        <v>14</v>
      </c>
      <c r="S23" s="706">
        <f>F23</f>
        <v>100</v>
      </c>
      <c r="T23" s="705" t="s">
        <v>14</v>
      </c>
      <c r="U23" s="706">
        <f>H23</f>
        <v>100</v>
      </c>
      <c r="V23" s="705" t="s">
        <v>14</v>
      </c>
      <c r="W23" s="706">
        <f>J23</f>
        <v>100</v>
      </c>
      <c r="X23" s="1355"/>
      <c r="Y23" s="38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853"/>
      <c r="Q24" s="1352"/>
      <c r="R24" s="705"/>
      <c r="S24" s="706"/>
      <c r="T24" s="705"/>
      <c r="U24" s="706"/>
      <c r="V24" s="705"/>
      <c r="W24" s="706"/>
      <c r="X24" s="1355"/>
      <c r="Y24" s="3855"/>
      <c r="Z24" s="1356"/>
      <c r="AA24" s="1353">
        <v>1</v>
      </c>
      <c r="AB24" s="1353">
        <v>1</v>
      </c>
      <c r="AC24" s="1353">
        <v>1</v>
      </c>
    </row>
    <row r="25" spans="1:29" ht="15">
      <c r="A25" s="379"/>
      <c r="B25" s="375" t="s">
        <v>1772</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853"/>
      <c r="Q25" s="1352" t="str">
        <f t="shared" ref="Q25:Q46" si="11">B25</f>
        <v>临街状况</v>
      </c>
      <c r="R25" s="705" t="s">
        <v>14</v>
      </c>
      <c r="S25" s="706">
        <f>F25</f>
        <v>100</v>
      </c>
      <c r="T25" s="705" t="s">
        <v>14</v>
      </c>
      <c r="U25" s="706">
        <f>H25</f>
        <v>100</v>
      </c>
      <c r="V25" s="705" t="s">
        <v>14</v>
      </c>
      <c r="W25" s="706">
        <f>J25</f>
        <v>100</v>
      </c>
      <c r="X25" s="1355"/>
      <c r="Y25" s="3855"/>
      <c r="Z25" s="1356" t="str">
        <f>Q25</f>
        <v>临街状况</v>
      </c>
      <c r="AA25" s="1353">
        <f t="shared" si="3"/>
        <v>1</v>
      </c>
      <c r="AB25" s="1353">
        <f t="shared" si="4"/>
        <v>1</v>
      </c>
      <c r="AC25" s="1353">
        <f t="shared" si="5"/>
        <v>1</v>
      </c>
    </row>
    <row r="26" spans="1:29" ht="15">
      <c r="A26" s="379"/>
      <c r="B26" s="1133" t="s">
        <v>1773</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853"/>
      <c r="Q26" s="1352" t="str">
        <f t="shared" si="11"/>
        <v>平面位置/可视性</v>
      </c>
      <c r="R26" s="705" t="s">
        <v>14</v>
      </c>
      <c r="S26" s="706">
        <f>F26</f>
        <v>100</v>
      </c>
      <c r="T26" s="705" t="s">
        <v>14</v>
      </c>
      <c r="U26" s="706">
        <f>H26</f>
        <v>100</v>
      </c>
      <c r="V26" s="705" t="s">
        <v>14</v>
      </c>
      <c r="W26" s="706">
        <f>J26</f>
        <v>100</v>
      </c>
      <c r="X26" s="1355"/>
      <c r="Y26" s="3855"/>
      <c r="Z26" s="1356" t="str">
        <f>Q26</f>
        <v>平面位置/可视性</v>
      </c>
      <c r="AA26" s="1353">
        <f t="shared" si="3"/>
        <v>1</v>
      </c>
      <c r="AB26" s="1353">
        <f t="shared" si="4"/>
        <v>1</v>
      </c>
      <c r="AC26" s="1353">
        <f t="shared" si="5"/>
        <v>1</v>
      </c>
    </row>
    <row r="27" spans="1:29" s="108" customFormat="1" ht="15">
      <c r="A27" s="382"/>
      <c r="B27" s="402" t="s">
        <v>1774</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853"/>
      <c r="Q27" s="1343" t="str">
        <f t="shared" si="11"/>
        <v>人流量</v>
      </c>
      <c r="R27" s="701" t="s">
        <v>14</v>
      </c>
      <c r="S27" s="702">
        <f>F27</f>
        <v>100</v>
      </c>
      <c r="T27" s="701" t="s">
        <v>14</v>
      </c>
      <c r="U27" s="702">
        <f>H27</f>
        <v>100</v>
      </c>
      <c r="V27" s="701" t="s">
        <v>14</v>
      </c>
      <c r="W27" s="702">
        <f>J27</f>
        <v>100</v>
      </c>
      <c r="X27" s="703"/>
      <c r="Y27" s="3855"/>
      <c r="Z27" s="52" t="str">
        <f>Q27</f>
        <v>人流量</v>
      </c>
      <c r="AA27" s="1353">
        <f>D27/F27</f>
        <v>1</v>
      </c>
      <c r="AB27" s="1353">
        <f>D27/H27</f>
        <v>1</v>
      </c>
      <c r="AC27" s="1353">
        <f>D27/J27</f>
        <v>1</v>
      </c>
    </row>
    <row r="28" spans="1:29" ht="15">
      <c r="A28" s="379"/>
      <c r="B28" s="375" t="s">
        <v>1775</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85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853"/>
      <c r="Q29" s="1352">
        <f t="shared" si="11"/>
        <v>111</v>
      </c>
      <c r="R29" s="705" t="s">
        <v>14</v>
      </c>
      <c r="S29" s="706">
        <f t="shared" si="12"/>
        <v>100</v>
      </c>
      <c r="T29" s="705" t="s">
        <v>14</v>
      </c>
      <c r="U29" s="706">
        <f t="shared" si="13"/>
        <v>100</v>
      </c>
      <c r="V29" s="705" t="s">
        <v>14</v>
      </c>
      <c r="W29" s="706">
        <f t="shared" si="14"/>
        <v>100</v>
      </c>
      <c r="X29" s="1355"/>
      <c r="Y29" s="38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353">
        <f t="shared" si="5"/>
        <v>1</v>
      </c>
    </row>
    <row r="32" spans="1:29" ht="15">
      <c r="A32" s="391" t="s">
        <v>1689</v>
      </c>
      <c r="B32" s="63" t="s">
        <v>1776</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856" t="s">
        <v>1691</v>
      </c>
      <c r="Q32" s="1352" t="str">
        <f t="shared" si="11"/>
        <v>商业类型</v>
      </c>
      <c r="R32" s="705" t="s">
        <v>14</v>
      </c>
      <c r="S32" s="706">
        <f t="shared" si="12"/>
        <v>100</v>
      </c>
      <c r="T32" s="705" t="s">
        <v>14</v>
      </c>
      <c r="U32" s="706">
        <f t="shared" si="13"/>
        <v>100</v>
      </c>
      <c r="V32" s="705" t="s">
        <v>14</v>
      </c>
      <c r="W32" s="706">
        <f t="shared" si="14"/>
        <v>100</v>
      </c>
      <c r="X32" s="1355"/>
      <c r="Y32" s="3859"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857"/>
      <c r="Q33" s="707" t="str">
        <f t="shared" si="11"/>
        <v>项目建筑规模</v>
      </c>
      <c r="R33" s="708" t="s">
        <v>14</v>
      </c>
      <c r="S33" s="709" t="e">
        <f t="shared" si="12"/>
        <v>#N/A</v>
      </c>
      <c r="T33" s="708" t="s">
        <v>14</v>
      </c>
      <c r="U33" s="709" t="e">
        <f t="shared" si="13"/>
        <v>#N/A</v>
      </c>
      <c r="V33" s="708" t="s">
        <v>14</v>
      </c>
      <c r="W33" s="709" t="e">
        <f t="shared" si="14"/>
        <v>#N/A</v>
      </c>
      <c r="X33" s="710"/>
      <c r="Y33" s="3859"/>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857"/>
      <c r="Q34" s="1352" t="str">
        <f t="shared" si="11"/>
        <v>建筑结构</v>
      </c>
      <c r="R34" s="705" t="s">
        <v>14</v>
      </c>
      <c r="S34" s="706">
        <f t="shared" si="12"/>
        <v>100</v>
      </c>
      <c r="T34" s="705" t="s">
        <v>14</v>
      </c>
      <c r="U34" s="706">
        <f t="shared" si="13"/>
        <v>100</v>
      </c>
      <c r="V34" s="705" t="s">
        <v>14</v>
      </c>
      <c r="W34" s="706">
        <f t="shared" si="14"/>
        <v>100</v>
      </c>
      <c r="X34" s="1355"/>
      <c r="Y34" s="3859"/>
      <c r="Z34" s="1356" t="str">
        <f t="shared" si="15"/>
        <v>建筑结构</v>
      </c>
      <c r="AA34" s="1353">
        <f t="shared" si="3"/>
        <v>1</v>
      </c>
      <c r="AB34" s="1353">
        <f t="shared" si="4"/>
        <v>1</v>
      </c>
      <c r="AC34" s="1353">
        <f t="shared" si="5"/>
        <v>1</v>
      </c>
    </row>
    <row r="35" spans="1:29" ht="15">
      <c r="A35" s="423"/>
      <c r="B35" s="375" t="s">
        <v>1777</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857"/>
      <c r="Q35" s="1352" t="str">
        <f t="shared" si="11"/>
        <v>公共部分装修</v>
      </c>
      <c r="R35" s="705" t="s">
        <v>14</v>
      </c>
      <c r="S35" s="706">
        <f t="shared" si="12"/>
        <v>100</v>
      </c>
      <c r="T35" s="705" t="s">
        <v>14</v>
      </c>
      <c r="U35" s="706">
        <f t="shared" si="13"/>
        <v>100</v>
      </c>
      <c r="V35" s="705" t="s">
        <v>14</v>
      </c>
      <c r="W35" s="706">
        <f t="shared" si="14"/>
        <v>100</v>
      </c>
      <c r="X35" s="1355"/>
      <c r="Y35" s="3859"/>
      <c r="Z35" s="1356" t="str">
        <f t="shared" si="15"/>
        <v>公共部分装修</v>
      </c>
      <c r="AA35" s="1353">
        <f t="shared" si="3"/>
        <v>1</v>
      </c>
      <c r="AB35" s="1353">
        <f t="shared" si="4"/>
        <v>1</v>
      </c>
      <c r="AC35" s="1353">
        <f t="shared" si="5"/>
        <v>1</v>
      </c>
    </row>
    <row r="36" spans="1:29" ht="15">
      <c r="A36" s="423"/>
      <c r="B36" s="375" t="s">
        <v>1778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857"/>
      <c r="Q36" s="1352" t="str">
        <f t="shared" si="11"/>
        <v>成新度</v>
      </c>
      <c r="R36" s="705" t="s">
        <v>14</v>
      </c>
      <c r="S36" s="706" t="e">
        <f t="shared" si="12"/>
        <v>#N/A</v>
      </c>
      <c r="T36" s="705" t="s">
        <v>14</v>
      </c>
      <c r="U36" s="706" t="e">
        <f t="shared" si="13"/>
        <v>#N/A</v>
      </c>
      <c r="V36" s="705" t="s">
        <v>14</v>
      </c>
      <c r="W36" s="706" t="e">
        <f t="shared" si="14"/>
        <v>#N/A</v>
      </c>
      <c r="X36" s="1355"/>
      <c r="Y36" s="3859"/>
      <c r="Z36" s="1356" t="str">
        <f t="shared" si="15"/>
        <v>成新度</v>
      </c>
      <c r="AA36" s="1353" t="e">
        <f t="shared" si="3"/>
        <v>#N/A</v>
      </c>
      <c r="AB36" s="1353" t="e">
        <f t="shared" si="4"/>
        <v>#N/A</v>
      </c>
      <c r="AC36" s="1353" t="e">
        <f t="shared" si="5"/>
        <v>#N/A</v>
      </c>
    </row>
    <row r="37" spans="1:29" s="108" customFormat="1" ht="15">
      <c r="A37" s="424"/>
      <c r="B37" s="375" t="s">
        <v>1779</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857"/>
      <c r="Q37" s="1343" t="str">
        <f t="shared" si="11"/>
        <v>市政基础设施</v>
      </c>
      <c r="R37" s="701" t="s">
        <v>14</v>
      </c>
      <c r="S37" s="702">
        <f t="shared" si="12"/>
        <v>100</v>
      </c>
      <c r="T37" s="701" t="s">
        <v>14</v>
      </c>
      <c r="U37" s="702">
        <f t="shared" si="13"/>
        <v>100</v>
      </c>
      <c r="V37" s="701" t="s">
        <v>14</v>
      </c>
      <c r="W37" s="702">
        <f t="shared" si="14"/>
        <v>100</v>
      </c>
      <c r="X37" s="703"/>
      <c r="Y37" s="3859"/>
      <c r="Z37" s="52" t="str">
        <f t="shared" si="15"/>
        <v>市政基础设施</v>
      </c>
      <c r="AA37" s="704">
        <f t="shared" si="3"/>
        <v>1</v>
      </c>
      <c r="AB37" s="704">
        <f t="shared" si="4"/>
        <v>1</v>
      </c>
      <c r="AC37" s="704">
        <f t="shared" si="5"/>
        <v>1</v>
      </c>
    </row>
    <row r="38" spans="1:29" ht="15">
      <c r="A38" s="423"/>
      <c r="B38" s="375" t="s">
        <v>1780</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857" t="s">
        <v>1691</v>
      </c>
      <c r="Q38" s="1352" t="str">
        <f t="shared" si="11"/>
        <v>业态</v>
      </c>
      <c r="R38" s="705" t="s">
        <v>14</v>
      </c>
      <c r="S38" s="706">
        <f t="shared" si="12"/>
        <v>100</v>
      </c>
      <c r="T38" s="705" t="s">
        <v>14</v>
      </c>
      <c r="U38" s="706">
        <f t="shared" si="13"/>
        <v>100</v>
      </c>
      <c r="V38" s="705" t="s">
        <v>14</v>
      </c>
      <c r="W38" s="706">
        <f t="shared" si="14"/>
        <v>100</v>
      </c>
      <c r="X38" s="1355"/>
      <c r="Y38" s="3859" t="s">
        <v>1691</v>
      </c>
      <c r="Z38" s="1356" t="str">
        <f t="shared" si="15"/>
        <v>业态</v>
      </c>
      <c r="AA38" s="1353">
        <f t="shared" si="3"/>
        <v>1</v>
      </c>
      <c r="AB38" s="1353">
        <f t="shared" si="4"/>
        <v>1</v>
      </c>
      <c r="AC38" s="1353">
        <f t="shared" si="5"/>
        <v>1</v>
      </c>
    </row>
    <row r="39" spans="1:29" ht="15">
      <c r="A39" s="423"/>
      <c r="B39" s="375" t="s">
        <v>1781</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857"/>
      <c r="Q39" s="1352" t="str">
        <f t="shared" si="11"/>
        <v>层高</v>
      </c>
      <c r="R39" s="705" t="s">
        <v>14</v>
      </c>
      <c r="S39" s="706">
        <f t="shared" si="12"/>
        <v>100</v>
      </c>
      <c r="T39" s="705" t="s">
        <v>14</v>
      </c>
      <c r="U39" s="706">
        <f t="shared" si="13"/>
        <v>100</v>
      </c>
      <c r="V39" s="705" t="s">
        <v>14</v>
      </c>
      <c r="W39" s="706">
        <f t="shared" si="14"/>
        <v>100</v>
      </c>
      <c r="X39" s="1355"/>
      <c r="Y39" s="3859"/>
      <c r="Z39" s="1356" t="str">
        <f t="shared" si="15"/>
        <v>层高</v>
      </c>
      <c r="AA39" s="1353">
        <f t="shared" si="3"/>
        <v>1</v>
      </c>
      <c r="AB39" s="1353">
        <f t="shared" si="4"/>
        <v>1</v>
      </c>
      <c r="AC39" s="1353">
        <f t="shared" si="5"/>
        <v>1</v>
      </c>
    </row>
    <row r="40" spans="1:29" ht="15">
      <c r="A40" s="423"/>
      <c r="B40" s="375" t="s">
        <v>1782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857"/>
      <c r="Q40" s="1352" t="str">
        <f t="shared" si="11"/>
        <v>单套建筑面积</v>
      </c>
      <c r="R40" s="705" t="s">
        <v>14</v>
      </c>
      <c r="S40" s="706">
        <f t="shared" si="12"/>
        <v>100</v>
      </c>
      <c r="T40" s="705" t="s">
        <v>14</v>
      </c>
      <c r="U40" s="706">
        <f t="shared" si="13"/>
        <v>100</v>
      </c>
      <c r="V40" s="705" t="s">
        <v>14</v>
      </c>
      <c r="W40" s="706">
        <f t="shared" si="14"/>
        <v>100</v>
      </c>
      <c r="X40" s="1355"/>
      <c r="Y40" s="3859"/>
      <c r="Z40" s="1356" t="str">
        <f t="shared" si="15"/>
        <v>单套建筑面积</v>
      </c>
      <c r="AA40" s="1353">
        <f t="shared" si="3"/>
        <v>1</v>
      </c>
      <c r="AB40" s="1353">
        <f t="shared" si="4"/>
        <v>1</v>
      </c>
      <c r="AC40" s="1353">
        <f t="shared" si="5"/>
        <v>1</v>
      </c>
    </row>
    <row r="41" spans="1:29" s="422" customFormat="1" ht="15">
      <c r="A41" s="419"/>
      <c r="B41" s="1354" t="s">
        <v>1783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857"/>
      <c r="Q41" s="707" t="str">
        <f t="shared" si="11"/>
        <v>进深比</v>
      </c>
      <c r="R41" s="708" t="s">
        <v>14</v>
      </c>
      <c r="S41" s="709">
        <f t="shared" si="12"/>
        <v>100</v>
      </c>
      <c r="T41" s="708" t="s">
        <v>14</v>
      </c>
      <c r="U41" s="709">
        <f t="shared" si="13"/>
        <v>100</v>
      </c>
      <c r="V41" s="708" t="s">
        <v>14</v>
      </c>
      <c r="W41" s="709">
        <f t="shared" si="14"/>
        <v>100</v>
      </c>
      <c r="X41" s="710"/>
      <c r="Y41" s="3859"/>
      <c r="Z41" s="711" t="str">
        <f t="shared" si="15"/>
        <v>进深比</v>
      </c>
      <c r="AA41" s="1353">
        <f t="shared" si="3"/>
        <v>1</v>
      </c>
      <c r="AB41" s="1353">
        <f t="shared" si="4"/>
        <v>1</v>
      </c>
      <c r="AC41" s="1353">
        <f t="shared" si="5"/>
        <v>1</v>
      </c>
    </row>
    <row r="42" spans="1:29" ht="15">
      <c r="A42" s="423"/>
      <c r="B42" s="375" t="s">
        <v>1784</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857"/>
      <c r="Q42" s="1352" t="str">
        <f t="shared" si="11"/>
        <v>内部装修</v>
      </c>
      <c r="R42" s="705" t="s">
        <v>14</v>
      </c>
      <c r="S42" s="706">
        <f t="shared" si="12"/>
        <v>100</v>
      </c>
      <c r="T42" s="705" t="s">
        <v>14</v>
      </c>
      <c r="U42" s="706">
        <f t="shared" si="13"/>
        <v>100</v>
      </c>
      <c r="V42" s="705" t="s">
        <v>14</v>
      </c>
      <c r="W42" s="706">
        <f t="shared" si="14"/>
        <v>100</v>
      </c>
      <c r="X42" s="1355"/>
      <c r="Y42" s="3859"/>
      <c r="Z42" s="1356" t="str">
        <f t="shared" si="15"/>
        <v>内部装修</v>
      </c>
      <c r="AA42" s="1353">
        <f t="shared" si="3"/>
        <v>1</v>
      </c>
      <c r="AB42" s="1353">
        <f t="shared" si="4"/>
        <v>1</v>
      </c>
      <c r="AC42" s="1353">
        <f t="shared" si="5"/>
        <v>1</v>
      </c>
    </row>
    <row r="43" spans="1:29" ht="15">
      <c r="A43" s="423"/>
      <c r="B43" s="375" t="s">
        <v>1702</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857"/>
      <c r="Q43" s="1352" t="str">
        <f t="shared" si="11"/>
        <v>内部装修维护情况</v>
      </c>
      <c r="R43" s="705" t="s">
        <v>14</v>
      </c>
      <c r="S43" s="706">
        <f t="shared" si="12"/>
        <v>100</v>
      </c>
      <c r="T43" s="705" t="s">
        <v>14</v>
      </c>
      <c r="U43" s="706">
        <f t="shared" si="13"/>
        <v>100</v>
      </c>
      <c r="V43" s="705" t="s">
        <v>14</v>
      </c>
      <c r="W43" s="706">
        <f t="shared" si="14"/>
        <v>100</v>
      </c>
      <c r="X43" s="1355"/>
      <c r="Y43" s="385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857"/>
      <c r="Q44" s="1343">
        <f t="shared" si="11"/>
        <v>111</v>
      </c>
      <c r="R44" s="701" t="s">
        <v>14</v>
      </c>
      <c r="S44" s="702">
        <f t="shared" si="12"/>
        <v>100</v>
      </c>
      <c r="T44" s="701" t="s">
        <v>14</v>
      </c>
      <c r="U44" s="702">
        <f t="shared" si="13"/>
        <v>100</v>
      </c>
      <c r="V44" s="701" t="s">
        <v>14</v>
      </c>
      <c r="W44" s="702">
        <f t="shared" si="14"/>
        <v>100</v>
      </c>
      <c r="X44" s="703"/>
      <c r="Y44" s="385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857"/>
      <c r="Q45" s="1352">
        <f t="shared" si="11"/>
        <v>111</v>
      </c>
      <c r="R45" s="705" t="s">
        <v>14</v>
      </c>
      <c r="S45" s="706">
        <f t="shared" si="12"/>
        <v>100</v>
      </c>
      <c r="T45" s="705" t="s">
        <v>14</v>
      </c>
      <c r="U45" s="706">
        <f t="shared" si="13"/>
        <v>100</v>
      </c>
      <c r="V45" s="705" t="s">
        <v>14</v>
      </c>
      <c r="W45" s="706">
        <f t="shared" si="14"/>
        <v>100</v>
      </c>
      <c r="X45" s="1355"/>
      <c r="Y45" s="385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858"/>
      <c r="Q46" s="1352">
        <f t="shared" si="11"/>
        <v>111</v>
      </c>
      <c r="R46" s="705" t="s">
        <v>14</v>
      </c>
      <c r="S46" s="706">
        <f t="shared" si="12"/>
        <v>100</v>
      </c>
      <c r="T46" s="705" t="s">
        <v>14</v>
      </c>
      <c r="U46" s="706">
        <f t="shared" si="13"/>
        <v>100</v>
      </c>
      <c r="V46" s="705" t="s">
        <v>14</v>
      </c>
      <c r="W46" s="706">
        <f t="shared" si="14"/>
        <v>100</v>
      </c>
      <c r="X46" s="1355"/>
      <c r="Y46" s="3860"/>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1"/>
      <c r="M47" s="2722"/>
      <c r="N47" s="2713"/>
      <c r="O47" s="2722"/>
      <c r="P47" s="3861" t="str">
        <f>A47</f>
        <v>成交单价（元/平方米）</v>
      </c>
      <c r="Q47" s="3861"/>
      <c r="R47" s="3847">
        <f>E47</f>
        <v>0</v>
      </c>
      <c r="S47" s="3847"/>
      <c r="T47" s="3847">
        <f>G47</f>
        <v>0</v>
      </c>
      <c r="U47" s="3847"/>
      <c r="V47" s="3847">
        <f>I47</f>
        <v>0</v>
      </c>
      <c r="W47" s="3847"/>
      <c r="X47" s="690"/>
      <c r="Y47" s="712"/>
      <c r="Z47" s="690"/>
      <c r="AA47" s="690"/>
      <c r="AB47" s="690"/>
      <c r="AC47" s="690"/>
    </row>
    <row r="48" spans="1:29" ht="15.75" thickBot="1">
      <c r="A48" s="437" t="s">
        <v>1785</v>
      </c>
      <c r="B48" s="438"/>
      <c r="C48" s="1160" t="e">
        <f>R49</f>
        <v>#DIV/0!</v>
      </c>
      <c r="D48" s="2315" t="s">
        <v>2130</v>
      </c>
      <c r="E48" s="1161" t="e">
        <f>R48</f>
        <v>#DIV/0!</v>
      </c>
      <c r="F48" s="2316"/>
      <c r="G48" s="1160" t="e">
        <f>T48</f>
        <v>#DIV/0!</v>
      </c>
      <c r="H48" s="2316"/>
      <c r="I48" s="1161" t="e">
        <f>V48</f>
        <v>#DIV/0!</v>
      </c>
      <c r="J48" s="2316"/>
      <c r="K48" s="2318">
        <f>F48+H48+J48</f>
        <v>0</v>
      </c>
      <c r="L48" s="2721"/>
      <c r="M48" s="2722"/>
      <c r="N48" s="2713"/>
      <c r="O48" s="2722"/>
      <c r="P48" s="3861" t="str">
        <f>A48</f>
        <v>比较价值（元/平方米）</v>
      </c>
      <c r="Q48" s="3861"/>
      <c r="R48" s="3862" t="e">
        <f>IF(F1="售价",ROUND(PRODUCT(R47,AA7:AA46),0),ROUND(PRODUCT(R47,AA7:AA46),1))</f>
        <v>#DIV/0!</v>
      </c>
      <c r="S48" s="3862"/>
      <c r="T48" s="3862" t="e">
        <f>IF(F1="售价",ROUND(PRODUCT(T47,AB7:AB46),0),ROUND(PRODUCT(T47,AB7:AB46),1))</f>
        <v>#DIV/0!</v>
      </c>
      <c r="U48" s="3862"/>
      <c r="V48" s="3862" t="e">
        <f>IF(F1="售价",ROUND(PRODUCT(V47,AC7:AC46),0),ROUND(PRODUCT(V47,AC7:AC46),1))</f>
        <v>#DIV/0!</v>
      </c>
      <c r="W48" s="3862"/>
      <c r="X48" s="690"/>
      <c r="Y48" s="690"/>
      <c r="Z48" s="690"/>
      <c r="AA48" s="690"/>
      <c r="AB48" s="690"/>
      <c r="AC48" s="690"/>
    </row>
    <row r="49" spans="1:29" ht="15.75" thickBot="1">
      <c r="A49" s="441" t="s">
        <v>1786</v>
      </c>
      <c r="B49" s="442"/>
      <c r="C49" s="1163" t="e">
        <f>R49</f>
        <v>#DIV/0!</v>
      </c>
      <c r="D49" s="1163"/>
      <c r="E49" s="1163"/>
      <c r="F49" s="1163"/>
      <c r="G49" s="1163"/>
      <c r="H49" s="1163"/>
      <c r="I49" s="1163"/>
      <c r="J49" s="1163"/>
      <c r="K49" s="715"/>
      <c r="L49" s="2721"/>
      <c r="M49" s="2722"/>
      <c r="N49" s="2713"/>
      <c r="O49" s="2722"/>
      <c r="P49" s="3863" t="str">
        <f>A49</f>
        <v>估价对象XX用房的比较价值（楼面单价，元/平方米）</v>
      </c>
      <c r="Q49" s="3864"/>
      <c r="R49" s="3865" t="e">
        <f>IF(F1="售价",ROUND(IF(D48="简单平均",AVERAGE(R48:V48),R48*F48+T48*H48+V48*J48),0),ROUND(IF(D48="简单平均",AVERAGE(R48:V48),R48*F48+T48*H48+V48*J48),1))</f>
        <v>#DIV/0!</v>
      </c>
      <c r="S49" s="3865"/>
      <c r="T49" s="3865"/>
      <c r="U49" s="3865"/>
      <c r="V49" s="3865"/>
      <c r="W49" s="38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1787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1788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1789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1790</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1674</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1709</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1676</v>
      </c>
      <c r="B61" s="459"/>
      <c r="C61" s="471" t="s">
        <v>1768</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1711</v>
      </c>
      <c r="B63" s="477" t="s">
        <v>1680</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1683</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1685</v>
      </c>
      <c r="B76" s="477" t="s">
        <v>1712</v>
      </c>
      <c r="C76" s="522" t="s">
        <v>1713</v>
      </c>
      <c r="D76" s="522" t="s">
        <v>1714</v>
      </c>
      <c r="E76" s="522" t="s">
        <v>1715</v>
      </c>
      <c r="F76" s="522" t="s">
        <v>1716</v>
      </c>
      <c r="G76" s="522" t="s">
        <v>1717</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1718</v>
      </c>
      <c r="C78" s="527" t="s">
        <v>1713</v>
      </c>
      <c r="D78" s="527" t="s">
        <v>1714</v>
      </c>
      <c r="E78" s="527" t="s">
        <v>1715</v>
      </c>
      <c r="F78" s="527" t="s">
        <v>1716</v>
      </c>
      <c r="G78" s="527" t="s">
        <v>1717</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1719</v>
      </c>
      <c r="C80" s="527" t="s">
        <v>1713</v>
      </c>
      <c r="D80" s="527" t="s">
        <v>1714</v>
      </c>
      <c r="E80" s="527" t="s">
        <v>1715</v>
      </c>
      <c r="F80" s="527" t="s">
        <v>1716</v>
      </c>
      <c r="G80" s="527" t="s">
        <v>1717</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1771</v>
      </c>
      <c r="C82" s="608" t="s">
        <v>1791</v>
      </c>
      <c r="D82" s="608" t="s">
        <v>1792</v>
      </c>
      <c r="E82" s="608" t="s">
        <v>1793</v>
      </c>
      <c r="F82" s="608" t="s">
        <v>1794</v>
      </c>
      <c r="G82" s="608" t="s">
        <v>1795</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1725</v>
      </c>
      <c r="C84" s="527" t="s">
        <v>1713</v>
      </c>
      <c r="D84" s="527" t="s">
        <v>1714</v>
      </c>
      <c r="E84" s="527" t="s">
        <v>1715</v>
      </c>
      <c r="F84" s="527" t="s">
        <v>1716</v>
      </c>
      <c r="G84" s="527" t="s">
        <v>1717</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1796</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1689</v>
      </c>
      <c r="B100" s="477" t="s">
        <v>1797</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1729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1730</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1732</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1186</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1734</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1798</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1799</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1800</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1801</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1736</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1737</v>
      </c>
      <c r="C124" s="527" t="s">
        <v>1713</v>
      </c>
      <c r="D124" s="527" t="s">
        <v>1714</v>
      </c>
      <c r="E124" s="527" t="s">
        <v>1715</v>
      </c>
      <c r="F124" s="527" t="s">
        <v>1716</v>
      </c>
      <c r="G124" s="527" t="s">
        <v>1717</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1802</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1459</v>
      </c>
      <c r="F2" s="1883"/>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f>IF(C2="——",C50,ROUND(B2*10000/D3,0))</f>
        <v>0</v>
      </c>
      <c r="C3" s="354" t="s">
        <v>1760</v>
      </c>
      <c r="D3" s="353">
        <f>IF(D1="",'数据-汇总表'!E3,SUMIF('数据-汇总表'!$C19:$C33,D1,'数据-汇总表'!$E19:$E33))</f>
        <v>85.3</v>
      </c>
      <c r="E3" s="1952"/>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73" t="s">
        <v>1767</v>
      </c>
      <c r="Q4" s="3874"/>
      <c r="R4" s="3868" t="s">
        <v>1763</v>
      </c>
      <c r="S4" s="3869"/>
      <c r="T4" s="3868" t="s">
        <v>1764</v>
      </c>
      <c r="U4" s="3869"/>
      <c r="V4" s="3877" t="s">
        <v>1765</v>
      </c>
      <c r="W4" s="3877"/>
      <c r="X4" s="1956"/>
      <c r="Y4" s="3868" t="s">
        <v>1767</v>
      </c>
      <c r="Z4" s="3869"/>
      <c r="AA4" s="3867" t="s">
        <v>1763</v>
      </c>
      <c r="AB4" s="3867" t="s">
        <v>1764</v>
      </c>
      <c r="AC4" s="3870" t="s">
        <v>1765</v>
      </c>
    </row>
    <row r="5" spans="1:29" ht="15">
      <c r="A5" s="358"/>
      <c r="B5" s="359"/>
      <c r="C5" s="3840" t="s">
        <v>1668</v>
      </c>
      <c r="D5" s="3837"/>
      <c r="E5" s="3838" t="s">
        <v>1669</v>
      </c>
      <c r="F5" s="3839"/>
      <c r="G5" s="3840" t="s">
        <v>1670</v>
      </c>
      <c r="H5" s="3837"/>
      <c r="I5" s="3840" t="s">
        <v>1671</v>
      </c>
      <c r="J5" s="3837"/>
      <c r="K5" s="559"/>
      <c r="L5" s="2712"/>
      <c r="M5" s="2713"/>
      <c r="N5" s="2713"/>
      <c r="O5" s="2713"/>
      <c r="P5" s="3875"/>
      <c r="Q5" s="3829"/>
      <c r="R5" s="3834"/>
      <c r="S5" s="3835"/>
      <c r="T5" s="3834"/>
      <c r="U5" s="3835"/>
      <c r="V5" s="3847"/>
      <c r="W5" s="3847"/>
      <c r="X5" s="1355"/>
      <c r="Y5" s="3834"/>
      <c r="Z5" s="3835"/>
      <c r="AA5" s="3820"/>
      <c r="AB5" s="3820"/>
      <c r="AC5" s="3871"/>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76"/>
      <c r="Q6" s="3831"/>
      <c r="R6" s="3834"/>
      <c r="S6" s="3835"/>
      <c r="T6" s="3845"/>
      <c r="U6" s="3846"/>
      <c r="V6" s="3847"/>
      <c r="W6" s="3847"/>
      <c r="X6" s="1355"/>
      <c r="Y6" s="3845"/>
      <c r="Z6" s="3846"/>
      <c r="AA6" s="3821"/>
      <c r="AB6" s="3821"/>
      <c r="AC6" s="3872"/>
    </row>
    <row r="7" spans="1:29" s="108" customFormat="1" ht="15.75" thickBot="1">
      <c r="A7" s="362" t="s">
        <v>1674</v>
      </c>
      <c r="B7" s="363"/>
      <c r="C7" s="364">
        <f>'数据-取费表'!B2</f>
        <v>44977</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7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1957"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78" t="s">
        <v>1678</v>
      </c>
      <c r="Q8" s="3850"/>
      <c r="R8" s="701" t="s">
        <v>14</v>
      </c>
      <c r="S8" s="702">
        <f t="shared" si="0"/>
        <v>100</v>
      </c>
      <c r="T8" s="701" t="s">
        <v>14</v>
      </c>
      <c r="U8" s="702">
        <f t="shared" si="1"/>
        <v>100</v>
      </c>
      <c r="V8" s="701" t="s">
        <v>14</v>
      </c>
      <c r="W8" s="702">
        <f t="shared" si="2"/>
        <v>100</v>
      </c>
      <c r="X8" s="703"/>
      <c r="Y8" s="3848" t="s">
        <v>1678</v>
      </c>
      <c r="Z8" s="3850"/>
      <c r="AA8" s="704">
        <f t="shared" ref="AA8:AA47" si="3">D8/F8</f>
        <v>1</v>
      </c>
      <c r="AB8" s="704">
        <f t="shared" ref="AB8:AB47" si="4">D8/H8</f>
        <v>1</v>
      </c>
      <c r="AC8" s="1957">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85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1957">
        <f t="shared" si="5"/>
        <v>1</v>
      </c>
    </row>
    <row r="10" spans="1:29" s="378" customFormat="1" ht="27">
      <c r="A10" s="374"/>
      <c r="B10" s="375" t="s">
        <v>1683</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85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1957">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851"/>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85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85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1957">
        <f t="shared" si="5"/>
        <v>1</v>
      </c>
    </row>
    <row r="14" spans="1:29" ht="15.75"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851"/>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1957">
        <f t="shared" si="5"/>
        <v>1</v>
      </c>
    </row>
    <row r="15" spans="1:29" ht="71.25">
      <c r="A15" s="391" t="s">
        <v>1685</v>
      </c>
      <c r="B15" s="577" t="s">
        <v>1803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852" t="s">
        <v>1686</v>
      </c>
      <c r="Q15" s="1352" t="str">
        <f t="shared" si="6"/>
        <v>办公集聚程度</v>
      </c>
      <c r="R15" s="705" t="s">
        <v>14</v>
      </c>
      <c r="S15" s="706">
        <f t="shared" si="0"/>
        <v>100</v>
      </c>
      <c r="T15" s="705" t="s">
        <v>14</v>
      </c>
      <c r="U15" s="706">
        <f t="shared" si="1"/>
        <v>100</v>
      </c>
      <c r="V15" s="705" t="s">
        <v>14</v>
      </c>
      <c r="W15" s="706">
        <f t="shared" si="2"/>
        <v>100</v>
      </c>
      <c r="X15" s="1355"/>
      <c r="Y15" s="3854" t="s">
        <v>1686</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19"/>
      <c r="M16" s="2713"/>
      <c r="N16" s="2713"/>
      <c r="O16" s="2713"/>
      <c r="P16" s="3853"/>
      <c r="Q16" s="1352"/>
      <c r="R16" s="705"/>
      <c r="S16" s="706"/>
      <c r="T16" s="705"/>
      <c r="U16" s="706"/>
      <c r="V16" s="705"/>
      <c r="W16" s="706"/>
      <c r="X16" s="1355"/>
      <c r="Y16" s="3855"/>
      <c r="Z16" s="1356"/>
      <c r="AA16" s="1353">
        <v>1</v>
      </c>
      <c r="AB16" s="1353">
        <v>1</v>
      </c>
      <c r="AC16" s="1960">
        <v>1</v>
      </c>
    </row>
    <row r="17" spans="1:29" ht="71.25">
      <c r="A17" s="379"/>
      <c r="B17" s="579" t="s">
        <v>1255</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853"/>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19"/>
      <c r="M18" s="2713"/>
      <c r="N18" s="2713"/>
      <c r="O18" s="2713"/>
      <c r="P18" s="3853"/>
      <c r="Q18" s="1352"/>
      <c r="R18" s="705"/>
      <c r="S18" s="706"/>
      <c r="T18" s="705"/>
      <c r="U18" s="706"/>
      <c r="V18" s="705"/>
      <c r="W18" s="706"/>
      <c r="X18" s="1355"/>
      <c r="Y18" s="3855"/>
      <c r="Z18" s="1356"/>
      <c r="AA18" s="1353">
        <v>1</v>
      </c>
      <c r="AB18" s="1353">
        <v>1</v>
      </c>
      <c r="AC18" s="1960">
        <v>1</v>
      </c>
    </row>
    <row r="19" spans="1:29" ht="42.75">
      <c r="A19" s="379"/>
      <c r="B19" s="579" t="s">
        <v>1804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853"/>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19"/>
      <c r="M20" s="2713"/>
      <c r="N20" s="2713"/>
      <c r="O20" s="2713"/>
      <c r="P20" s="3853"/>
      <c r="Q20" s="1352"/>
      <c r="R20" s="705"/>
      <c r="S20" s="706"/>
      <c r="T20" s="705"/>
      <c r="U20" s="706"/>
      <c r="V20" s="705"/>
      <c r="W20" s="706"/>
      <c r="X20" s="1355"/>
      <c r="Y20" s="3855"/>
      <c r="Z20" s="1356"/>
      <c r="AA20" s="1353">
        <v>1</v>
      </c>
      <c r="AB20" s="1353">
        <v>1</v>
      </c>
      <c r="AC20" s="1960">
        <v>1</v>
      </c>
    </row>
    <row r="21" spans="1:29" ht="28.5">
      <c r="A21" s="379"/>
      <c r="B21" s="581" t="s">
        <v>1805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853"/>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19"/>
      <c r="M22" s="2713"/>
      <c r="N22" s="2713"/>
      <c r="O22" s="2713"/>
      <c r="P22" s="3853"/>
      <c r="Q22" s="1352"/>
      <c r="R22" s="705"/>
      <c r="S22" s="706"/>
      <c r="T22" s="705"/>
      <c r="U22" s="706"/>
      <c r="V22" s="705"/>
      <c r="W22" s="706"/>
      <c r="X22" s="1355"/>
      <c r="Y22" s="3855"/>
      <c r="Z22" s="1356"/>
      <c r="AA22" s="1353">
        <v>1</v>
      </c>
      <c r="AB22" s="1353">
        <v>1</v>
      </c>
      <c r="AC22" s="1960">
        <v>1</v>
      </c>
    </row>
    <row r="23" spans="1:29" ht="42.75">
      <c r="A23" s="379"/>
      <c r="B23" s="579" t="s">
        <v>1806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853"/>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19"/>
      <c r="M24" s="2713"/>
      <c r="N24" s="2713"/>
      <c r="O24" s="2713"/>
      <c r="P24" s="3853"/>
      <c r="Q24" s="1352"/>
      <c r="R24" s="705"/>
      <c r="S24" s="706"/>
      <c r="T24" s="705"/>
      <c r="U24" s="706"/>
      <c r="V24" s="705"/>
      <c r="W24" s="706"/>
      <c r="X24" s="1355"/>
      <c r="Y24" s="3855"/>
      <c r="Z24" s="1356"/>
      <c r="AA24" s="1353">
        <v>1</v>
      </c>
      <c r="AB24" s="1353">
        <v>1</v>
      </c>
      <c r="AC24" s="1960">
        <v>1</v>
      </c>
    </row>
    <row r="25" spans="1:29" ht="27">
      <c r="A25" s="358"/>
      <c r="B25" s="579" t="s">
        <v>1807</v>
      </c>
      <c r="C25" s="1908"/>
      <c r="D25" s="386">
        <v>100</v>
      </c>
      <c r="E25" s="385"/>
      <c r="F25" s="386">
        <f>SUMIF(87:87,E26,88:88)-SUMIF(87:87,C26,88:88)+100</f>
        <v>100</v>
      </c>
      <c r="G25" s="1908"/>
      <c r="H25" s="386">
        <f>SUMIF(87:87,G26,88:88)-SUMIF(87:87,C26,88:88)+100</f>
        <v>100</v>
      </c>
      <c r="I25" s="385"/>
      <c r="J25" s="386">
        <f>SUMIF(87:87,I26,88:88)-SUMIF(87:87,C26,88:88)+100</f>
        <v>100</v>
      </c>
      <c r="K25" s="563"/>
      <c r="L25" s="2719"/>
      <c r="M25" s="2713"/>
      <c r="N25" s="2713"/>
      <c r="O25" s="2713"/>
      <c r="P25" s="3853"/>
      <c r="Q25" s="1352" t="str">
        <f>B25</f>
        <v>毗邻道路的类型与等级</v>
      </c>
      <c r="R25" s="705" t="s">
        <v>14</v>
      </c>
      <c r="S25" s="706">
        <f>F25</f>
        <v>100</v>
      </c>
      <c r="T25" s="705" t="s">
        <v>14</v>
      </c>
      <c r="U25" s="706">
        <f>H25</f>
        <v>100</v>
      </c>
      <c r="V25" s="705" t="s">
        <v>14</v>
      </c>
      <c r="W25" s="706">
        <f>J25</f>
        <v>100</v>
      </c>
      <c r="X25" s="1355"/>
      <c r="Y25" s="3855"/>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19"/>
      <c r="M26" s="2713"/>
      <c r="N26" s="2713"/>
      <c r="O26" s="2713"/>
      <c r="P26" s="3853"/>
      <c r="Q26" s="1352"/>
      <c r="R26" s="705"/>
      <c r="S26" s="706"/>
      <c r="T26" s="705"/>
      <c r="U26" s="706"/>
      <c r="V26" s="705"/>
      <c r="W26" s="706"/>
      <c r="X26" s="1355"/>
      <c r="Y26" s="3855"/>
      <c r="Z26" s="1356"/>
      <c r="AA26" s="1353">
        <v>1</v>
      </c>
      <c r="AB26" s="1353">
        <v>1</v>
      </c>
      <c r="AC26" s="1960">
        <v>1</v>
      </c>
    </row>
    <row r="27" spans="1:29" ht="15">
      <c r="A27" s="379"/>
      <c r="B27" s="580" t="s">
        <v>1775</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853"/>
      <c r="Q27" s="1352" t="str">
        <f t="shared" ref="Q27:Q47" si="11">B27</f>
        <v>楼层</v>
      </c>
      <c r="R27" s="705" t="s">
        <v>14</v>
      </c>
      <c r="S27" s="706">
        <f>F27</f>
        <v>100</v>
      </c>
      <c r="T27" s="705" t="s">
        <v>14</v>
      </c>
      <c r="U27" s="706">
        <f>H27</f>
        <v>100</v>
      </c>
      <c r="V27" s="705" t="s">
        <v>14</v>
      </c>
      <c r="W27" s="706">
        <f>J27</f>
        <v>100</v>
      </c>
      <c r="X27" s="1355"/>
      <c r="Y27" s="3855"/>
      <c r="Z27" s="1356" t="str">
        <f>Q27</f>
        <v>楼层</v>
      </c>
      <c r="AA27" s="1353">
        <f t="shared" si="3"/>
        <v>1</v>
      </c>
      <c r="AB27" s="1353">
        <f t="shared" si="4"/>
        <v>1</v>
      </c>
      <c r="AC27" s="1960">
        <f t="shared" si="5"/>
        <v>1</v>
      </c>
    </row>
    <row r="28" spans="1:29" s="108" customFormat="1" ht="15">
      <c r="A28" s="382"/>
      <c r="B28" s="579" t="s">
        <v>1808</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853"/>
      <c r="Q28" s="1343" t="str">
        <f t="shared" si="11"/>
        <v>朝向</v>
      </c>
      <c r="R28" s="701" t="s">
        <v>14</v>
      </c>
      <c r="S28" s="702">
        <f>F28</f>
        <v>100</v>
      </c>
      <c r="T28" s="701" t="s">
        <v>14</v>
      </c>
      <c r="U28" s="702">
        <f>H28</f>
        <v>100</v>
      </c>
      <c r="V28" s="701" t="s">
        <v>14</v>
      </c>
      <c r="W28" s="702">
        <f>J28</f>
        <v>100</v>
      </c>
      <c r="X28" s="703"/>
      <c r="Y28" s="3855"/>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853"/>
      <c r="Q29" s="1352">
        <f t="shared" si="11"/>
        <v>111</v>
      </c>
      <c r="R29" s="705" t="s">
        <v>14</v>
      </c>
      <c r="S29" s="706">
        <f t="shared" ref="S29:S47" si="12">F29</f>
        <v>100</v>
      </c>
      <c r="T29" s="705" t="s">
        <v>14</v>
      </c>
      <c r="U29" s="706">
        <f t="shared" ref="U29:U47" si="13">H29</f>
        <v>100</v>
      </c>
      <c r="V29" s="705" t="s">
        <v>14</v>
      </c>
      <c r="W29" s="706">
        <f t="shared" ref="W29:W47" si="14">J29</f>
        <v>100</v>
      </c>
      <c r="X29" s="1355"/>
      <c r="Y29" s="3855"/>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853"/>
      <c r="Q30" s="1352">
        <f t="shared" si="11"/>
        <v>111</v>
      </c>
      <c r="R30" s="705" t="s">
        <v>14</v>
      </c>
      <c r="S30" s="706">
        <f t="shared" si="12"/>
        <v>100</v>
      </c>
      <c r="T30" s="705" t="s">
        <v>14</v>
      </c>
      <c r="U30" s="706">
        <f t="shared" si="13"/>
        <v>100</v>
      </c>
      <c r="V30" s="705" t="s">
        <v>14</v>
      </c>
      <c r="W30" s="706">
        <f t="shared" si="14"/>
        <v>100</v>
      </c>
      <c r="X30" s="1355"/>
      <c r="Y30" s="3855"/>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853"/>
      <c r="Q31" s="1352">
        <f t="shared" si="11"/>
        <v>111</v>
      </c>
      <c r="R31" s="705" t="s">
        <v>14</v>
      </c>
      <c r="S31" s="706">
        <f t="shared" si="12"/>
        <v>100</v>
      </c>
      <c r="T31" s="705" t="s">
        <v>14</v>
      </c>
      <c r="U31" s="706">
        <f t="shared" si="13"/>
        <v>100</v>
      </c>
      <c r="V31" s="705" t="s">
        <v>14</v>
      </c>
      <c r="W31" s="706">
        <f t="shared" si="14"/>
        <v>100</v>
      </c>
      <c r="X31" s="1355"/>
      <c r="Y31" s="3855"/>
      <c r="Z31" s="1356">
        <f t="shared" si="15"/>
        <v>111</v>
      </c>
      <c r="AA31" s="1353">
        <f t="shared" si="3"/>
        <v>1</v>
      </c>
      <c r="AB31" s="1353">
        <f t="shared" si="4"/>
        <v>1</v>
      </c>
      <c r="AC31" s="1960">
        <f t="shared" si="5"/>
        <v>1</v>
      </c>
    </row>
    <row r="32" spans="1:29" ht="15.75"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853"/>
      <c r="Q32" s="1352">
        <f t="shared" si="11"/>
        <v>111</v>
      </c>
      <c r="R32" s="705" t="s">
        <v>14</v>
      </c>
      <c r="S32" s="706">
        <f t="shared" si="12"/>
        <v>100</v>
      </c>
      <c r="T32" s="705" t="s">
        <v>14</v>
      </c>
      <c r="U32" s="706">
        <f t="shared" si="13"/>
        <v>100</v>
      </c>
      <c r="V32" s="705" t="s">
        <v>14</v>
      </c>
      <c r="W32" s="706">
        <f t="shared" si="14"/>
        <v>100</v>
      </c>
      <c r="X32" s="1355"/>
      <c r="Y32" s="3855"/>
      <c r="Z32" s="1356">
        <f t="shared" si="15"/>
        <v>111</v>
      </c>
      <c r="AA32" s="1353">
        <f t="shared" si="3"/>
        <v>1</v>
      </c>
      <c r="AB32" s="1353">
        <f t="shared" si="4"/>
        <v>1</v>
      </c>
      <c r="AC32" s="1960">
        <f t="shared" si="5"/>
        <v>1</v>
      </c>
    </row>
    <row r="33" spans="1:29" ht="15">
      <c r="A33" s="391" t="s">
        <v>1689</v>
      </c>
      <c r="B33" s="63" t="s">
        <v>1809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856" t="s">
        <v>1691</v>
      </c>
      <c r="Q33" s="1352" t="str">
        <f t="shared" si="11"/>
        <v>建筑类型</v>
      </c>
      <c r="R33" s="705" t="s">
        <v>14</v>
      </c>
      <c r="S33" s="706">
        <f t="shared" si="12"/>
        <v>100</v>
      </c>
      <c r="T33" s="705" t="s">
        <v>14</v>
      </c>
      <c r="U33" s="706">
        <f t="shared" si="13"/>
        <v>100</v>
      </c>
      <c r="V33" s="705" t="s">
        <v>14</v>
      </c>
      <c r="W33" s="706">
        <f t="shared" si="14"/>
        <v>100</v>
      </c>
      <c r="X33" s="1355"/>
      <c r="Y33" s="3859" t="s">
        <v>1691</v>
      </c>
      <c r="Z33" s="1356" t="str">
        <f t="shared" si="15"/>
        <v>建筑类型</v>
      </c>
      <c r="AA33" s="1353">
        <f t="shared" si="3"/>
        <v>1</v>
      </c>
      <c r="AB33" s="1353">
        <f t="shared" si="4"/>
        <v>1</v>
      </c>
      <c r="AC33" s="1960">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857"/>
      <c r="Q34" s="707" t="str">
        <f t="shared" si="11"/>
        <v>项目建筑规模</v>
      </c>
      <c r="R34" s="708" t="s">
        <v>14</v>
      </c>
      <c r="S34" s="709" t="e">
        <f t="shared" si="12"/>
        <v>#N/A</v>
      </c>
      <c r="T34" s="708" t="s">
        <v>14</v>
      </c>
      <c r="U34" s="709" t="e">
        <f t="shared" si="13"/>
        <v>#N/A</v>
      </c>
      <c r="V34" s="708" t="s">
        <v>14</v>
      </c>
      <c r="W34" s="709" t="e">
        <f t="shared" si="14"/>
        <v>#N/A</v>
      </c>
      <c r="X34" s="710"/>
      <c r="Y34" s="3859"/>
      <c r="Z34" s="711" t="str">
        <f t="shared" si="15"/>
        <v>项目建筑规模</v>
      </c>
      <c r="AA34" s="1353" t="e">
        <f t="shared" si="3"/>
        <v>#N/A</v>
      </c>
      <c r="AB34" s="1353" t="e">
        <f t="shared" si="4"/>
        <v>#N/A</v>
      </c>
      <c r="AC34" s="1960"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857"/>
      <c r="Q35" s="1352" t="str">
        <f t="shared" si="11"/>
        <v>建筑结构</v>
      </c>
      <c r="R35" s="705" t="s">
        <v>14</v>
      </c>
      <c r="S35" s="706">
        <f t="shared" si="12"/>
        <v>100</v>
      </c>
      <c r="T35" s="705" t="s">
        <v>14</v>
      </c>
      <c r="U35" s="706">
        <f t="shared" si="13"/>
        <v>100</v>
      </c>
      <c r="V35" s="705" t="s">
        <v>14</v>
      </c>
      <c r="W35" s="706">
        <f t="shared" si="14"/>
        <v>100</v>
      </c>
      <c r="X35" s="1355"/>
      <c r="Y35" s="3859"/>
      <c r="Z35" s="1356" t="str">
        <f t="shared" si="15"/>
        <v>建筑结构</v>
      </c>
      <c r="AA35" s="1353">
        <f t="shared" si="3"/>
        <v>1</v>
      </c>
      <c r="AB35" s="1353">
        <f t="shared" si="4"/>
        <v>1</v>
      </c>
      <c r="AC35" s="1960">
        <f t="shared" si="5"/>
        <v>1</v>
      </c>
    </row>
    <row r="36" spans="1:29" ht="15">
      <c r="A36" s="423"/>
      <c r="B36" s="375" t="s">
        <v>1777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857"/>
      <c r="Q36" s="1352" t="str">
        <f t="shared" si="11"/>
        <v>公共部分装修</v>
      </c>
      <c r="R36" s="705" t="s">
        <v>14</v>
      </c>
      <c r="S36" s="706">
        <f t="shared" si="12"/>
        <v>100</v>
      </c>
      <c r="T36" s="705" t="s">
        <v>14</v>
      </c>
      <c r="U36" s="706">
        <f t="shared" si="13"/>
        <v>100</v>
      </c>
      <c r="V36" s="705" t="s">
        <v>14</v>
      </c>
      <c r="W36" s="706">
        <f t="shared" si="14"/>
        <v>100</v>
      </c>
      <c r="X36" s="1355"/>
      <c r="Y36" s="3859"/>
      <c r="Z36" s="1356" t="str">
        <f t="shared" si="15"/>
        <v>公共部分装修</v>
      </c>
      <c r="AA36" s="1353">
        <f t="shared" si="3"/>
        <v>1</v>
      </c>
      <c r="AB36" s="1353">
        <f t="shared" si="4"/>
        <v>1</v>
      </c>
      <c r="AC36" s="1960">
        <f t="shared" si="5"/>
        <v>1</v>
      </c>
    </row>
    <row r="37" spans="1:29" ht="15">
      <c r="A37" s="423"/>
      <c r="B37" s="375" t="s">
        <v>1778</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857"/>
      <c r="Q37" s="1352" t="str">
        <f t="shared" si="11"/>
        <v>成新度</v>
      </c>
      <c r="R37" s="705" t="s">
        <v>14</v>
      </c>
      <c r="S37" s="706" t="e">
        <f t="shared" si="12"/>
        <v>#N/A</v>
      </c>
      <c r="T37" s="705" t="s">
        <v>14</v>
      </c>
      <c r="U37" s="706" t="e">
        <f t="shared" si="13"/>
        <v>#N/A</v>
      </c>
      <c r="V37" s="705" t="s">
        <v>14</v>
      </c>
      <c r="W37" s="706" t="e">
        <f t="shared" si="14"/>
        <v>#N/A</v>
      </c>
      <c r="X37" s="1355"/>
      <c r="Y37" s="3859"/>
      <c r="Z37" s="1356" t="str">
        <f t="shared" si="15"/>
        <v>成新度</v>
      </c>
      <c r="AA37" s="1353" t="e">
        <f t="shared" si="3"/>
        <v>#N/A</v>
      </c>
      <c r="AB37" s="1353" t="e">
        <f t="shared" si="4"/>
        <v>#N/A</v>
      </c>
      <c r="AC37" s="1960" t="e">
        <f t="shared" si="5"/>
        <v>#N/A</v>
      </c>
    </row>
    <row r="38" spans="1:29" s="108" customFormat="1" ht="15">
      <c r="A38" s="424"/>
      <c r="B38" s="375" t="s">
        <v>1810</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857"/>
      <c r="Q38" s="1343" t="str">
        <f t="shared" si="11"/>
        <v>写字楼等级</v>
      </c>
      <c r="R38" s="701" t="s">
        <v>14</v>
      </c>
      <c r="S38" s="702">
        <f t="shared" si="12"/>
        <v>100</v>
      </c>
      <c r="T38" s="701" t="s">
        <v>14</v>
      </c>
      <c r="U38" s="702">
        <f t="shared" si="13"/>
        <v>100</v>
      </c>
      <c r="V38" s="701" t="s">
        <v>14</v>
      </c>
      <c r="W38" s="702">
        <f t="shared" si="14"/>
        <v>100</v>
      </c>
      <c r="X38" s="703"/>
      <c r="Y38" s="3859"/>
      <c r="Z38" s="52" t="str">
        <f t="shared" si="15"/>
        <v>写字楼等级</v>
      </c>
      <c r="AA38" s="704">
        <f t="shared" si="3"/>
        <v>1</v>
      </c>
      <c r="AB38" s="704">
        <f t="shared" si="4"/>
        <v>1</v>
      </c>
      <c r="AC38" s="1957">
        <f t="shared" si="5"/>
        <v>1</v>
      </c>
    </row>
    <row r="39" spans="1:29" ht="15">
      <c r="A39" s="423"/>
      <c r="B39" s="375" t="s">
        <v>1811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857" t="s">
        <v>1691</v>
      </c>
      <c r="Q39" s="1352" t="str">
        <f t="shared" si="11"/>
        <v>物业管理</v>
      </c>
      <c r="R39" s="705" t="s">
        <v>14</v>
      </c>
      <c r="S39" s="706">
        <f t="shared" si="12"/>
        <v>100</v>
      </c>
      <c r="T39" s="705" t="s">
        <v>14</v>
      </c>
      <c r="U39" s="706">
        <f t="shared" si="13"/>
        <v>100</v>
      </c>
      <c r="V39" s="705" t="s">
        <v>14</v>
      </c>
      <c r="W39" s="706">
        <f t="shared" si="14"/>
        <v>100</v>
      </c>
      <c r="X39" s="1355"/>
      <c r="Y39" s="3859" t="s">
        <v>1691</v>
      </c>
      <c r="Z39" s="1356" t="str">
        <f t="shared" si="15"/>
        <v>物业管理</v>
      </c>
      <c r="AA39" s="1353">
        <f t="shared" si="3"/>
        <v>1</v>
      </c>
      <c r="AB39" s="1353">
        <f t="shared" si="4"/>
        <v>1</v>
      </c>
      <c r="AC39" s="1960">
        <f t="shared" si="5"/>
        <v>1</v>
      </c>
    </row>
    <row r="40" spans="1:29" ht="15">
      <c r="A40" s="423"/>
      <c r="B40" s="375" t="s">
        <v>1779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857"/>
      <c r="Q40" s="1352" t="str">
        <f t="shared" si="11"/>
        <v>市政基础设施</v>
      </c>
      <c r="R40" s="705" t="s">
        <v>14</v>
      </c>
      <c r="S40" s="706">
        <f t="shared" si="12"/>
        <v>100</v>
      </c>
      <c r="T40" s="705" t="s">
        <v>14</v>
      </c>
      <c r="U40" s="706">
        <f t="shared" si="13"/>
        <v>100</v>
      </c>
      <c r="V40" s="705" t="s">
        <v>14</v>
      </c>
      <c r="W40" s="706">
        <f t="shared" si="14"/>
        <v>100</v>
      </c>
      <c r="X40" s="1355"/>
      <c r="Y40" s="3859"/>
      <c r="Z40" s="1356" t="str">
        <f t="shared" si="15"/>
        <v>市政基础设施</v>
      </c>
      <c r="AA40" s="1353">
        <f t="shared" si="3"/>
        <v>1</v>
      </c>
      <c r="AB40" s="1353">
        <f t="shared" si="4"/>
        <v>1</v>
      </c>
      <c r="AC40" s="1960">
        <f t="shared" si="5"/>
        <v>1</v>
      </c>
    </row>
    <row r="41" spans="1:29" ht="15">
      <c r="A41" s="423"/>
      <c r="B41" s="375" t="s">
        <v>1781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857"/>
      <c r="Q41" s="1352" t="str">
        <f t="shared" si="11"/>
        <v>层高</v>
      </c>
      <c r="R41" s="705" t="s">
        <v>14</v>
      </c>
      <c r="S41" s="706">
        <f t="shared" si="12"/>
        <v>100</v>
      </c>
      <c r="T41" s="705" t="s">
        <v>14</v>
      </c>
      <c r="U41" s="706">
        <f t="shared" si="13"/>
        <v>100</v>
      </c>
      <c r="V41" s="705" t="s">
        <v>14</v>
      </c>
      <c r="W41" s="706">
        <f t="shared" si="14"/>
        <v>100</v>
      </c>
      <c r="X41" s="1355"/>
      <c r="Y41" s="3859"/>
      <c r="Z41" s="1356" t="str">
        <f t="shared" si="15"/>
        <v>层高</v>
      </c>
      <c r="AA41" s="1353">
        <f t="shared" si="3"/>
        <v>1</v>
      </c>
      <c r="AB41" s="1353">
        <f t="shared" si="4"/>
        <v>1</v>
      </c>
      <c r="AC41" s="1960">
        <f t="shared" si="5"/>
        <v>1</v>
      </c>
    </row>
    <row r="42" spans="1:29" s="422" customFormat="1" ht="15">
      <c r="A42" s="419"/>
      <c r="B42" s="1354" t="s">
        <v>1812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857"/>
      <c r="Q42" s="707" t="str">
        <f t="shared" si="11"/>
        <v>单套建筑面积</v>
      </c>
      <c r="R42" s="708" t="s">
        <v>14</v>
      </c>
      <c r="S42" s="709">
        <f t="shared" si="12"/>
        <v>100</v>
      </c>
      <c r="T42" s="708" t="s">
        <v>14</v>
      </c>
      <c r="U42" s="709">
        <f t="shared" si="13"/>
        <v>100</v>
      </c>
      <c r="V42" s="708" t="s">
        <v>14</v>
      </c>
      <c r="W42" s="709">
        <f t="shared" si="14"/>
        <v>100</v>
      </c>
      <c r="X42" s="710"/>
      <c r="Y42" s="3859"/>
      <c r="Z42" s="711" t="str">
        <f t="shared" si="15"/>
        <v>单套建筑面积</v>
      </c>
      <c r="AA42" s="1353">
        <f t="shared" si="3"/>
        <v>1</v>
      </c>
      <c r="AB42" s="1353">
        <f t="shared" si="4"/>
        <v>1</v>
      </c>
      <c r="AC42" s="1960">
        <f t="shared" si="5"/>
        <v>1</v>
      </c>
    </row>
    <row r="43" spans="1:29" ht="15">
      <c r="A43" s="423"/>
      <c r="B43" s="375" t="s">
        <v>1784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857"/>
      <c r="Q43" s="1352" t="str">
        <f t="shared" si="11"/>
        <v>内部装修</v>
      </c>
      <c r="R43" s="705" t="s">
        <v>14</v>
      </c>
      <c r="S43" s="706">
        <f t="shared" si="12"/>
        <v>100</v>
      </c>
      <c r="T43" s="705" t="s">
        <v>14</v>
      </c>
      <c r="U43" s="706">
        <f t="shared" si="13"/>
        <v>100</v>
      </c>
      <c r="V43" s="705" t="s">
        <v>14</v>
      </c>
      <c r="W43" s="706">
        <f t="shared" si="14"/>
        <v>100</v>
      </c>
      <c r="X43" s="1355"/>
      <c r="Y43" s="3859"/>
      <c r="Z43" s="1356" t="str">
        <f t="shared" si="15"/>
        <v>内部装修</v>
      </c>
      <c r="AA43" s="1353">
        <f t="shared" si="3"/>
        <v>1</v>
      </c>
      <c r="AB43" s="1353">
        <f t="shared" si="4"/>
        <v>1</v>
      </c>
      <c r="AC43" s="1960">
        <f t="shared" si="5"/>
        <v>1</v>
      </c>
    </row>
    <row r="44" spans="1:29" ht="15">
      <c r="A44" s="423"/>
      <c r="B44" s="375" t="s">
        <v>1702</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19"/>
      <c r="M44" s="2713"/>
      <c r="N44" s="2713"/>
      <c r="O44" s="2713"/>
      <c r="P44" s="3857"/>
      <c r="Q44" s="1352" t="str">
        <f t="shared" si="11"/>
        <v>内部装修维护情况</v>
      </c>
      <c r="R44" s="705" t="s">
        <v>14</v>
      </c>
      <c r="S44" s="706">
        <f t="shared" si="12"/>
        <v>100</v>
      </c>
      <c r="T44" s="705" t="s">
        <v>14</v>
      </c>
      <c r="U44" s="706">
        <f t="shared" si="13"/>
        <v>100</v>
      </c>
      <c r="V44" s="705" t="s">
        <v>14</v>
      </c>
      <c r="W44" s="706">
        <f t="shared" si="14"/>
        <v>100</v>
      </c>
      <c r="X44" s="1355"/>
      <c r="Y44" s="3859"/>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857"/>
      <c r="Q45" s="1343">
        <f t="shared" si="11"/>
        <v>111</v>
      </c>
      <c r="R45" s="701" t="s">
        <v>14</v>
      </c>
      <c r="S45" s="702">
        <f t="shared" si="12"/>
        <v>100</v>
      </c>
      <c r="T45" s="701" t="s">
        <v>14</v>
      </c>
      <c r="U45" s="702">
        <f t="shared" si="13"/>
        <v>100</v>
      </c>
      <c r="V45" s="701" t="s">
        <v>14</v>
      </c>
      <c r="W45" s="702">
        <f t="shared" si="14"/>
        <v>100</v>
      </c>
      <c r="X45" s="703"/>
      <c r="Y45" s="3859"/>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857"/>
      <c r="Q46" s="1352">
        <f t="shared" si="11"/>
        <v>111</v>
      </c>
      <c r="R46" s="705" t="s">
        <v>14</v>
      </c>
      <c r="S46" s="706">
        <f t="shared" si="12"/>
        <v>100</v>
      </c>
      <c r="T46" s="705" t="s">
        <v>14</v>
      </c>
      <c r="U46" s="706">
        <f t="shared" si="13"/>
        <v>100</v>
      </c>
      <c r="V46" s="705" t="s">
        <v>14</v>
      </c>
      <c r="W46" s="706">
        <f t="shared" si="14"/>
        <v>100</v>
      </c>
      <c r="X46" s="1355"/>
      <c r="Y46" s="3859"/>
      <c r="Z46" s="1356">
        <f t="shared" si="15"/>
        <v>111</v>
      </c>
      <c r="AA46" s="1353">
        <f t="shared" si="3"/>
        <v>1</v>
      </c>
      <c r="AB46" s="1353">
        <f t="shared" si="4"/>
        <v>1</v>
      </c>
      <c r="AC46" s="1960">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858"/>
      <c r="Q47" s="1352">
        <f t="shared" si="11"/>
        <v>111</v>
      </c>
      <c r="R47" s="705" t="s">
        <v>14</v>
      </c>
      <c r="S47" s="706">
        <f t="shared" si="12"/>
        <v>100</v>
      </c>
      <c r="T47" s="705" t="s">
        <v>14</v>
      </c>
      <c r="U47" s="706">
        <f t="shared" si="13"/>
        <v>100</v>
      </c>
      <c r="V47" s="705" t="s">
        <v>14</v>
      </c>
      <c r="W47" s="706">
        <f t="shared" si="14"/>
        <v>100</v>
      </c>
      <c r="X47" s="1355"/>
      <c r="Y47" s="3860"/>
      <c r="Z47" s="1356">
        <f t="shared" si="15"/>
        <v>111</v>
      </c>
      <c r="AA47" s="1353">
        <f t="shared" si="3"/>
        <v>1</v>
      </c>
      <c r="AB47" s="1353">
        <f t="shared" si="4"/>
        <v>1</v>
      </c>
      <c r="AC47" s="1960">
        <f t="shared" si="5"/>
        <v>1</v>
      </c>
    </row>
    <row r="48" spans="1:29" ht="15">
      <c r="A48" s="430" t="s">
        <v>1703</v>
      </c>
      <c r="B48" s="431"/>
      <c r="C48" s="1154" t="s">
        <v>0</v>
      </c>
      <c r="D48" s="1155"/>
      <c r="E48" s="1156"/>
      <c r="F48" s="1157"/>
      <c r="G48" s="1158"/>
      <c r="H48" s="1159"/>
      <c r="I48" s="1156"/>
      <c r="J48" s="436"/>
      <c r="K48" s="714"/>
      <c r="L48" s="2721"/>
      <c r="M48" s="2713"/>
      <c r="N48" s="2713"/>
      <c r="O48" s="2713"/>
      <c r="P48" s="3851" t="str">
        <f>A48</f>
        <v>成交单价（元/平方米）</v>
      </c>
      <c r="Q48" s="3861"/>
      <c r="R48" s="3862">
        <f>E48</f>
        <v>0</v>
      </c>
      <c r="S48" s="3862"/>
      <c r="T48" s="3862">
        <f>G48</f>
        <v>0</v>
      </c>
      <c r="U48" s="3862"/>
      <c r="V48" s="3862">
        <f>I48</f>
        <v>0</v>
      </c>
      <c r="W48" s="3862"/>
      <c r="X48" s="397"/>
      <c r="Y48" s="712"/>
      <c r="Z48" s="397"/>
      <c r="AA48" s="397"/>
      <c r="AB48" s="397"/>
      <c r="AC48" s="578"/>
    </row>
    <row r="49" spans="1:29" ht="15.75" thickBot="1">
      <c r="A49" s="437" t="s">
        <v>1785</v>
      </c>
      <c r="B49" s="438"/>
      <c r="C49" s="1160" t="e">
        <f>R50</f>
        <v>#DIV/0!</v>
      </c>
      <c r="D49" s="2315" t="s">
        <v>2130</v>
      </c>
      <c r="E49" s="1161" t="e">
        <f>R49</f>
        <v>#DIV/0!</v>
      </c>
      <c r="F49" s="2316"/>
      <c r="G49" s="1160" t="e">
        <f>T49</f>
        <v>#DIV/0!</v>
      </c>
      <c r="H49" s="2316"/>
      <c r="I49" s="1161" t="e">
        <f>V49</f>
        <v>#DIV/0!</v>
      </c>
      <c r="J49" s="2316"/>
      <c r="K49" s="2318">
        <f>F49+H49+J49</f>
        <v>0</v>
      </c>
      <c r="L49" s="2721"/>
      <c r="M49" s="2713"/>
      <c r="N49" s="2713"/>
      <c r="O49" s="2713"/>
      <c r="P49" s="3851" t="str">
        <f>A49</f>
        <v>比较价值（元/平方米）</v>
      </c>
      <c r="Q49" s="3861"/>
      <c r="R49" s="3862" t="e">
        <f>IF(F1="售价",ROUND(PRODUCT(R48,AA7:AA47),0),ROUND(PRODUCT(R48,AA7:AA47),1))</f>
        <v>#DIV/0!</v>
      </c>
      <c r="S49" s="3862"/>
      <c r="T49" s="3862" t="e">
        <f>IF(F1="售价",ROUND(PRODUCT(T48,AB7:AB47),0),ROUND(PRODUCT(T48,AB7:AB47),1))</f>
        <v>#DIV/0!</v>
      </c>
      <c r="U49" s="3862"/>
      <c r="V49" s="3862" t="e">
        <f>IF(F1="售价",ROUND(PRODUCT(V48,AC7:AC47),0),ROUND(PRODUCT(V48,AC7:AC47),1))</f>
        <v>#DIV/0!</v>
      </c>
      <c r="W49" s="3862"/>
      <c r="X49" s="397"/>
      <c r="Y49" s="397"/>
      <c r="Z49" s="397"/>
      <c r="AA49" s="397"/>
      <c r="AB49" s="397"/>
      <c r="AC49" s="578"/>
    </row>
    <row r="50" spans="1:29" ht="15.75" thickBot="1">
      <c r="A50" s="441" t="s">
        <v>1786</v>
      </c>
      <c r="B50" s="442"/>
      <c r="C50" s="1163" t="e">
        <f>R50</f>
        <v>#DIV/0!</v>
      </c>
      <c r="D50" s="1163"/>
      <c r="E50" s="1163"/>
      <c r="F50" s="1163"/>
      <c r="G50" s="1163"/>
      <c r="H50" s="1163"/>
      <c r="I50" s="1163"/>
      <c r="J50" s="443"/>
      <c r="K50" s="715"/>
      <c r="L50" s="2721"/>
      <c r="M50" s="2713"/>
      <c r="N50" s="2713"/>
      <c r="O50" s="2713"/>
      <c r="P50" s="3879" t="str">
        <f>A50</f>
        <v>估价对象XX用房的比较价值（楼面单价，元/平方米）</v>
      </c>
      <c r="Q50" s="3880"/>
      <c r="R50" s="3881" t="e">
        <f>IF(F1="售价",ROUND(IF(D49="简单平均",AVERAGE(R49:V49),R49*F49+T49*H49+V49*J49),0),ROUND(IF(D49="简单平均",AVERAGE(R49:V49),R49*F49+T49*H49+V49*J49),1))</f>
        <v>#DIV/0!</v>
      </c>
      <c r="S50" s="3881"/>
      <c r="T50" s="3881"/>
      <c r="U50" s="3881"/>
      <c r="V50" s="3881"/>
      <c r="W50" s="3881"/>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1787</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1788</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1789</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1790</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1674</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1709</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1676</v>
      </c>
      <c r="B62" s="459"/>
      <c r="C62" s="471" t="s">
        <v>1768</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1711</v>
      </c>
      <c r="B64" s="477" t="s">
        <v>1680</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1683</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1685</v>
      </c>
      <c r="B77" s="477" t="s">
        <v>1813</v>
      </c>
      <c r="C77" s="522" t="s">
        <v>1713</v>
      </c>
      <c r="D77" s="522" t="s">
        <v>1714</v>
      </c>
      <c r="E77" s="522" t="s">
        <v>1715</v>
      </c>
      <c r="F77" s="522" t="s">
        <v>1716</v>
      </c>
      <c r="G77" s="522" t="s">
        <v>1717</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1718</v>
      </c>
      <c r="C79" s="527" t="s">
        <v>1713</v>
      </c>
      <c r="D79" s="527" t="s">
        <v>1714</v>
      </c>
      <c r="E79" s="527" t="s">
        <v>1715</v>
      </c>
      <c r="F79" s="527" t="s">
        <v>1716</v>
      </c>
      <c r="G79" s="527" t="s">
        <v>1717</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1719</v>
      </c>
      <c r="C81" s="527" t="s">
        <v>1713</v>
      </c>
      <c r="D81" s="527" t="s">
        <v>1714</v>
      </c>
      <c r="E81" s="527" t="s">
        <v>1715</v>
      </c>
      <c r="F81" s="527" t="s">
        <v>1716</v>
      </c>
      <c r="G81" s="527" t="s">
        <v>1717</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1805</v>
      </c>
      <c r="C83" s="608" t="s">
        <v>1791</v>
      </c>
      <c r="D83" s="608" t="s">
        <v>1792</v>
      </c>
      <c r="E83" s="608" t="s">
        <v>1793</v>
      </c>
      <c r="F83" s="608" t="s">
        <v>1794</v>
      </c>
      <c r="G83" s="608" t="s">
        <v>1795</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1814</v>
      </c>
      <c r="C85" s="527" t="s">
        <v>1713</v>
      </c>
      <c r="D85" s="527" t="s">
        <v>1714</v>
      </c>
      <c r="E85" s="527" t="s">
        <v>1715</v>
      </c>
      <c r="F85" s="527" t="s">
        <v>1716</v>
      </c>
      <c r="G85" s="527" t="s">
        <v>1717</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1815</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1689</v>
      </c>
      <c r="B101" s="477" t="s">
        <v>1728</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1729</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1730</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1732</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1186</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1816</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1733</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1734</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1817</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1800</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1736</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1737</v>
      </c>
      <c r="C125" s="527" t="s">
        <v>1713</v>
      </c>
      <c r="D125" s="527" t="s">
        <v>1714</v>
      </c>
      <c r="E125" s="527" t="s">
        <v>1715</v>
      </c>
      <c r="F125" s="527" t="s">
        <v>1716</v>
      </c>
      <c r="G125" s="527" t="s">
        <v>1717</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1656</v>
      </c>
      <c r="B1" s="1955" t="s">
        <v>1818</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1460</v>
      </c>
      <c r="B3" s="558">
        <f>IF(C2="——",C43,ROUND(B2*10000/D3,0))</f>
        <v>0</v>
      </c>
      <c r="C3" s="354" t="s">
        <v>1760</v>
      </c>
      <c r="D3" s="353">
        <f>IF(D1="",'数据-汇总表'!E3,SUMIF('数据-汇总表'!$C19:$C33,D1,'数据-汇总表'!$E19:$E33))</f>
        <v>85.3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913"/>
      <c r="M4" s="914"/>
      <c r="N4" s="914"/>
      <c r="O4" s="914"/>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913"/>
      <c r="M5" s="914"/>
      <c r="N5" s="914"/>
      <c r="O5" s="914"/>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913"/>
      <c r="M6" s="914"/>
      <c r="N6" s="914"/>
      <c r="O6" s="914"/>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SUMIF(52:52,YEAR(E7)&amp;"-"&amp;MONTH(E7),53:53)</f>
        <v>0</v>
      </c>
      <c r="G7" s="366"/>
      <c r="H7" s="365">
        <f>SUMIF(52:52,YEAR(G7)&amp;"-"&amp;MONTH(G7),53:53)</f>
        <v>0</v>
      </c>
      <c r="I7" s="366"/>
      <c r="J7" s="365">
        <f>SUMIF(52:52,YEAR(I7)&amp;"-"&amp;MONTH(I7),53:53)</f>
        <v>0</v>
      </c>
      <c r="K7" s="560"/>
      <c r="L7" s="915"/>
      <c r="M7" s="916"/>
      <c r="N7" s="916"/>
      <c r="O7" s="916"/>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48" t="s">
        <v>1678</v>
      </c>
      <c r="Q8" s="3850"/>
      <c r="R8" s="701" t="s">
        <v>14</v>
      </c>
      <c r="S8" s="702">
        <f t="shared" si="0"/>
        <v>100</v>
      </c>
      <c r="T8" s="701" t="s">
        <v>14</v>
      </c>
      <c r="U8" s="702">
        <f t="shared" si="1"/>
        <v>100</v>
      </c>
      <c r="V8" s="701" t="s">
        <v>14</v>
      </c>
      <c r="W8" s="702">
        <f t="shared" si="2"/>
        <v>100</v>
      </c>
      <c r="X8" s="703"/>
      <c r="Y8" s="3848" t="s">
        <v>1678</v>
      </c>
      <c r="Z8" s="3850"/>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86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1"/>
      <c r="Q11" s="1343" t="str">
        <f t="shared" si="6"/>
        <v>容积率</v>
      </c>
      <c r="R11" s="701" t="s">
        <v>14</v>
      </c>
      <c r="S11" s="702">
        <f t="shared" si="0"/>
        <v>100</v>
      </c>
      <c r="T11" s="701" t="s">
        <v>14</v>
      </c>
      <c r="U11" s="702">
        <f t="shared" si="1"/>
        <v>100</v>
      </c>
      <c r="V11" s="701" t="s">
        <v>14</v>
      </c>
      <c r="W11" s="702">
        <f t="shared" si="2"/>
        <v>100</v>
      </c>
      <c r="X11" s="703"/>
      <c r="Y11" s="37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86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861"/>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1685</v>
      </c>
      <c r="B15" s="61" t="s">
        <v>1819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55"/>
      <c r="Q16" s="1352"/>
      <c r="R16" s="705"/>
      <c r="S16" s="706"/>
      <c r="T16" s="705"/>
      <c r="U16" s="706"/>
      <c r="V16" s="705"/>
      <c r="W16" s="706"/>
      <c r="X16" s="1355"/>
      <c r="Y16" s="3855"/>
      <c r="Z16" s="1356"/>
      <c r="AA16" s="1353">
        <v>1</v>
      </c>
      <c r="AB16" s="1353">
        <v>1</v>
      </c>
      <c r="AC16" s="1353">
        <v>1</v>
      </c>
    </row>
    <row r="17" spans="1:29" ht="85.5">
      <c r="A17" s="379"/>
      <c r="B17" s="402" t="s">
        <v>1255</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55"/>
      <c r="Q18" s="1352"/>
      <c r="R18" s="705"/>
      <c r="S18" s="706"/>
      <c r="T18" s="705"/>
      <c r="U18" s="706"/>
      <c r="V18" s="705"/>
      <c r="W18" s="706"/>
      <c r="X18" s="1355"/>
      <c r="Y18" s="3855"/>
      <c r="Z18" s="1356"/>
      <c r="AA18" s="1353">
        <v>1</v>
      </c>
      <c r="AB18" s="1353">
        <v>1</v>
      </c>
      <c r="AC18" s="1353">
        <v>1</v>
      </c>
    </row>
    <row r="19" spans="1:29" ht="42.75">
      <c r="A19" s="379"/>
      <c r="B19" s="402" t="s">
        <v>1804</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55"/>
      <c r="Q19" s="1352" t="str">
        <f>B19</f>
        <v>公共配套设施</v>
      </c>
      <c r="R19" s="705" t="s">
        <v>14</v>
      </c>
      <c r="S19" s="706">
        <f>F19</f>
        <v>100</v>
      </c>
      <c r="T19" s="705" t="s">
        <v>14</v>
      </c>
      <c r="U19" s="706">
        <f>H19</f>
        <v>100</v>
      </c>
      <c r="V19" s="705" t="s">
        <v>14</v>
      </c>
      <c r="W19" s="706">
        <f>J19</f>
        <v>100</v>
      </c>
      <c r="X19" s="1355"/>
      <c r="Y19" s="38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55"/>
      <c r="Q20" s="1352"/>
      <c r="R20" s="705"/>
      <c r="S20" s="706"/>
      <c r="T20" s="705"/>
      <c r="U20" s="706"/>
      <c r="V20" s="705"/>
      <c r="W20" s="706"/>
      <c r="X20" s="1355"/>
      <c r="Y20" s="3855"/>
      <c r="Z20" s="1356"/>
      <c r="AA20" s="1353">
        <v>1</v>
      </c>
      <c r="AB20" s="1353">
        <v>1</v>
      </c>
      <c r="AC20" s="1353">
        <v>1</v>
      </c>
    </row>
    <row r="21" spans="1:29" ht="28.5">
      <c r="A21" s="379"/>
      <c r="B21" s="1131" t="s">
        <v>1805</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55"/>
      <c r="Q21" s="1352" t="str">
        <f>B21</f>
        <v>基础设施水平</v>
      </c>
      <c r="R21" s="705" t="s">
        <v>14</v>
      </c>
      <c r="S21" s="706">
        <f>F21</f>
        <v>100</v>
      </c>
      <c r="T21" s="705" t="s">
        <v>14</v>
      </c>
      <c r="U21" s="706">
        <f>H21</f>
        <v>100</v>
      </c>
      <c r="V21" s="705" t="s">
        <v>14</v>
      </c>
      <c r="W21" s="706">
        <f>J21</f>
        <v>100</v>
      </c>
      <c r="X21" s="1355"/>
      <c r="Y21" s="38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55"/>
      <c r="Q22" s="1352"/>
      <c r="R22" s="705"/>
      <c r="S22" s="706"/>
      <c r="T22" s="705"/>
      <c r="U22" s="706"/>
      <c r="V22" s="705"/>
      <c r="W22" s="706"/>
      <c r="X22" s="1355"/>
      <c r="Y22" s="3855"/>
      <c r="Z22" s="1356"/>
      <c r="AA22" s="1353">
        <v>1</v>
      </c>
      <c r="AB22" s="1353">
        <v>1</v>
      </c>
      <c r="AC22" s="1353">
        <v>1</v>
      </c>
    </row>
    <row r="23" spans="1:29" ht="71.25">
      <c r="A23" s="379"/>
      <c r="B23" s="402" t="s">
        <v>1806</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55"/>
      <c r="Q23" s="1352" t="str">
        <f>B23</f>
        <v>环境质量</v>
      </c>
      <c r="R23" s="705" t="s">
        <v>14</v>
      </c>
      <c r="S23" s="706">
        <f>F23</f>
        <v>100</v>
      </c>
      <c r="T23" s="705" t="s">
        <v>14</v>
      </c>
      <c r="U23" s="706">
        <f>H23</f>
        <v>100</v>
      </c>
      <c r="V23" s="705" t="s">
        <v>14</v>
      </c>
      <c r="W23" s="706">
        <f>J23</f>
        <v>100</v>
      </c>
      <c r="X23" s="1355"/>
      <c r="Y23" s="38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55"/>
      <c r="Q24" s="1352"/>
      <c r="R24" s="705"/>
      <c r="S24" s="706"/>
      <c r="T24" s="705"/>
      <c r="U24" s="706"/>
      <c r="V24" s="705"/>
      <c r="W24" s="706"/>
      <c r="X24" s="1355"/>
      <c r="Y24" s="38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55"/>
      <c r="Q25" s="1352">
        <f>B25</f>
        <v>111</v>
      </c>
      <c r="R25" s="705" t="s">
        <v>14</v>
      </c>
      <c r="S25" s="706">
        <f>F25</f>
        <v>100</v>
      </c>
      <c r="T25" s="705" t="s">
        <v>14</v>
      </c>
      <c r="U25" s="706">
        <f>H25</f>
        <v>100</v>
      </c>
      <c r="V25" s="705" t="s">
        <v>14</v>
      </c>
      <c r="W25" s="706">
        <f>J25</f>
        <v>100</v>
      </c>
      <c r="X25" s="1355"/>
      <c r="Y25" s="38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55"/>
      <c r="Q26" s="1352">
        <f t="shared" ref="Q26:Q40" si="11">B26</f>
        <v>111</v>
      </c>
      <c r="R26" s="705" t="s">
        <v>14</v>
      </c>
      <c r="S26" s="706">
        <f>F26</f>
        <v>100</v>
      </c>
      <c r="T26" s="705" t="s">
        <v>14</v>
      </c>
      <c r="U26" s="706">
        <f>H26</f>
        <v>100</v>
      </c>
      <c r="V26" s="705" t="s">
        <v>14</v>
      </c>
      <c r="W26" s="706">
        <f>J26</f>
        <v>100</v>
      </c>
      <c r="X26" s="1355"/>
      <c r="Y26" s="38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55"/>
      <c r="Q27" s="1343">
        <f t="shared" si="11"/>
        <v>111</v>
      </c>
      <c r="R27" s="701" t="s">
        <v>14</v>
      </c>
      <c r="S27" s="702">
        <f>F27</f>
        <v>100</v>
      </c>
      <c r="T27" s="701" t="s">
        <v>14</v>
      </c>
      <c r="U27" s="702">
        <f>H27</f>
        <v>100</v>
      </c>
      <c r="V27" s="701" t="s">
        <v>14</v>
      </c>
      <c r="W27" s="702">
        <f>J27</f>
        <v>100</v>
      </c>
      <c r="X27" s="703"/>
      <c r="Y27" s="385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55"/>
      <c r="Q28" s="1352">
        <f t="shared" si="11"/>
        <v>111</v>
      </c>
      <c r="R28" s="705" t="s">
        <v>14</v>
      </c>
      <c r="S28" s="706">
        <f t="shared" ref="S28:S40" si="12">F28</f>
        <v>100</v>
      </c>
      <c r="T28" s="705" t="s">
        <v>14</v>
      </c>
      <c r="U28" s="706">
        <f t="shared" ref="U28:U40" si="13">H28</f>
        <v>100</v>
      </c>
      <c r="V28" s="705" t="s">
        <v>14</v>
      </c>
      <c r="W28" s="706">
        <f t="shared" ref="W28:W40" si="14">J28</f>
        <v>100</v>
      </c>
      <c r="X28" s="1355"/>
      <c r="Y28" s="3855"/>
      <c r="Z28" s="1356">
        <f t="shared" ref="Z28:Z40" si="15">Q28</f>
        <v>111</v>
      </c>
      <c r="AA28" s="1353">
        <f t="shared" si="3"/>
        <v>1</v>
      </c>
      <c r="AB28" s="1353">
        <f t="shared" si="4"/>
        <v>1</v>
      </c>
      <c r="AC28" s="1353">
        <f t="shared" si="5"/>
        <v>1</v>
      </c>
    </row>
    <row r="29" spans="1:29" ht="28.5">
      <c r="A29" s="417" t="s">
        <v>1689</v>
      </c>
      <c r="B29" s="63" t="s">
        <v>1809</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882" t="s">
        <v>1691</v>
      </c>
      <c r="Q29" s="1352" t="str">
        <f t="shared" si="11"/>
        <v>建筑类型</v>
      </c>
      <c r="R29" s="705" t="s">
        <v>14</v>
      </c>
      <c r="S29" s="706">
        <f t="shared" si="12"/>
        <v>100</v>
      </c>
      <c r="T29" s="705" t="s">
        <v>14</v>
      </c>
      <c r="U29" s="706">
        <f t="shared" si="13"/>
        <v>100</v>
      </c>
      <c r="V29" s="705" t="s">
        <v>14</v>
      </c>
      <c r="W29" s="706">
        <f t="shared" si="14"/>
        <v>100</v>
      </c>
      <c r="X29" s="1355"/>
      <c r="Y29" s="3859"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59"/>
      <c r="Q30" s="707" t="str">
        <f t="shared" si="11"/>
        <v>项目建筑规模</v>
      </c>
      <c r="R30" s="708" t="s">
        <v>14</v>
      </c>
      <c r="S30" s="709" t="e">
        <f t="shared" si="12"/>
        <v>#N/A</v>
      </c>
      <c r="T30" s="708" t="s">
        <v>14</v>
      </c>
      <c r="U30" s="709" t="e">
        <f t="shared" si="13"/>
        <v>#N/A</v>
      </c>
      <c r="V30" s="708" t="s">
        <v>14</v>
      </c>
      <c r="W30" s="709" t="e">
        <f t="shared" si="14"/>
        <v>#N/A</v>
      </c>
      <c r="X30" s="710"/>
      <c r="Y30" s="3859"/>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59"/>
      <c r="Q31" s="1352" t="str">
        <f t="shared" si="11"/>
        <v>建筑结构</v>
      </c>
      <c r="R31" s="705" t="s">
        <v>14</v>
      </c>
      <c r="S31" s="706">
        <f t="shared" si="12"/>
        <v>100</v>
      </c>
      <c r="T31" s="705" t="s">
        <v>14</v>
      </c>
      <c r="U31" s="706">
        <f t="shared" si="13"/>
        <v>100</v>
      </c>
      <c r="V31" s="705" t="s">
        <v>14</v>
      </c>
      <c r="W31" s="706">
        <f t="shared" si="14"/>
        <v>100</v>
      </c>
      <c r="X31" s="1355"/>
      <c r="Y31" s="3859"/>
      <c r="Z31" s="1356" t="str">
        <f t="shared" si="15"/>
        <v>建筑结构</v>
      </c>
      <c r="AA31" s="1353">
        <f t="shared" si="3"/>
        <v>1</v>
      </c>
      <c r="AB31" s="1353">
        <f t="shared" si="4"/>
        <v>1</v>
      </c>
      <c r="AC31" s="1353">
        <f t="shared" si="5"/>
        <v>1</v>
      </c>
    </row>
    <row r="32" spans="1:29" ht="15">
      <c r="A32" s="423"/>
      <c r="B32" s="375" t="s">
        <v>1777</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59"/>
      <c r="Q32" s="1352" t="str">
        <f t="shared" si="11"/>
        <v>公共部分装修</v>
      </c>
      <c r="R32" s="705" t="s">
        <v>14</v>
      </c>
      <c r="S32" s="706">
        <f t="shared" si="12"/>
        <v>100</v>
      </c>
      <c r="T32" s="705" t="s">
        <v>14</v>
      </c>
      <c r="U32" s="706">
        <f t="shared" si="13"/>
        <v>100</v>
      </c>
      <c r="V32" s="705" t="s">
        <v>14</v>
      </c>
      <c r="W32" s="706">
        <f t="shared" si="14"/>
        <v>100</v>
      </c>
      <c r="X32" s="1355"/>
      <c r="Y32" s="3859"/>
      <c r="Z32" s="1356" t="str">
        <f t="shared" si="15"/>
        <v>公共部分装修</v>
      </c>
      <c r="AA32" s="1353">
        <f t="shared" si="3"/>
        <v>1</v>
      </c>
      <c r="AB32" s="1353">
        <f t="shared" si="4"/>
        <v>1</v>
      </c>
      <c r="AC32" s="1353">
        <f t="shared" si="5"/>
        <v>1</v>
      </c>
    </row>
    <row r="33" spans="1:29" ht="15">
      <c r="A33" s="423"/>
      <c r="B33" s="375" t="s">
        <v>1778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59"/>
      <c r="Q33" s="1352" t="str">
        <f t="shared" si="11"/>
        <v>成新度</v>
      </c>
      <c r="R33" s="705" t="s">
        <v>14</v>
      </c>
      <c r="S33" s="706" t="e">
        <f t="shared" si="12"/>
        <v>#N/A</v>
      </c>
      <c r="T33" s="705" t="s">
        <v>14</v>
      </c>
      <c r="U33" s="706" t="e">
        <f t="shared" si="13"/>
        <v>#N/A</v>
      </c>
      <c r="V33" s="705" t="s">
        <v>14</v>
      </c>
      <c r="W33" s="706" t="e">
        <f t="shared" si="14"/>
        <v>#N/A</v>
      </c>
      <c r="X33" s="1355"/>
      <c r="Y33" s="3859"/>
      <c r="Z33" s="1356" t="str">
        <f t="shared" si="15"/>
        <v>成新度</v>
      </c>
      <c r="AA33" s="1353" t="e">
        <f t="shared" si="3"/>
        <v>#N/A</v>
      </c>
      <c r="AB33" s="1353" t="e">
        <f t="shared" si="4"/>
        <v>#N/A</v>
      </c>
      <c r="AC33" s="1353" t="e">
        <f t="shared" si="5"/>
        <v>#N/A</v>
      </c>
    </row>
    <row r="34" spans="1:29" s="108" customFormat="1" ht="15">
      <c r="A34" s="424"/>
      <c r="B34" s="375" t="s">
        <v>1811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59"/>
      <c r="Q34" s="1343" t="str">
        <f t="shared" si="11"/>
        <v>物业管理</v>
      </c>
      <c r="R34" s="701" t="s">
        <v>14</v>
      </c>
      <c r="S34" s="702">
        <f t="shared" si="12"/>
        <v>100</v>
      </c>
      <c r="T34" s="701" t="s">
        <v>14</v>
      </c>
      <c r="U34" s="702">
        <f t="shared" si="13"/>
        <v>100</v>
      </c>
      <c r="V34" s="701" t="s">
        <v>14</v>
      </c>
      <c r="W34" s="702">
        <f t="shared" si="14"/>
        <v>100</v>
      </c>
      <c r="X34" s="703"/>
      <c r="Y34" s="3859"/>
      <c r="Z34" s="52" t="str">
        <f t="shared" si="15"/>
        <v>物业管理</v>
      </c>
      <c r="AA34" s="704">
        <f t="shared" si="3"/>
        <v>1</v>
      </c>
      <c r="AB34" s="704">
        <f t="shared" si="4"/>
        <v>1</v>
      </c>
      <c r="AC34" s="704">
        <f t="shared" si="5"/>
        <v>1</v>
      </c>
    </row>
    <row r="35" spans="1:29" ht="15">
      <c r="A35" s="423"/>
      <c r="B35" s="375" t="s">
        <v>1779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59" t="s">
        <v>1691</v>
      </c>
      <c r="Q35" s="1352" t="str">
        <f t="shared" si="11"/>
        <v>市政基础设施</v>
      </c>
      <c r="R35" s="705" t="s">
        <v>14</v>
      </c>
      <c r="S35" s="706">
        <f t="shared" si="12"/>
        <v>100</v>
      </c>
      <c r="T35" s="705" t="s">
        <v>14</v>
      </c>
      <c r="U35" s="706">
        <f t="shared" si="13"/>
        <v>100</v>
      </c>
      <c r="V35" s="705" t="s">
        <v>14</v>
      </c>
      <c r="W35" s="706">
        <f t="shared" si="14"/>
        <v>100</v>
      </c>
      <c r="X35" s="1355"/>
      <c r="Y35" s="3859" t="s">
        <v>1691</v>
      </c>
      <c r="Z35" s="1356" t="str">
        <f t="shared" si="15"/>
        <v>市政基础设施</v>
      </c>
      <c r="AA35" s="1353">
        <f t="shared" si="3"/>
        <v>1</v>
      </c>
      <c r="AB35" s="1353">
        <f t="shared" si="4"/>
        <v>1</v>
      </c>
      <c r="AC35" s="1353">
        <f t="shared" si="5"/>
        <v>1</v>
      </c>
    </row>
    <row r="36" spans="1:29" ht="15">
      <c r="A36" s="423"/>
      <c r="B36" s="375" t="s">
        <v>1784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59"/>
      <c r="Q36" s="1352" t="str">
        <f t="shared" si="11"/>
        <v>内部装修</v>
      </c>
      <c r="R36" s="705" t="s">
        <v>14</v>
      </c>
      <c r="S36" s="706">
        <f t="shared" si="12"/>
        <v>100</v>
      </c>
      <c r="T36" s="705" t="s">
        <v>14</v>
      </c>
      <c r="U36" s="706">
        <f t="shared" si="13"/>
        <v>100</v>
      </c>
      <c r="V36" s="705" t="s">
        <v>14</v>
      </c>
      <c r="W36" s="706">
        <f t="shared" si="14"/>
        <v>100</v>
      </c>
      <c r="X36" s="1355"/>
      <c r="Y36" s="3859"/>
      <c r="Z36" s="1356" t="str">
        <f t="shared" si="15"/>
        <v>内部装修</v>
      </c>
      <c r="AA36" s="1353">
        <f t="shared" si="3"/>
        <v>1</v>
      </c>
      <c r="AB36" s="1353">
        <f t="shared" si="4"/>
        <v>1</v>
      </c>
      <c r="AC36" s="1353">
        <f t="shared" si="5"/>
        <v>1</v>
      </c>
    </row>
    <row r="37" spans="1:29" ht="15">
      <c r="A37" s="423"/>
      <c r="B37" s="375" t="s">
        <v>1820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59"/>
      <c r="Q37" s="1352" t="str">
        <f t="shared" si="11"/>
        <v>内部装修状况</v>
      </c>
      <c r="R37" s="705" t="s">
        <v>14</v>
      </c>
      <c r="S37" s="706">
        <f t="shared" si="12"/>
        <v>100</v>
      </c>
      <c r="T37" s="705" t="s">
        <v>14</v>
      </c>
      <c r="U37" s="706">
        <f t="shared" si="13"/>
        <v>100</v>
      </c>
      <c r="V37" s="705" t="s">
        <v>14</v>
      </c>
      <c r="W37" s="706">
        <f t="shared" si="14"/>
        <v>100</v>
      </c>
      <c r="X37" s="1355"/>
      <c r="Y37" s="385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59"/>
      <c r="Q38" s="707">
        <f t="shared" si="11"/>
        <v>111</v>
      </c>
      <c r="R38" s="708" t="s">
        <v>14</v>
      </c>
      <c r="S38" s="709">
        <f t="shared" si="12"/>
        <v>100</v>
      </c>
      <c r="T38" s="708" t="s">
        <v>14</v>
      </c>
      <c r="U38" s="709">
        <f t="shared" si="13"/>
        <v>100</v>
      </c>
      <c r="V38" s="708" t="s">
        <v>14</v>
      </c>
      <c r="W38" s="709">
        <f t="shared" si="14"/>
        <v>100</v>
      </c>
      <c r="X38" s="710"/>
      <c r="Y38" s="385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59"/>
      <c r="Q39" s="1352">
        <f t="shared" si="11"/>
        <v>111</v>
      </c>
      <c r="R39" s="705" t="s">
        <v>14</v>
      </c>
      <c r="S39" s="706">
        <f t="shared" si="12"/>
        <v>100</v>
      </c>
      <c r="T39" s="705" t="s">
        <v>14</v>
      </c>
      <c r="U39" s="706">
        <f t="shared" si="13"/>
        <v>100</v>
      </c>
      <c r="V39" s="705" t="s">
        <v>14</v>
      </c>
      <c r="W39" s="706">
        <f t="shared" si="14"/>
        <v>100</v>
      </c>
      <c r="X39" s="1355"/>
      <c r="Y39" s="385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0"/>
      <c r="Q40" s="1352">
        <f t="shared" si="11"/>
        <v>111</v>
      </c>
      <c r="R40" s="705" t="s">
        <v>14</v>
      </c>
      <c r="S40" s="706">
        <f t="shared" si="12"/>
        <v>100</v>
      </c>
      <c r="T40" s="705" t="s">
        <v>14</v>
      </c>
      <c r="U40" s="706">
        <f t="shared" si="13"/>
        <v>100</v>
      </c>
      <c r="V40" s="705" t="s">
        <v>14</v>
      </c>
      <c r="W40" s="706">
        <f t="shared" si="14"/>
        <v>100</v>
      </c>
      <c r="X40" s="1355"/>
      <c r="Y40" s="3860"/>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861" t="str">
        <f>A41</f>
        <v>成交单价（元/平方米）</v>
      </c>
      <c r="Q41" s="3861"/>
      <c r="R41" s="3862">
        <f>E41</f>
        <v>0</v>
      </c>
      <c r="S41" s="3862"/>
      <c r="T41" s="3862">
        <f>G41</f>
        <v>0</v>
      </c>
      <c r="U41" s="3862"/>
      <c r="V41" s="3862">
        <f>I41</f>
        <v>0</v>
      </c>
      <c r="W41" s="3862"/>
      <c r="X41" s="690"/>
      <c r="Y41" s="712"/>
      <c r="Z41" s="690"/>
      <c r="AA41" s="690"/>
      <c r="AB41" s="690"/>
      <c r="AC41" s="690"/>
    </row>
    <row r="42" spans="1:29" ht="15.75" thickBot="1">
      <c r="A42" s="437" t="s">
        <v>1785</v>
      </c>
      <c r="B42" s="438"/>
      <c r="C42" s="1160" t="e">
        <f>R43</f>
        <v>#DIV/0!</v>
      </c>
      <c r="D42" s="2315" t="s">
        <v>2130</v>
      </c>
      <c r="E42" s="1161" t="e">
        <f>R42</f>
        <v>#DIV/0!</v>
      </c>
      <c r="F42" s="2316"/>
      <c r="G42" s="1160" t="e">
        <f>T42</f>
        <v>#DIV/0!</v>
      </c>
      <c r="H42" s="2316"/>
      <c r="I42" s="1161" t="e">
        <f>V42</f>
        <v>#DIV/0!</v>
      </c>
      <c r="J42" s="2316"/>
      <c r="K42" s="2318">
        <f>F42+H42+J42</f>
        <v>0</v>
      </c>
      <c r="L42" s="926"/>
      <c r="M42" s="927"/>
      <c r="N42" s="914"/>
      <c r="O42" s="927"/>
      <c r="P42" s="3861" t="str">
        <f>A42</f>
        <v>比较价值（元/平方米）</v>
      </c>
      <c r="Q42" s="3861"/>
      <c r="R42" s="3862" t="e">
        <f>IF(F1="售价",ROUND(PRODUCT(R41,AA7:AA40),0),ROUND(PRODUCT(R41,AA7:AA40),1))</f>
        <v>#DIV/0!</v>
      </c>
      <c r="S42" s="3862"/>
      <c r="T42" s="3862" t="e">
        <f>IF(F1="售价",ROUND(PRODUCT(T41,AB7:AB40),0),ROUND(PRODUCT(T41,AB7:AB40),1))</f>
        <v>#DIV/0!</v>
      </c>
      <c r="U42" s="3862"/>
      <c r="V42" s="3862" t="e">
        <f>IF(F1="售价",ROUND(PRODUCT(V41,AC7:AC40),0),ROUND(PRODUCT(V41,AC7:AC40),1))</f>
        <v>#DIV/0!</v>
      </c>
      <c r="W42" s="3862"/>
      <c r="X42" s="690"/>
      <c r="Y42" s="690"/>
      <c r="Z42" s="690"/>
      <c r="AA42" s="690"/>
      <c r="AB42" s="690"/>
      <c r="AC42" s="690"/>
    </row>
    <row r="43" spans="1:29" ht="15.75" thickBot="1">
      <c r="A43" s="441" t="s">
        <v>1786</v>
      </c>
      <c r="B43" s="442"/>
      <c r="C43" s="1163" t="e">
        <f>R43</f>
        <v>#DIV/0!</v>
      </c>
      <c r="D43" s="1163"/>
      <c r="E43" s="1163"/>
      <c r="F43" s="1163"/>
      <c r="G43" s="1163"/>
      <c r="H43" s="1163"/>
      <c r="I43" s="1163"/>
      <c r="J43" s="1163"/>
      <c r="K43" s="715"/>
      <c r="L43" s="926"/>
      <c r="M43" s="927"/>
      <c r="N43" s="927"/>
      <c r="O43" s="927"/>
      <c r="P43" s="3863" t="str">
        <f>A43</f>
        <v>估价对象XX用房的比较价值（楼面单价，元/平方米）</v>
      </c>
      <c r="Q43" s="3864"/>
      <c r="R43" s="3865" t="e">
        <f>IF(F1="售价",ROUND(IF(D42="简单平均",AVERAGE(R42:V42),R42*F42+T42*H42+V42*J42),0),ROUND(IF(D42="简单平均",AVERAGE(R42:V42),R42*F42+T42*H42+V42*J42),1))</f>
        <v>#DIV/0!</v>
      </c>
      <c r="S43" s="3865"/>
      <c r="T43" s="3865"/>
      <c r="U43" s="3865"/>
      <c r="V43" s="3865"/>
      <c r="W43" s="386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1790</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1709</v>
      </c>
      <c r="B54" s="465"/>
      <c r="C54" s="466"/>
      <c r="D54" s="467"/>
      <c r="E54" s="467"/>
      <c r="F54" s="467"/>
      <c r="G54" s="467"/>
      <c r="H54" s="467"/>
      <c r="I54" s="467"/>
      <c r="J54" s="467"/>
      <c r="K54" s="467"/>
      <c r="L54" s="467"/>
      <c r="M54" s="468"/>
      <c r="N54" s="2767"/>
      <c r="O54" s="2768"/>
      <c r="P54" s="453"/>
      <c r="Q54" s="453"/>
    </row>
    <row r="55" spans="1:17" s="108" customFormat="1" ht="15">
      <c r="A55" s="470" t="s">
        <v>1676</v>
      </c>
      <c r="B55" s="459"/>
      <c r="C55" s="471" t="s">
        <v>1768</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1711</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1821</v>
      </c>
      <c r="C70" s="522" t="s">
        <v>1713</v>
      </c>
      <c r="D70" s="522" t="s">
        <v>1714</v>
      </c>
      <c r="E70" s="522" t="s">
        <v>1715</v>
      </c>
      <c r="F70" s="522" t="s">
        <v>1716</v>
      </c>
      <c r="G70" s="522" t="s">
        <v>1717</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1718</v>
      </c>
      <c r="C72" s="527" t="s">
        <v>1713</v>
      </c>
      <c r="D72" s="527" t="s">
        <v>1714</v>
      </c>
      <c r="E72" s="527" t="s">
        <v>1715</v>
      </c>
      <c r="F72" s="527" t="s">
        <v>1716</v>
      </c>
      <c r="G72" s="527" t="s">
        <v>1717</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1719</v>
      </c>
      <c r="C74" s="527" t="s">
        <v>1713</v>
      </c>
      <c r="D74" s="527" t="s">
        <v>1714</v>
      </c>
      <c r="E74" s="527" t="s">
        <v>1715</v>
      </c>
      <c r="F74" s="527" t="s">
        <v>1716</v>
      </c>
      <c r="G74" s="527" t="s">
        <v>1717</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1805</v>
      </c>
      <c r="C76" s="608" t="s">
        <v>1791</v>
      </c>
      <c r="D76" s="608" t="s">
        <v>1792</v>
      </c>
      <c r="E76" s="608" t="s">
        <v>1793</v>
      </c>
      <c r="F76" s="608" t="s">
        <v>1794</v>
      </c>
      <c r="G76" s="608" t="s">
        <v>1795</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1814</v>
      </c>
      <c r="C78" s="527" t="s">
        <v>1713</v>
      </c>
      <c r="D78" s="527" t="s">
        <v>1714</v>
      </c>
      <c r="E78" s="527" t="s">
        <v>1715</v>
      </c>
      <c r="F78" s="527" t="s">
        <v>1716</v>
      </c>
      <c r="G78" s="527" t="s">
        <v>1717</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1689</v>
      </c>
      <c r="B88" s="477" t="s">
        <v>1728</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1730</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1732</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1186</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1733</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1734</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1736</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1822</v>
      </c>
      <c r="C106" s="527" t="s">
        <v>1713</v>
      </c>
      <c r="D106" s="527" t="s">
        <v>1714</v>
      </c>
      <c r="E106" s="527" t="s">
        <v>1715</v>
      </c>
      <c r="F106" s="527" t="s">
        <v>1716</v>
      </c>
      <c r="G106" s="527" t="s">
        <v>1717</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3333</v>
      </c>
      <c r="C1" s="1224" t="s">
        <v>1658</v>
      </c>
      <c r="D1" s="1225"/>
      <c r="E1" s="3430"/>
      <c r="F1" s="1879"/>
      <c r="G1" s="1227" t="s">
        <v>1759</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1460</v>
      </c>
      <c r="B3" s="558" t="e">
        <f>IF(AND(C2="——",B37="元/平方米"),C39,ROUND(B2*10000/D3,0))</f>
        <v>#DIV/0!</v>
      </c>
      <c r="C3" s="354" t="s">
        <v>1760</v>
      </c>
      <c r="D3" s="353">
        <f>SUMIF('数据-汇总表'!$C19:$C33,D1,'数据-汇总表'!$E19:$E33)</f>
        <v>0</v>
      </c>
      <c r="E3" s="354" t="s">
        <v>1824</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861" t="s">
        <v>1681</v>
      </c>
      <c r="Q9" s="1343" t="str">
        <f t="shared" ref="Q9:Q14" si="6">B9</f>
        <v>用途</v>
      </c>
      <c r="R9" s="701" t="s">
        <v>14</v>
      </c>
      <c r="S9" s="702">
        <f t="shared" si="0"/>
        <v>100</v>
      </c>
      <c r="T9" s="701" t="s">
        <v>14</v>
      </c>
      <c r="U9" s="702">
        <f t="shared" si="1"/>
        <v>100</v>
      </c>
      <c r="V9" s="701" t="s">
        <v>14</v>
      </c>
      <c r="W9" s="702">
        <f t="shared" si="2"/>
        <v>100</v>
      </c>
      <c r="X9" s="703"/>
      <c r="Y9" s="3715" t="s">
        <v>1682</v>
      </c>
      <c r="Z9" s="52" t="str">
        <f t="shared" ref="Z9:Z14" si="7">Q9</f>
        <v>用途</v>
      </c>
      <c r="AA9" s="704">
        <f t="shared" si="3"/>
        <v>1</v>
      </c>
      <c r="AB9" s="704">
        <f t="shared" si="4"/>
        <v>1</v>
      </c>
      <c r="AC9" s="704">
        <f t="shared" si="5"/>
        <v>1</v>
      </c>
    </row>
    <row r="10" spans="1:29" s="378" customFormat="1" ht="27">
      <c r="A10" s="589"/>
      <c r="B10" s="590" t="s">
        <v>1683</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86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861"/>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86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55" t="s">
        <v>1685</v>
      </c>
      <c r="B14" s="577" t="s">
        <v>1825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855"/>
      <c r="Q15" s="1352"/>
      <c r="R15" s="705"/>
      <c r="S15" s="706"/>
      <c r="T15" s="705"/>
      <c r="U15" s="706"/>
      <c r="V15" s="705"/>
      <c r="W15" s="706"/>
      <c r="X15" s="1355"/>
      <c r="Y15" s="3855"/>
      <c r="Z15" s="1356"/>
      <c r="AA15" s="1353">
        <v>1</v>
      </c>
      <c r="AB15" s="1353">
        <v>1</v>
      </c>
      <c r="AC15" s="1353">
        <v>1</v>
      </c>
    </row>
    <row r="16" spans="1:29" ht="42.75">
      <c r="A16" s="358"/>
      <c r="B16" s="579" t="s">
        <v>1804</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855"/>
      <c r="Q17" s="1352"/>
      <c r="R17" s="705"/>
      <c r="S17" s="706"/>
      <c r="T17" s="705"/>
      <c r="U17" s="706"/>
      <c r="V17" s="705"/>
      <c r="W17" s="706"/>
      <c r="X17" s="1355"/>
      <c r="Y17" s="3855"/>
      <c r="Z17" s="1356"/>
      <c r="AA17" s="1353">
        <v>1</v>
      </c>
      <c r="AB17" s="1353">
        <v>1</v>
      </c>
      <c r="AC17" s="1353">
        <v>1</v>
      </c>
    </row>
    <row r="18" spans="1:29" ht="28.5">
      <c r="A18" s="358"/>
      <c r="B18" s="581" t="s">
        <v>1805</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855"/>
      <c r="Q19" s="1352"/>
      <c r="R19" s="705"/>
      <c r="S19" s="706"/>
      <c r="T19" s="705"/>
      <c r="U19" s="706"/>
      <c r="V19" s="705"/>
      <c r="W19" s="706"/>
      <c r="X19" s="1355"/>
      <c r="Y19" s="3855"/>
      <c r="Z19" s="1356"/>
      <c r="AA19" s="1353">
        <v>1</v>
      </c>
      <c r="AB19" s="1353">
        <v>1</v>
      </c>
      <c r="AC19" s="1353">
        <v>1</v>
      </c>
    </row>
    <row r="20" spans="1:29" ht="57">
      <c r="A20" s="358"/>
      <c r="B20" s="579" t="s">
        <v>1826</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855"/>
      <c r="Q21" s="1352"/>
      <c r="R21" s="705"/>
      <c r="S21" s="706"/>
      <c r="T21" s="705"/>
      <c r="U21" s="706"/>
      <c r="V21" s="705"/>
      <c r="W21" s="706"/>
      <c r="X21" s="1355"/>
      <c r="Y21" s="3855"/>
      <c r="Z21" s="1356"/>
      <c r="AA21" s="1353">
        <v>1</v>
      </c>
      <c r="AB21" s="1353">
        <v>1</v>
      </c>
      <c r="AC21" s="1353">
        <v>1</v>
      </c>
    </row>
    <row r="22" spans="1:29" ht="15">
      <c r="A22" s="358"/>
      <c r="B22" s="579" t="s">
        <v>1827</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855"/>
      <c r="Q24" s="1352">
        <f t="shared" ref="Q24:Q36"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600" t="s">
        <v>1689</v>
      </c>
      <c r="B26" s="62" t="s">
        <v>1828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82"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59" t="s">
        <v>1691</v>
      </c>
      <c r="Z26" s="1356" t="str">
        <f t="shared" ref="Z26:Z36" si="15">Q26</f>
        <v>配套类型</v>
      </c>
      <c r="AA26" s="1353" t="e">
        <f t="shared" si="3"/>
        <v>#DIV/0!</v>
      </c>
      <c r="AB26" s="1353" t="e">
        <f t="shared" si="4"/>
        <v>#DIV/0!</v>
      </c>
      <c r="AC26" s="1353" t="e">
        <f t="shared" si="5"/>
        <v>#DIV/0!</v>
      </c>
    </row>
    <row r="27" spans="1:29" s="422" customFormat="1" ht="15">
      <c r="A27" s="601"/>
      <c r="B27" s="602" t="s">
        <v>1829</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859"/>
      <c r="Q27" s="707" t="str">
        <f t="shared" si="11"/>
        <v>项目停车位配比</v>
      </c>
      <c r="R27" s="708" t="s">
        <v>14</v>
      </c>
      <c r="S27" s="709">
        <f t="shared" si="12"/>
        <v>100</v>
      </c>
      <c r="T27" s="708" t="s">
        <v>14</v>
      </c>
      <c r="U27" s="709">
        <f t="shared" si="13"/>
        <v>100</v>
      </c>
      <c r="V27" s="708" t="s">
        <v>14</v>
      </c>
      <c r="W27" s="709">
        <f t="shared" si="14"/>
        <v>100</v>
      </c>
      <c r="X27" s="710"/>
      <c r="Y27" s="3859"/>
      <c r="Z27" s="711" t="str">
        <f t="shared" si="15"/>
        <v>项目停车位配比</v>
      </c>
      <c r="AA27" s="1353">
        <f t="shared" si="3"/>
        <v>1</v>
      </c>
      <c r="AB27" s="1353">
        <f t="shared" si="4"/>
        <v>1</v>
      </c>
      <c r="AC27" s="1353">
        <f t="shared" si="5"/>
        <v>1</v>
      </c>
    </row>
    <row r="28" spans="1:29" ht="15">
      <c r="A28" s="604"/>
      <c r="B28" s="602" t="s">
        <v>1830</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859"/>
      <c r="Q28" s="1352" t="str">
        <f t="shared" si="11"/>
        <v>公共部分装修</v>
      </c>
      <c r="R28" s="705" t="s">
        <v>14</v>
      </c>
      <c r="S28" s="706">
        <f t="shared" si="12"/>
        <v>100</v>
      </c>
      <c r="T28" s="705" t="s">
        <v>14</v>
      </c>
      <c r="U28" s="706">
        <f t="shared" si="13"/>
        <v>100</v>
      </c>
      <c r="V28" s="705" t="s">
        <v>14</v>
      </c>
      <c r="W28" s="706">
        <f t="shared" si="14"/>
        <v>100</v>
      </c>
      <c r="X28" s="1355"/>
      <c r="Y28" s="3859"/>
      <c r="Z28" s="1356" t="str">
        <f t="shared" si="15"/>
        <v>公共部分装修</v>
      </c>
      <c r="AA28" s="1353">
        <f t="shared" si="3"/>
        <v>1</v>
      </c>
      <c r="AB28" s="1353">
        <f t="shared" si="4"/>
        <v>1</v>
      </c>
      <c r="AC28" s="1353">
        <f t="shared" si="5"/>
        <v>1</v>
      </c>
    </row>
    <row r="29" spans="1:29" ht="15">
      <c r="A29" s="604"/>
      <c r="B29" s="602" t="s">
        <v>1831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859"/>
      <c r="Q29" s="1352" t="str">
        <f t="shared" si="11"/>
        <v>成新率</v>
      </c>
      <c r="R29" s="705" t="s">
        <v>14</v>
      </c>
      <c r="S29" s="706" t="e">
        <f t="shared" si="12"/>
        <v>#N/A</v>
      </c>
      <c r="T29" s="705" t="s">
        <v>14</v>
      </c>
      <c r="U29" s="706" t="e">
        <f t="shared" si="13"/>
        <v>#N/A</v>
      </c>
      <c r="V29" s="705" t="s">
        <v>14</v>
      </c>
      <c r="W29" s="706" t="e">
        <f t="shared" si="14"/>
        <v>#N/A</v>
      </c>
      <c r="X29" s="1355"/>
      <c r="Y29" s="3859"/>
      <c r="Z29" s="1356" t="str">
        <f t="shared" si="15"/>
        <v>成新率</v>
      </c>
      <c r="AA29" s="1353" t="e">
        <f t="shared" si="3"/>
        <v>#N/A</v>
      </c>
      <c r="AB29" s="1353" t="e">
        <f t="shared" si="4"/>
        <v>#N/A</v>
      </c>
      <c r="AC29" s="1353" t="e">
        <f t="shared" si="5"/>
        <v>#N/A</v>
      </c>
    </row>
    <row r="30" spans="1:29" ht="15">
      <c r="A30" s="604"/>
      <c r="B30" s="602" t="s">
        <v>1832</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859"/>
      <c r="Q30" s="1352" t="str">
        <f t="shared" si="11"/>
        <v>物业等级</v>
      </c>
      <c r="R30" s="705" t="s">
        <v>14</v>
      </c>
      <c r="S30" s="706">
        <f t="shared" si="12"/>
        <v>100</v>
      </c>
      <c r="T30" s="705" t="s">
        <v>14</v>
      </c>
      <c r="U30" s="706">
        <f t="shared" si="13"/>
        <v>100</v>
      </c>
      <c r="V30" s="705" t="s">
        <v>14</v>
      </c>
      <c r="W30" s="706">
        <f t="shared" si="14"/>
        <v>100</v>
      </c>
      <c r="X30" s="1355"/>
      <c r="Y30" s="3859"/>
      <c r="Z30" s="1356" t="str">
        <f t="shared" si="15"/>
        <v>物业等级</v>
      </c>
      <c r="AA30" s="1353">
        <f t="shared" si="3"/>
        <v>1</v>
      </c>
      <c r="AB30" s="1353">
        <f t="shared" si="4"/>
        <v>1</v>
      </c>
      <c r="AC30" s="1353">
        <f t="shared" si="5"/>
        <v>1</v>
      </c>
    </row>
    <row r="31" spans="1:29" s="108" customFormat="1" ht="15">
      <c r="A31" s="606"/>
      <c r="B31" s="602" t="s">
        <v>1833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859"/>
      <c r="Q31" s="1343" t="str">
        <f t="shared" si="11"/>
        <v>停车位面积</v>
      </c>
      <c r="R31" s="701" t="s">
        <v>14</v>
      </c>
      <c r="S31" s="702" t="e">
        <f t="shared" si="12"/>
        <v>#N/A</v>
      </c>
      <c r="T31" s="701" t="s">
        <v>14</v>
      </c>
      <c r="U31" s="702" t="e">
        <f t="shared" si="13"/>
        <v>#N/A</v>
      </c>
      <c r="V31" s="701" t="s">
        <v>14</v>
      </c>
      <c r="W31" s="702" t="e">
        <f t="shared" si="14"/>
        <v>#N/A</v>
      </c>
      <c r="X31" s="703"/>
      <c r="Y31" s="3859"/>
      <c r="Z31" s="52" t="str">
        <f t="shared" si="15"/>
        <v>停车位面积</v>
      </c>
      <c r="AA31" s="704" t="e">
        <f t="shared" si="3"/>
        <v>#N/A</v>
      </c>
      <c r="AB31" s="704" t="e">
        <f t="shared" si="4"/>
        <v>#N/A</v>
      </c>
      <c r="AC31" s="704" t="e">
        <f t="shared" si="5"/>
        <v>#N/A</v>
      </c>
    </row>
    <row r="32" spans="1:29" ht="15">
      <c r="A32" s="604"/>
      <c r="B32" s="602" t="s">
        <v>1834</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859" t="s">
        <v>1691</v>
      </c>
      <c r="Q32" s="1352" t="str">
        <f t="shared" si="11"/>
        <v>车位类型</v>
      </c>
      <c r="R32" s="705" t="s">
        <v>14</v>
      </c>
      <c r="S32" s="706">
        <f t="shared" si="12"/>
        <v>100</v>
      </c>
      <c r="T32" s="705" t="s">
        <v>14</v>
      </c>
      <c r="U32" s="706">
        <f t="shared" si="13"/>
        <v>100</v>
      </c>
      <c r="V32" s="705" t="s">
        <v>14</v>
      </c>
      <c r="W32" s="706">
        <f t="shared" si="14"/>
        <v>100</v>
      </c>
      <c r="X32" s="1355"/>
      <c r="Y32" s="3859" t="s">
        <v>1691</v>
      </c>
      <c r="Z32" s="1356" t="str">
        <f t="shared" si="15"/>
        <v>车位类型</v>
      </c>
      <c r="AA32" s="1353">
        <f t="shared" si="3"/>
        <v>1</v>
      </c>
      <c r="AB32" s="1353">
        <f t="shared" si="4"/>
        <v>1</v>
      </c>
      <c r="AC32" s="1353">
        <f t="shared" si="5"/>
        <v>1</v>
      </c>
    </row>
    <row r="33" spans="1:29" ht="15">
      <c r="A33" s="604"/>
      <c r="B33" s="602" t="s">
        <v>1835</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859"/>
      <c r="Q33" s="1352" t="str">
        <f t="shared" si="11"/>
        <v>是否直接入户</v>
      </c>
      <c r="R33" s="705" t="s">
        <v>14</v>
      </c>
      <c r="S33" s="706">
        <f t="shared" si="12"/>
        <v>100</v>
      </c>
      <c r="T33" s="705" t="s">
        <v>14</v>
      </c>
      <c r="U33" s="706">
        <f t="shared" si="13"/>
        <v>100</v>
      </c>
      <c r="V33" s="705" t="s">
        <v>14</v>
      </c>
      <c r="W33" s="706">
        <f t="shared" si="14"/>
        <v>100</v>
      </c>
      <c r="X33" s="1355"/>
      <c r="Y33" s="385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859"/>
      <c r="Q35" s="707">
        <f t="shared" si="11"/>
        <v>111</v>
      </c>
      <c r="R35" s="708" t="s">
        <v>14</v>
      </c>
      <c r="S35" s="709">
        <f t="shared" si="12"/>
        <v>100</v>
      </c>
      <c r="T35" s="708" t="s">
        <v>14</v>
      </c>
      <c r="U35" s="709">
        <f t="shared" si="13"/>
        <v>100</v>
      </c>
      <c r="V35" s="708" t="s">
        <v>14</v>
      </c>
      <c r="W35" s="709">
        <f t="shared" si="14"/>
        <v>100</v>
      </c>
      <c r="X35" s="710"/>
      <c r="Y35" s="385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859"/>
      <c r="Q36" s="1352">
        <f t="shared" si="11"/>
        <v>111</v>
      </c>
      <c r="R36" s="705" t="s">
        <v>14</v>
      </c>
      <c r="S36" s="706">
        <f t="shared" si="12"/>
        <v>100</v>
      </c>
      <c r="T36" s="705" t="s">
        <v>14</v>
      </c>
      <c r="U36" s="706">
        <f t="shared" si="13"/>
        <v>100</v>
      </c>
      <c r="V36" s="705" t="s">
        <v>14</v>
      </c>
      <c r="W36" s="706">
        <f t="shared" si="14"/>
        <v>100</v>
      </c>
      <c r="X36" s="1355"/>
      <c r="Y36" s="3859"/>
      <c r="Z36" s="1356">
        <f t="shared" si="15"/>
        <v>111</v>
      </c>
      <c r="AA36" s="1353">
        <f t="shared" si="3"/>
        <v>1</v>
      </c>
      <c r="AB36" s="1353">
        <f t="shared" si="4"/>
        <v>1</v>
      </c>
      <c r="AC36" s="1353">
        <f t="shared" si="5"/>
        <v>1</v>
      </c>
    </row>
    <row r="37" spans="1:29" ht="15">
      <c r="A37" s="430" t="s">
        <v>1836</v>
      </c>
      <c r="B37" s="1971" t="s">
        <v>3354</v>
      </c>
      <c r="C37" s="1154" t="s">
        <v>0</v>
      </c>
      <c r="D37" s="1155"/>
      <c r="E37" s="1156"/>
      <c r="F37" s="1157"/>
      <c r="G37" s="1158"/>
      <c r="H37" s="1159"/>
      <c r="I37" s="1156"/>
      <c r="J37" s="1159"/>
      <c r="K37" s="568"/>
      <c r="L37" s="2721"/>
      <c r="M37" s="2722"/>
      <c r="N37" s="2713"/>
      <c r="O37" s="2722"/>
      <c r="P37" s="3861" t="str">
        <f>A37</f>
        <v>成交单价</v>
      </c>
      <c r="Q37" s="3861"/>
      <c r="R37" s="3862">
        <f>E37</f>
        <v>0</v>
      </c>
      <c r="S37" s="3862"/>
      <c r="T37" s="3862">
        <f>G37</f>
        <v>0</v>
      </c>
      <c r="U37" s="3862"/>
      <c r="V37" s="3862">
        <f>I37</f>
        <v>0</v>
      </c>
      <c r="W37" s="3862"/>
      <c r="X37" s="690"/>
      <c r="Y37" s="712"/>
      <c r="Z37" s="690"/>
      <c r="AA37" s="690"/>
      <c r="AB37" s="690"/>
      <c r="AC37" s="690"/>
    </row>
    <row r="38" spans="1:29" ht="15.75" thickBot="1">
      <c r="A38" s="437" t="s">
        <v>1837</v>
      </c>
      <c r="B38" s="438" t="str">
        <f>B37</f>
        <v>元/平方米</v>
      </c>
      <c r="C38" s="1160" t="e">
        <f>R39</f>
        <v>#DIV/0!</v>
      </c>
      <c r="D38" s="2315" t="s">
        <v>2130</v>
      </c>
      <c r="E38" s="1161" t="e">
        <f>R38</f>
        <v>#DIV/0!</v>
      </c>
      <c r="F38" s="2316"/>
      <c r="G38" s="1160" t="e">
        <f>T38</f>
        <v>#DIV/0!</v>
      </c>
      <c r="H38" s="2316"/>
      <c r="I38" s="1161" t="e">
        <f>V38</f>
        <v>#DIV/0!</v>
      </c>
      <c r="J38" s="2316"/>
      <c r="K38" s="2318">
        <f>F38+H38+J38</f>
        <v>0</v>
      </c>
      <c r="L38" s="2721"/>
      <c r="M38" s="2722"/>
      <c r="N38" s="2722"/>
      <c r="O38" s="2722"/>
      <c r="P38" s="3861" t="str">
        <f>A38</f>
        <v>比较价值（元/平方米）</v>
      </c>
      <c r="Q38" s="3861"/>
      <c r="R38" s="3862" t="e">
        <f>IF(F1="售价",ROUND(PRODUCT(R37,AA7:AA36),0),ROUND(PRODUCT(R37,AA7:AA36),1))</f>
        <v>#DIV/0!</v>
      </c>
      <c r="S38" s="3862"/>
      <c r="T38" s="3862" t="e">
        <f>IF(F1="售价",ROUND(PRODUCT(T37,AB7:AB36),0),ROUND(PRODUCT(T37,AB7:AB36),1))</f>
        <v>#DIV/0!</v>
      </c>
      <c r="U38" s="3862"/>
      <c r="V38" s="3862" t="e">
        <f>IF(F1="售价",ROUND(PRODUCT(V37,AC7:AC36),0),ROUND(PRODUCT(V37,AC7:AC36),1))</f>
        <v>#DIV/0!</v>
      </c>
      <c r="W38" s="3862"/>
      <c r="X38" s="690"/>
      <c r="Y38" s="690"/>
      <c r="Z38" s="690"/>
      <c r="AA38" s="690"/>
      <c r="AB38" s="690"/>
      <c r="AC38" s="690"/>
    </row>
    <row r="39" spans="1:29" ht="15.75" thickBot="1">
      <c r="A39" s="441" t="s">
        <v>1838</v>
      </c>
      <c r="B39" s="442"/>
      <c r="C39" s="1163" t="e">
        <f>R39</f>
        <v>#DIV/0!</v>
      </c>
      <c r="D39" s="1163"/>
      <c r="E39" s="1163"/>
      <c r="F39" s="1163"/>
      <c r="G39" s="1163"/>
      <c r="H39" s="1163"/>
      <c r="I39" s="1163"/>
      <c r="J39" s="1163"/>
      <c r="K39" s="569"/>
      <c r="L39" s="2721"/>
      <c r="M39" s="2722"/>
      <c r="N39" s="2722"/>
      <c r="O39" s="2722"/>
      <c r="P39" s="3863" t="str">
        <f>A39</f>
        <v>估价对象XX用房的比较价值（楼面单价，元/平方米）</v>
      </c>
      <c r="Q39" s="3864"/>
      <c r="R39" s="3883" t="e">
        <f>IF(F1="售价",ROUND(IF(D38="简单平均",AVERAGE(R38:W38),R38*F38+T38*H38+V38*J38),0),ROUND(IF(D38="简单平均",AVERAGE(R38:V38),R38*F38+T38*H38+V38*J38),1))</f>
        <v>#DIV/0!</v>
      </c>
      <c r="S39" s="3883"/>
      <c r="T39" s="3883"/>
      <c r="U39" s="3883"/>
      <c r="V39" s="3883"/>
      <c r="W39" s="388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1839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1842</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1843</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1709</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1676</v>
      </c>
      <c r="B51" s="459"/>
      <c r="C51" s="471" t="s">
        <v>1768</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1711</v>
      </c>
      <c r="B53" s="477" t="s">
        <v>1680</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1683</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1685</v>
      </c>
      <c r="B63" s="477" t="s">
        <v>1718</v>
      </c>
      <c r="C63" s="522" t="s">
        <v>1713</v>
      </c>
      <c r="D63" s="522" t="s">
        <v>1714</v>
      </c>
      <c r="E63" s="522" t="s">
        <v>1715</v>
      </c>
      <c r="F63" s="522" t="s">
        <v>1716</v>
      </c>
      <c r="G63" s="522" t="s">
        <v>1717</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1719</v>
      </c>
      <c r="C65" s="527" t="s">
        <v>1713</v>
      </c>
      <c r="D65" s="527" t="s">
        <v>1714</v>
      </c>
      <c r="E65" s="527" t="s">
        <v>1715</v>
      </c>
      <c r="F65" s="527" t="s">
        <v>1716</v>
      </c>
      <c r="G65" s="527" t="s">
        <v>1717</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1805</v>
      </c>
      <c r="C67" s="608" t="s">
        <v>1791</v>
      </c>
      <c r="D67" s="608" t="s">
        <v>1792</v>
      </c>
      <c r="E67" s="608" t="s">
        <v>1793</v>
      </c>
      <c r="F67" s="608" t="s">
        <v>1794</v>
      </c>
      <c r="G67" s="608" t="s">
        <v>1795</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1725</v>
      </c>
      <c r="C69" s="527" t="s">
        <v>1713</v>
      </c>
      <c r="D69" s="527" t="s">
        <v>1714</v>
      </c>
      <c r="E69" s="527" t="s">
        <v>1715</v>
      </c>
      <c r="F69" s="527" t="s">
        <v>1716</v>
      </c>
      <c r="G69" s="527" t="s">
        <v>1717</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1844</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1689</v>
      </c>
      <c r="B79" s="477" t="s">
        <v>1845</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1846</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1732</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1847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1848</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1849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1850</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1851</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1823</v>
      </c>
      <c r="B1" s="1223" t="s">
        <v>3334</v>
      </c>
      <c r="C1" s="1224" t="s">
        <v>1658</v>
      </c>
      <c r="D1" s="1225"/>
      <c r="E1" s="3430"/>
      <c r="F1" s="1879"/>
      <c r="G1" s="1235" t="s">
        <v>1759</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1458</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1459</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IF(C2="——",C37,ROUND(B2*10000/D3,0))</f>
        <v>#DIV/0!</v>
      </c>
      <c r="C3" s="354" t="s">
        <v>1760</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848" t="s">
        <v>1675</v>
      </c>
      <c r="Q7" s="3849"/>
      <c r="R7" s="701" t="s">
        <v>14</v>
      </c>
      <c r="S7" s="702">
        <f t="shared" ref="S7:S14" si="0">F7</f>
        <v>0</v>
      </c>
      <c r="T7" s="701" t="s">
        <v>14</v>
      </c>
      <c r="U7" s="702">
        <f t="shared" ref="U7:U14" si="1">H7</f>
        <v>0</v>
      </c>
      <c r="V7" s="701" t="s">
        <v>14</v>
      </c>
      <c r="W7" s="702">
        <f t="shared" ref="W7:W14" si="2">J7</f>
        <v>0</v>
      </c>
      <c r="X7" s="703"/>
      <c r="Y7" s="3848" t="s">
        <v>1675</v>
      </c>
      <c r="Z7" s="3850"/>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48" t="s">
        <v>1678</v>
      </c>
      <c r="Q8" s="3850"/>
      <c r="R8" s="701" t="s">
        <v>14</v>
      </c>
      <c r="S8" s="702">
        <f t="shared" si="0"/>
        <v>100</v>
      </c>
      <c r="T8" s="701" t="s">
        <v>14</v>
      </c>
      <c r="U8" s="702">
        <f t="shared" si="1"/>
        <v>100</v>
      </c>
      <c r="V8" s="701" t="s">
        <v>14</v>
      </c>
      <c r="W8" s="702">
        <f t="shared" si="2"/>
        <v>100</v>
      </c>
      <c r="X8" s="703"/>
      <c r="Y8" s="3848" t="s">
        <v>1678</v>
      </c>
      <c r="Z8" s="3850"/>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861" t="s">
        <v>1681</v>
      </c>
      <c r="Q9" s="1343" t="str">
        <f t="shared" ref="Q9:Q14" si="6">B9</f>
        <v>用途</v>
      </c>
      <c r="R9" s="701" t="s">
        <v>14</v>
      </c>
      <c r="S9" s="702">
        <f t="shared" si="0"/>
        <v>100</v>
      </c>
      <c r="T9" s="701" t="s">
        <v>14</v>
      </c>
      <c r="U9" s="702">
        <f t="shared" si="1"/>
        <v>100</v>
      </c>
      <c r="V9" s="701" t="s">
        <v>14</v>
      </c>
      <c r="W9" s="702">
        <f t="shared" si="2"/>
        <v>100</v>
      </c>
      <c r="X9" s="703"/>
      <c r="Y9" s="3715" t="s">
        <v>1682</v>
      </c>
      <c r="Z9" s="52" t="str">
        <f t="shared" ref="Z9:Z14" si="7">Q9</f>
        <v>用途</v>
      </c>
      <c r="AA9" s="704">
        <f t="shared" si="3"/>
        <v>1</v>
      </c>
      <c r="AB9" s="704">
        <f t="shared" si="4"/>
        <v>1</v>
      </c>
      <c r="AC9" s="704">
        <f t="shared" si="5"/>
        <v>1</v>
      </c>
    </row>
    <row r="10" spans="1:29" s="378" customFormat="1" ht="27">
      <c r="A10" s="374"/>
      <c r="B10" s="375" t="s">
        <v>1683</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861"/>
      <c r="Q10" s="1343" t="str">
        <f t="shared" si="6"/>
        <v>土地使用年限（年）</v>
      </c>
      <c r="R10" s="701" t="s">
        <v>14</v>
      </c>
      <c r="S10" s="702">
        <f t="shared" si="0"/>
        <v>100</v>
      </c>
      <c r="T10" s="701" t="s">
        <v>14</v>
      </c>
      <c r="U10" s="702">
        <f t="shared" si="1"/>
        <v>100</v>
      </c>
      <c r="V10" s="701" t="s">
        <v>14</v>
      </c>
      <c r="W10" s="702">
        <f t="shared" si="2"/>
        <v>100</v>
      </c>
      <c r="X10" s="703"/>
      <c r="Y10" s="37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861"/>
      <c r="Q11" s="1343">
        <f t="shared" si="6"/>
        <v>111</v>
      </c>
      <c r="R11" s="701" t="s">
        <v>14</v>
      </c>
      <c r="S11" s="702">
        <f t="shared" si="0"/>
        <v>100</v>
      </c>
      <c r="T11" s="701" t="s">
        <v>14</v>
      </c>
      <c r="U11" s="702">
        <f t="shared" si="1"/>
        <v>100</v>
      </c>
      <c r="V11" s="701" t="s">
        <v>14</v>
      </c>
      <c r="W11" s="702">
        <f t="shared" si="2"/>
        <v>100</v>
      </c>
      <c r="X11" s="703"/>
      <c r="Y11" s="37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86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85.5">
      <c r="A14" s="391" t="s">
        <v>1685</v>
      </c>
      <c r="B14" s="61" t="s">
        <v>1825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854" t="s">
        <v>1686</v>
      </c>
      <c r="Q14" s="1352" t="str">
        <f t="shared" si="6"/>
        <v>交通便捷度</v>
      </c>
      <c r="R14" s="705" t="s">
        <v>14</v>
      </c>
      <c r="S14" s="706">
        <f t="shared" si="0"/>
        <v>100</v>
      </c>
      <c r="T14" s="705" t="s">
        <v>14</v>
      </c>
      <c r="U14" s="706">
        <f t="shared" si="1"/>
        <v>100</v>
      </c>
      <c r="V14" s="705" t="s">
        <v>14</v>
      </c>
      <c r="W14" s="706">
        <f t="shared" si="2"/>
        <v>100</v>
      </c>
      <c r="X14" s="1355"/>
      <c r="Y14" s="3854"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855"/>
      <c r="Q15" s="1352"/>
      <c r="R15" s="705"/>
      <c r="S15" s="706"/>
      <c r="T15" s="705"/>
      <c r="U15" s="706"/>
      <c r="V15" s="705"/>
      <c r="W15" s="706"/>
      <c r="X15" s="1355"/>
      <c r="Y15" s="3855"/>
      <c r="Z15" s="1356"/>
      <c r="AA15" s="1353">
        <v>1</v>
      </c>
      <c r="AB15" s="1353">
        <v>1</v>
      </c>
      <c r="AC15" s="1353">
        <v>1</v>
      </c>
    </row>
    <row r="16" spans="1:29" ht="42.75">
      <c r="A16" s="379"/>
      <c r="B16" s="402" t="s">
        <v>1804</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855"/>
      <c r="Q16" s="1352" t="str">
        <f>B16</f>
        <v>公共配套设施</v>
      </c>
      <c r="R16" s="705" t="s">
        <v>14</v>
      </c>
      <c r="S16" s="706">
        <f>F16</f>
        <v>100</v>
      </c>
      <c r="T16" s="705" t="s">
        <v>14</v>
      </c>
      <c r="U16" s="706">
        <f>H16</f>
        <v>100</v>
      </c>
      <c r="V16" s="705" t="s">
        <v>14</v>
      </c>
      <c r="W16" s="706">
        <f>J16</f>
        <v>100</v>
      </c>
      <c r="X16" s="1355"/>
      <c r="Y16" s="38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855"/>
      <c r="Q17" s="1352"/>
      <c r="R17" s="705"/>
      <c r="S17" s="706"/>
      <c r="T17" s="705"/>
      <c r="U17" s="706"/>
      <c r="V17" s="705"/>
      <c r="W17" s="706"/>
      <c r="X17" s="1355"/>
      <c r="Y17" s="3855"/>
      <c r="Z17" s="1356"/>
      <c r="AA17" s="1353">
        <v>1</v>
      </c>
      <c r="AB17" s="1353">
        <v>1</v>
      </c>
      <c r="AC17" s="1353">
        <v>1</v>
      </c>
    </row>
    <row r="18" spans="1:29" ht="28.5">
      <c r="A18" s="379"/>
      <c r="B18" s="1131" t="s">
        <v>1805</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855"/>
      <c r="Q18" s="1352" t="str">
        <f>B18</f>
        <v>基础设施水平</v>
      </c>
      <c r="R18" s="705" t="s">
        <v>14</v>
      </c>
      <c r="S18" s="706">
        <f>F18</f>
        <v>100</v>
      </c>
      <c r="T18" s="705" t="s">
        <v>14</v>
      </c>
      <c r="U18" s="706">
        <f>H18</f>
        <v>100</v>
      </c>
      <c r="V18" s="705" t="s">
        <v>14</v>
      </c>
      <c r="W18" s="706">
        <f>J18</f>
        <v>100</v>
      </c>
      <c r="X18" s="1355"/>
      <c r="Y18" s="38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855"/>
      <c r="Q19" s="1352"/>
      <c r="R19" s="705"/>
      <c r="S19" s="706"/>
      <c r="T19" s="705"/>
      <c r="U19" s="706"/>
      <c r="V19" s="705"/>
      <c r="W19" s="706"/>
      <c r="X19" s="1355"/>
      <c r="Y19" s="3855"/>
      <c r="Z19" s="1356"/>
      <c r="AA19" s="1353">
        <v>1</v>
      </c>
      <c r="AB19" s="1353">
        <v>1</v>
      </c>
      <c r="AC19" s="1353">
        <v>1</v>
      </c>
    </row>
    <row r="20" spans="1:29" ht="57">
      <c r="A20" s="379"/>
      <c r="B20" s="402" t="s">
        <v>1826</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855"/>
      <c r="Q20" s="1352" t="str">
        <f>B20</f>
        <v>自然及人文环境</v>
      </c>
      <c r="R20" s="705" t="s">
        <v>14</v>
      </c>
      <c r="S20" s="706">
        <f>F20</f>
        <v>100</v>
      </c>
      <c r="T20" s="705" t="s">
        <v>14</v>
      </c>
      <c r="U20" s="706">
        <f>H20</f>
        <v>100</v>
      </c>
      <c r="V20" s="705" t="s">
        <v>14</v>
      </c>
      <c r="W20" s="706">
        <f>J20</f>
        <v>100</v>
      </c>
      <c r="X20" s="1355"/>
      <c r="Y20" s="38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855"/>
      <c r="Q21" s="1352"/>
      <c r="R21" s="705"/>
      <c r="S21" s="706"/>
      <c r="T21" s="705"/>
      <c r="U21" s="706"/>
      <c r="V21" s="705"/>
      <c r="W21" s="706"/>
      <c r="X21" s="1355"/>
      <c r="Y21" s="3855"/>
      <c r="Z21" s="1356"/>
      <c r="AA21" s="1353">
        <v>1</v>
      </c>
      <c r="AB21" s="1353">
        <v>1</v>
      </c>
      <c r="AC21" s="1353">
        <v>1</v>
      </c>
    </row>
    <row r="22" spans="1:29" ht="15">
      <c r="A22" s="379"/>
      <c r="B22" s="402" t="s">
        <v>1827</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855"/>
      <c r="Q22" s="1352" t="str">
        <f>B22</f>
        <v>楼层</v>
      </c>
      <c r="R22" s="705" t="s">
        <v>14</v>
      </c>
      <c r="S22" s="706">
        <f>F22</f>
        <v>100</v>
      </c>
      <c r="T22" s="705" t="s">
        <v>14</v>
      </c>
      <c r="U22" s="706">
        <f>H22</f>
        <v>100</v>
      </c>
      <c r="V22" s="705" t="s">
        <v>14</v>
      </c>
      <c r="W22" s="706">
        <f>J22</f>
        <v>100</v>
      </c>
      <c r="X22" s="1355"/>
      <c r="Y22" s="38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855"/>
      <c r="Q23" s="1352">
        <f>B23</f>
        <v>111</v>
      </c>
      <c r="R23" s="705" t="s">
        <v>14</v>
      </c>
      <c r="S23" s="706">
        <f>F23</f>
        <v>100</v>
      </c>
      <c r="T23" s="705" t="s">
        <v>14</v>
      </c>
      <c r="U23" s="706">
        <f>H23</f>
        <v>100</v>
      </c>
      <c r="V23" s="705" t="s">
        <v>14</v>
      </c>
      <c r="W23" s="706">
        <f>J23</f>
        <v>100</v>
      </c>
      <c r="X23" s="1355"/>
      <c r="Y23" s="38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855"/>
      <c r="Q24" s="1352">
        <f t="shared" ref="Q24:Q34" si="11">B24</f>
        <v>111</v>
      </c>
      <c r="R24" s="705" t="s">
        <v>14</v>
      </c>
      <c r="S24" s="706">
        <f>F24</f>
        <v>100</v>
      </c>
      <c r="T24" s="705" t="s">
        <v>14</v>
      </c>
      <c r="U24" s="706">
        <f>H24</f>
        <v>100</v>
      </c>
      <c r="V24" s="705" t="s">
        <v>14</v>
      </c>
      <c r="W24" s="706">
        <f>J24</f>
        <v>100</v>
      </c>
      <c r="X24" s="1355"/>
      <c r="Y24" s="3855"/>
      <c r="Z24" s="1356">
        <f>Q24</f>
        <v>111</v>
      </c>
      <c r="AA24" s="1353">
        <f t="shared" si="3"/>
        <v>1</v>
      </c>
      <c r="AB24" s="1353">
        <f t="shared" si="4"/>
        <v>1</v>
      </c>
      <c r="AC24" s="1353">
        <f t="shared" si="5"/>
        <v>1</v>
      </c>
    </row>
    <row r="25" spans="1:29" s="108" customFormat="1" ht="15.75"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855"/>
      <c r="Q25" s="1343">
        <f t="shared" si="11"/>
        <v>111</v>
      </c>
      <c r="R25" s="701" t="s">
        <v>14</v>
      </c>
      <c r="S25" s="702">
        <f>F25</f>
        <v>100</v>
      </c>
      <c r="T25" s="701" t="s">
        <v>14</v>
      </c>
      <c r="U25" s="702">
        <f>H25</f>
        <v>100</v>
      </c>
      <c r="V25" s="701" t="s">
        <v>14</v>
      </c>
      <c r="W25" s="702">
        <f>J25</f>
        <v>100</v>
      </c>
      <c r="X25" s="703"/>
      <c r="Y25" s="3855"/>
      <c r="Z25" s="52">
        <f>Q25</f>
        <v>111</v>
      </c>
      <c r="AA25" s="1353">
        <f>D25/F25</f>
        <v>1</v>
      </c>
      <c r="AB25" s="1353">
        <f>D25/H25</f>
        <v>1</v>
      </c>
      <c r="AC25" s="1353">
        <f>D25/J25</f>
        <v>1</v>
      </c>
    </row>
    <row r="26" spans="1:29" ht="28.5">
      <c r="A26" s="417" t="s">
        <v>1689</v>
      </c>
      <c r="B26" s="63" t="s">
        <v>1830</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882"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59" t="s">
        <v>1691</v>
      </c>
      <c r="Z26" s="1356" t="str">
        <f t="shared" ref="Z26:Z34" si="15">Q26</f>
        <v>公共部分装修</v>
      </c>
      <c r="AA26" s="1353">
        <f t="shared" si="3"/>
        <v>1</v>
      </c>
      <c r="AB26" s="1353">
        <f t="shared" si="4"/>
        <v>1</v>
      </c>
      <c r="AC26" s="1353">
        <f t="shared" si="5"/>
        <v>1</v>
      </c>
    </row>
    <row r="27" spans="1:29" s="422" customFormat="1" ht="15">
      <c r="A27" s="419"/>
      <c r="B27" s="375" t="s">
        <v>1831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859"/>
      <c r="Q27" s="707" t="str">
        <f t="shared" si="11"/>
        <v>成新率</v>
      </c>
      <c r="R27" s="708" t="s">
        <v>14</v>
      </c>
      <c r="S27" s="709" t="e">
        <f t="shared" si="12"/>
        <v>#N/A</v>
      </c>
      <c r="T27" s="708" t="s">
        <v>14</v>
      </c>
      <c r="U27" s="709" t="e">
        <f t="shared" si="13"/>
        <v>#N/A</v>
      </c>
      <c r="V27" s="708" t="s">
        <v>14</v>
      </c>
      <c r="W27" s="709" t="e">
        <f t="shared" si="14"/>
        <v>#N/A</v>
      </c>
      <c r="X27" s="710"/>
      <c r="Y27" s="3859"/>
      <c r="Z27" s="711" t="str">
        <f t="shared" si="15"/>
        <v>成新率</v>
      </c>
      <c r="AA27" s="1353" t="e">
        <f t="shared" si="3"/>
        <v>#N/A</v>
      </c>
      <c r="AB27" s="1353" t="e">
        <f t="shared" si="4"/>
        <v>#N/A</v>
      </c>
      <c r="AC27" s="1353" t="e">
        <f t="shared" si="5"/>
        <v>#N/A</v>
      </c>
    </row>
    <row r="28" spans="1:29" ht="15">
      <c r="A28" s="423"/>
      <c r="B28" s="375" t="s">
        <v>1832</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859"/>
      <c r="Q28" s="1352" t="str">
        <f t="shared" si="11"/>
        <v>物业等级</v>
      </c>
      <c r="R28" s="705" t="s">
        <v>14</v>
      </c>
      <c r="S28" s="706">
        <f t="shared" si="12"/>
        <v>100</v>
      </c>
      <c r="T28" s="705" t="s">
        <v>14</v>
      </c>
      <c r="U28" s="706">
        <f t="shared" si="13"/>
        <v>100</v>
      </c>
      <c r="V28" s="705" t="s">
        <v>14</v>
      </c>
      <c r="W28" s="706">
        <f t="shared" si="14"/>
        <v>100</v>
      </c>
      <c r="X28" s="1355"/>
      <c r="Y28" s="3859"/>
      <c r="Z28" s="1356" t="str">
        <f t="shared" si="15"/>
        <v>物业等级</v>
      </c>
      <c r="AA28" s="1353">
        <f t="shared" si="3"/>
        <v>1</v>
      </c>
      <c r="AB28" s="1353">
        <f t="shared" si="4"/>
        <v>1</v>
      </c>
      <c r="AC28" s="1353">
        <f t="shared" si="5"/>
        <v>1</v>
      </c>
    </row>
    <row r="29" spans="1:29" ht="15">
      <c r="A29" s="423"/>
      <c r="B29" s="375" t="s">
        <v>1852</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859"/>
      <c r="Q29" s="1352" t="str">
        <f t="shared" si="11"/>
        <v>有无电梯</v>
      </c>
      <c r="R29" s="705" t="s">
        <v>14</v>
      </c>
      <c r="S29" s="706">
        <f t="shared" si="12"/>
        <v>100</v>
      </c>
      <c r="T29" s="705" t="s">
        <v>14</v>
      </c>
      <c r="U29" s="706">
        <f t="shared" si="13"/>
        <v>100</v>
      </c>
      <c r="V29" s="705" t="s">
        <v>14</v>
      </c>
      <c r="W29" s="706">
        <f t="shared" si="14"/>
        <v>100</v>
      </c>
      <c r="X29" s="1355"/>
      <c r="Y29" s="3859"/>
      <c r="Z29" s="1356" t="str">
        <f t="shared" si="15"/>
        <v>有无电梯</v>
      </c>
      <c r="AA29" s="1353">
        <f t="shared" si="3"/>
        <v>1</v>
      </c>
      <c r="AB29" s="1353">
        <f t="shared" si="4"/>
        <v>1</v>
      </c>
      <c r="AC29" s="1353">
        <f t="shared" si="5"/>
        <v>1</v>
      </c>
    </row>
    <row r="30" spans="1:29" ht="15">
      <c r="A30" s="423"/>
      <c r="B30" s="375" t="s">
        <v>1853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859"/>
      <c r="Q30" s="1352" t="str">
        <f t="shared" si="11"/>
        <v>建筑面积</v>
      </c>
      <c r="R30" s="705" t="s">
        <v>14</v>
      </c>
      <c r="S30" s="706" t="e">
        <f t="shared" si="12"/>
        <v>#N/A</v>
      </c>
      <c r="T30" s="705" t="s">
        <v>14</v>
      </c>
      <c r="U30" s="706" t="e">
        <f t="shared" si="13"/>
        <v>#N/A</v>
      </c>
      <c r="V30" s="705" t="s">
        <v>14</v>
      </c>
      <c r="W30" s="706" t="e">
        <f t="shared" si="14"/>
        <v>#N/A</v>
      </c>
      <c r="X30" s="1355"/>
      <c r="Y30" s="3859"/>
      <c r="Z30" s="1356" t="str">
        <f t="shared" si="15"/>
        <v>建筑面积</v>
      </c>
      <c r="AA30" s="1353" t="e">
        <f t="shared" si="3"/>
        <v>#N/A</v>
      </c>
      <c r="AB30" s="1353" t="e">
        <f t="shared" si="4"/>
        <v>#N/A</v>
      </c>
      <c r="AC30" s="1353" t="e">
        <f t="shared" si="5"/>
        <v>#N/A</v>
      </c>
    </row>
    <row r="31" spans="1:29" s="108" customFormat="1" ht="15">
      <c r="A31" s="424"/>
      <c r="B31" s="375" t="s">
        <v>1854</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859"/>
      <c r="Q31" s="1343" t="str">
        <f t="shared" si="11"/>
        <v>是否封闭</v>
      </c>
      <c r="R31" s="701" t="s">
        <v>14</v>
      </c>
      <c r="S31" s="702">
        <f t="shared" si="12"/>
        <v>100</v>
      </c>
      <c r="T31" s="701" t="s">
        <v>14</v>
      </c>
      <c r="U31" s="702">
        <f t="shared" si="13"/>
        <v>100</v>
      </c>
      <c r="V31" s="701" t="s">
        <v>14</v>
      </c>
      <c r="W31" s="702">
        <f t="shared" si="14"/>
        <v>100</v>
      </c>
      <c r="X31" s="703"/>
      <c r="Y31" s="385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859" t="s">
        <v>1691</v>
      </c>
      <c r="Q32" s="1352">
        <f t="shared" si="11"/>
        <v>111</v>
      </c>
      <c r="R32" s="705" t="s">
        <v>14</v>
      </c>
      <c r="S32" s="706">
        <f t="shared" si="12"/>
        <v>100</v>
      </c>
      <c r="T32" s="705" t="s">
        <v>14</v>
      </c>
      <c r="U32" s="706">
        <f t="shared" si="13"/>
        <v>100</v>
      </c>
      <c r="V32" s="705" t="s">
        <v>14</v>
      </c>
      <c r="W32" s="706">
        <f t="shared" si="14"/>
        <v>100</v>
      </c>
      <c r="X32" s="1355"/>
      <c r="Y32" s="3859" t="s">
        <v>1691</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859"/>
      <c r="Q33" s="1352">
        <f t="shared" si="11"/>
        <v>111</v>
      </c>
      <c r="R33" s="705" t="s">
        <v>14</v>
      </c>
      <c r="S33" s="706">
        <f t="shared" si="12"/>
        <v>100</v>
      </c>
      <c r="T33" s="705" t="s">
        <v>14</v>
      </c>
      <c r="U33" s="706">
        <f t="shared" si="13"/>
        <v>100</v>
      </c>
      <c r="V33" s="705" t="s">
        <v>14</v>
      </c>
      <c r="W33" s="706">
        <f t="shared" si="14"/>
        <v>100</v>
      </c>
      <c r="X33" s="1355"/>
      <c r="Y33" s="3859"/>
      <c r="Z33" s="1356">
        <f t="shared" si="15"/>
        <v>111</v>
      </c>
      <c r="AA33" s="1353">
        <f t="shared" si="3"/>
        <v>1</v>
      </c>
      <c r="AB33" s="1353">
        <f t="shared" si="4"/>
        <v>1</v>
      </c>
      <c r="AC33" s="1353">
        <f t="shared" si="5"/>
        <v>1</v>
      </c>
    </row>
    <row r="34" spans="1:30" ht="15.75"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859"/>
      <c r="Q34" s="1352">
        <f t="shared" si="11"/>
        <v>111</v>
      </c>
      <c r="R34" s="705" t="s">
        <v>14</v>
      </c>
      <c r="S34" s="706">
        <f t="shared" si="12"/>
        <v>100</v>
      </c>
      <c r="T34" s="705" t="s">
        <v>14</v>
      </c>
      <c r="U34" s="706">
        <f t="shared" si="13"/>
        <v>100</v>
      </c>
      <c r="V34" s="705" t="s">
        <v>14</v>
      </c>
      <c r="W34" s="706">
        <f t="shared" si="14"/>
        <v>100</v>
      </c>
      <c r="X34" s="1355"/>
      <c r="Y34" s="3859"/>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1"/>
      <c r="M35" s="2722"/>
      <c r="N35" s="2713"/>
      <c r="O35" s="2722"/>
      <c r="P35" s="3861" t="str">
        <f>A35</f>
        <v>成交单价（元/平方米）</v>
      </c>
      <c r="Q35" s="3861"/>
      <c r="R35" s="3862">
        <f>E35</f>
        <v>0</v>
      </c>
      <c r="S35" s="3862"/>
      <c r="T35" s="3862">
        <f>G35</f>
        <v>0</v>
      </c>
      <c r="U35" s="3862"/>
      <c r="V35" s="3862">
        <f>I35</f>
        <v>0</v>
      </c>
      <c r="W35" s="3862"/>
      <c r="X35" s="690"/>
      <c r="Y35" s="712"/>
      <c r="Z35" s="690"/>
      <c r="AA35" s="690"/>
      <c r="AB35" s="690"/>
      <c r="AC35" s="690"/>
    </row>
    <row r="36" spans="1:30" ht="15.75" thickBot="1">
      <c r="A36" s="437" t="s">
        <v>1785</v>
      </c>
      <c r="B36" s="438"/>
      <c r="C36" s="1160" t="e">
        <f>R37</f>
        <v>#DIV/0!</v>
      </c>
      <c r="D36" s="2315" t="s">
        <v>2130</v>
      </c>
      <c r="E36" s="1161" t="e">
        <f>R36</f>
        <v>#DIV/0!</v>
      </c>
      <c r="F36" s="2316"/>
      <c r="G36" s="1160" t="e">
        <f>T36</f>
        <v>#DIV/0!</v>
      </c>
      <c r="H36" s="2316"/>
      <c r="I36" s="1161" t="e">
        <f>V36</f>
        <v>#DIV/0!</v>
      </c>
      <c r="J36" s="2316"/>
      <c r="K36" s="2318">
        <f>F36+H36+J36</f>
        <v>0</v>
      </c>
      <c r="L36" s="2721"/>
      <c r="M36" s="2722"/>
      <c r="N36" s="2713"/>
      <c r="O36" s="2722"/>
      <c r="P36" s="3861" t="str">
        <f>A36</f>
        <v>比较价值（元/平方米）</v>
      </c>
      <c r="Q36" s="3861"/>
      <c r="R36" s="3862" t="e">
        <f>IF(F1="售价",ROUND(PRODUCT(R35,AA7:AA34),0),ROUND(PRODUCT(R35,AA7:AA34),1))</f>
        <v>#DIV/0!</v>
      </c>
      <c r="S36" s="3862"/>
      <c r="T36" s="3862" t="e">
        <f>IF(F1="售价",ROUND(PRODUCT(T35,AB7:AB34),0),ROUND(PRODUCT(T35,AB7:AB34),1))</f>
        <v>#DIV/0!</v>
      </c>
      <c r="U36" s="3862"/>
      <c r="V36" s="3862" t="e">
        <f>IF(F1="售价",ROUND(PRODUCT(V35,AC7:AC34),0),ROUND(PRODUCT(V35,AC7:AC34),1))</f>
        <v>#DIV/0!</v>
      </c>
      <c r="W36" s="3862"/>
      <c r="X36" s="690"/>
      <c r="Y36" s="690"/>
      <c r="Z36" s="690"/>
      <c r="AA36" s="690"/>
      <c r="AB36" s="690"/>
      <c r="AC36" s="690"/>
    </row>
    <row r="37" spans="1:30" ht="15.75" thickBot="1">
      <c r="A37" s="441" t="s">
        <v>1786</v>
      </c>
      <c r="B37" s="442"/>
      <c r="C37" s="1163" t="e">
        <f>R37</f>
        <v>#DIV/0!</v>
      </c>
      <c r="D37" s="1163"/>
      <c r="E37" s="1163"/>
      <c r="F37" s="1163"/>
      <c r="G37" s="1163"/>
      <c r="H37" s="1163"/>
      <c r="I37" s="1163"/>
      <c r="J37" s="1163"/>
      <c r="K37" s="715"/>
      <c r="L37" s="2721"/>
      <c r="M37" s="2722"/>
      <c r="N37" s="2722"/>
      <c r="O37" s="2722"/>
      <c r="P37" s="3863" t="str">
        <f>A37</f>
        <v>估价对象XX用房的比较价值（楼面单价，元/平方米）</v>
      </c>
      <c r="Q37" s="3864"/>
      <c r="R37" s="3883" t="e">
        <f>IF(F1="售价",ROUND(IF(D36="简单平均",AVERAGE(R36:W36),R36*F36+T36*H36+V36*J36),0),ROUND(IF(D36="简单平均",AVERAGE(R36:V36),R36*F36+T36*H36+V36*J36),1))</f>
        <v>#DIV/0!</v>
      </c>
      <c r="S37" s="3883"/>
      <c r="T37" s="3883"/>
      <c r="U37" s="3883"/>
      <c r="V37" s="3883"/>
      <c r="W37" s="388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1787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1788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1789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1790</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1674</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1709</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1676</v>
      </c>
      <c r="B49" s="459"/>
      <c r="C49" s="471" t="s">
        <v>1768</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1711</v>
      </c>
      <c r="B51" s="477" t="s">
        <v>1680</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1683</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1685</v>
      </c>
      <c r="B61" s="477" t="s">
        <v>1718</v>
      </c>
      <c r="C61" s="522" t="s">
        <v>1713</v>
      </c>
      <c r="D61" s="522" t="s">
        <v>1714</v>
      </c>
      <c r="E61" s="522" t="s">
        <v>1715</v>
      </c>
      <c r="F61" s="522" t="s">
        <v>1716</v>
      </c>
      <c r="G61" s="522" t="s">
        <v>1717</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1855</v>
      </c>
      <c r="C63" s="527" t="s">
        <v>1713</v>
      </c>
      <c r="D63" s="527" t="s">
        <v>1714</v>
      </c>
      <c r="E63" s="527" t="s">
        <v>1715</v>
      </c>
      <c r="F63" s="527" t="s">
        <v>1716</v>
      </c>
      <c r="G63" s="527" t="s">
        <v>1717</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1805</v>
      </c>
      <c r="C65" s="608" t="s">
        <v>1791</v>
      </c>
      <c r="D65" s="608" t="s">
        <v>1792</v>
      </c>
      <c r="E65" s="608" t="s">
        <v>1793</v>
      </c>
      <c r="F65" s="608" t="s">
        <v>1794</v>
      </c>
      <c r="G65" s="608" t="s">
        <v>1795</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1725</v>
      </c>
      <c r="C67" s="527" t="s">
        <v>1713</v>
      </c>
      <c r="D67" s="527" t="s">
        <v>1714</v>
      </c>
      <c r="E67" s="527" t="s">
        <v>1715</v>
      </c>
      <c r="F67" s="527" t="s">
        <v>1716</v>
      </c>
      <c r="G67" s="527" t="s">
        <v>1717</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1844</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1689</v>
      </c>
      <c r="B77" s="477" t="s">
        <v>1732</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1847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1848</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1856</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1857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1858</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1859</v>
      </c>
      <c r="B1" s="349"/>
      <c r="C1" s="350" t="s">
        <v>1860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1458</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30"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30" ht="15.75" thickBot="1">
      <c r="A6" s="360"/>
      <c r="B6" s="361"/>
      <c r="C6" s="3841" t="s">
        <v>1672</v>
      </c>
      <c r="D6" s="3842"/>
      <c r="E6" s="3843" t="s">
        <v>1672</v>
      </c>
      <c r="F6" s="3844"/>
      <c r="G6" s="3841" t="s">
        <v>1672</v>
      </c>
      <c r="H6" s="3842"/>
      <c r="I6" s="3841" t="s">
        <v>1672</v>
      </c>
      <c r="J6" s="3842"/>
      <c r="K6" s="559" t="s">
        <v>1673</v>
      </c>
      <c r="L6" s="2712"/>
      <c r="M6" s="2713"/>
      <c r="N6" s="2713"/>
      <c r="O6" s="2713"/>
      <c r="P6" s="3830"/>
      <c r="Q6" s="3831"/>
      <c r="R6" s="3834"/>
      <c r="S6" s="3835"/>
      <c r="T6" s="3845"/>
      <c r="U6" s="3846"/>
      <c r="V6" s="3847"/>
      <c r="W6" s="3847"/>
      <c r="X6" s="1355"/>
      <c r="Y6" s="3845"/>
      <c r="Z6" s="3846"/>
      <c r="AA6" s="3821"/>
      <c r="AB6" s="3821"/>
      <c r="AC6" s="3821"/>
    </row>
    <row r="7" spans="1:30" s="108" customFormat="1" ht="15.75" thickBot="1">
      <c r="A7" s="362" t="s">
        <v>1674</v>
      </c>
      <c r="B7" s="363"/>
      <c r="C7" s="364">
        <f>'数据-取费表'!B2</f>
        <v>44977</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48" t="s">
        <v>1678</v>
      </c>
      <c r="Q8" s="3850"/>
      <c r="R8" s="701" t="s">
        <v>14</v>
      </c>
      <c r="S8" s="702">
        <f t="shared" si="0"/>
        <v>0</v>
      </c>
      <c r="T8" s="701" t="s">
        <v>14</v>
      </c>
      <c r="U8" s="702">
        <f t="shared" si="1"/>
        <v>0</v>
      </c>
      <c r="V8" s="701" t="s">
        <v>14</v>
      </c>
      <c r="W8" s="702">
        <f t="shared" si="2"/>
        <v>0</v>
      </c>
      <c r="X8" s="703"/>
      <c r="Y8" s="3848" t="s">
        <v>1678</v>
      </c>
      <c r="Z8" s="3850"/>
      <c r="AA8" s="704" t="e">
        <f t="shared" ref="AA8:AA45" si="3">D8/F8</f>
        <v>#DIV/0!</v>
      </c>
      <c r="AB8" s="704" t="e">
        <f t="shared" ref="AB8:AB45" si="4">D8/H8</f>
        <v>#DIV/0!</v>
      </c>
      <c r="AC8" s="704" t="e">
        <f t="shared" ref="AC8:AC45" si="5">D8/J8</f>
        <v>#DIV/0!</v>
      </c>
    </row>
    <row r="9" spans="1:30" s="108" customFormat="1">
      <c r="A9" s="369" t="s">
        <v>1679</v>
      </c>
      <c r="B9" s="63" t="s">
        <v>1680</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86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t="e">
        <f>ROUND(100/'数据-取费表'!G16,0)</f>
        <v>#DIV/0!</v>
      </c>
      <c r="G10" s="414"/>
      <c r="H10" s="127" t="e">
        <f>ROUND(100/'数据-取费表'!G16,0)</f>
        <v>#DIV/0!</v>
      </c>
      <c r="I10" s="414"/>
      <c r="J10" s="127" t="e">
        <f>ROUND(100/'数据-取费表'!G16,0)</f>
        <v>#DIV/0!</v>
      </c>
      <c r="K10" s="620"/>
      <c r="L10" s="2716"/>
      <c r="M10" s="2717"/>
      <c r="N10" s="2717"/>
      <c r="O10" s="2770"/>
      <c r="P10" s="3861"/>
      <c r="Q10" s="1343" t="str">
        <f t="shared" si="6"/>
        <v>土地使用年限（年）</v>
      </c>
      <c r="R10" s="701" t="s">
        <v>14</v>
      </c>
      <c r="S10" s="702" t="e">
        <f t="shared" si="0"/>
        <v>#DIV/0!</v>
      </c>
      <c r="T10" s="701" t="s">
        <v>14</v>
      </c>
      <c r="U10" s="702" t="e">
        <f t="shared" si="1"/>
        <v>#DIV/0!</v>
      </c>
      <c r="V10" s="701" t="s">
        <v>14</v>
      </c>
      <c r="W10" s="702" t="e">
        <f t="shared" si="2"/>
        <v>#DIV/0!</v>
      </c>
      <c r="X10" s="703"/>
      <c r="Y10" s="3715"/>
      <c r="Z10" s="52" t="str">
        <f t="shared" si="7"/>
        <v>土地使用年限（年）</v>
      </c>
      <c r="AA10" s="704" t="e">
        <f t="shared" si="3"/>
        <v>#DIV/0!</v>
      </c>
      <c r="AB10" s="704" t="e">
        <f t="shared" si="4"/>
        <v>#DIV/0!</v>
      </c>
      <c r="AC10" s="704" t="e">
        <f t="shared" si="5"/>
        <v>#DIV/0!</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861"/>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30" s="108" customFormat="1" ht="15">
      <c r="A12" s="382"/>
      <c r="B12" s="1893" t="s">
        <v>1862</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861"/>
      <c r="Q12" s="1343" t="str">
        <f t="shared" si="6"/>
        <v>配建</v>
      </c>
      <c r="R12" s="701" t="s">
        <v>14</v>
      </c>
      <c r="S12" s="702">
        <f t="shared" si="0"/>
        <v>100</v>
      </c>
      <c r="T12" s="701" t="s">
        <v>14</v>
      </c>
      <c r="U12" s="702">
        <f t="shared" si="1"/>
        <v>100</v>
      </c>
      <c r="V12" s="701" t="s">
        <v>14</v>
      </c>
      <c r="W12" s="702">
        <f t="shared" si="2"/>
        <v>100</v>
      </c>
      <c r="X12" s="703"/>
      <c r="Y12" s="37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861"/>
      <c r="Q14" s="1343">
        <f t="shared" si="6"/>
        <v>111</v>
      </c>
      <c r="R14" s="701" t="s">
        <v>14</v>
      </c>
      <c r="S14" s="702">
        <f t="shared" si="0"/>
        <v>100</v>
      </c>
      <c r="T14" s="701" t="s">
        <v>14</v>
      </c>
      <c r="U14" s="702">
        <f t="shared" si="1"/>
        <v>100</v>
      </c>
      <c r="V14" s="701" t="s">
        <v>14</v>
      </c>
      <c r="W14" s="702">
        <f t="shared" si="2"/>
        <v>100</v>
      </c>
      <c r="X14" s="703"/>
      <c r="Y14" s="3715"/>
      <c r="Z14" s="52">
        <f t="shared" si="7"/>
        <v>111</v>
      </c>
      <c r="AA14" s="704">
        <f>D14/F14</f>
        <v>1</v>
      </c>
      <c r="AB14" s="704">
        <f>D14/H14</f>
        <v>1</v>
      </c>
      <c r="AC14" s="704">
        <f>D14/J14</f>
        <v>1</v>
      </c>
    </row>
    <row r="15" spans="1:30" ht="99.75">
      <c r="A15" s="391" t="s">
        <v>1685</v>
      </c>
      <c r="B15" s="61" t="s">
        <v>1253</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854" t="s">
        <v>1686</v>
      </c>
      <c r="Q15" s="1352" t="str">
        <f t="shared" si="6"/>
        <v>居住社区成熟度</v>
      </c>
      <c r="R15" s="705" t="s">
        <v>14</v>
      </c>
      <c r="S15" s="706">
        <f t="shared" si="0"/>
        <v>100</v>
      </c>
      <c r="T15" s="705" t="s">
        <v>14</v>
      </c>
      <c r="U15" s="706">
        <f t="shared" si="1"/>
        <v>100</v>
      </c>
      <c r="V15" s="705" t="s">
        <v>14</v>
      </c>
      <c r="W15" s="706">
        <f t="shared" si="2"/>
        <v>100</v>
      </c>
      <c r="X15" s="1355"/>
      <c r="Y15" s="3854" t="s">
        <v>1686</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855"/>
      <c r="Q16" s="1352"/>
      <c r="R16" s="705"/>
      <c r="S16" s="706"/>
      <c r="T16" s="705"/>
      <c r="U16" s="706"/>
      <c r="V16" s="705"/>
      <c r="W16" s="706"/>
      <c r="X16" s="1355"/>
      <c r="Y16" s="3855"/>
      <c r="Z16" s="1356"/>
      <c r="AA16" s="1353">
        <v>1</v>
      </c>
      <c r="AB16" s="1353">
        <v>1</v>
      </c>
      <c r="AC16" s="1353">
        <v>1</v>
      </c>
    </row>
    <row r="17" spans="1:29" ht="71.25">
      <c r="A17" s="379"/>
      <c r="B17" s="402" t="s">
        <v>1769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855"/>
      <c r="Q17" s="1352" t="str">
        <f>B17</f>
        <v>商业繁华度</v>
      </c>
      <c r="R17" s="705" t="s">
        <v>14</v>
      </c>
      <c r="S17" s="706">
        <f>F17</f>
        <v>100</v>
      </c>
      <c r="T17" s="705" t="s">
        <v>14</v>
      </c>
      <c r="U17" s="706">
        <f>H17</f>
        <v>100</v>
      </c>
      <c r="V17" s="705" t="s">
        <v>14</v>
      </c>
      <c r="W17" s="706">
        <f>J17</f>
        <v>100</v>
      </c>
      <c r="X17" s="1355"/>
      <c r="Y17" s="38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855"/>
      <c r="Q18" s="1352"/>
      <c r="R18" s="705"/>
      <c r="S18" s="706"/>
      <c r="T18" s="705"/>
      <c r="U18" s="706"/>
      <c r="V18" s="705"/>
      <c r="W18" s="706"/>
      <c r="X18" s="1355"/>
      <c r="Y18" s="3855"/>
      <c r="Z18" s="1356"/>
      <c r="AA18" s="1353">
        <v>1</v>
      </c>
      <c r="AB18" s="1353">
        <v>1</v>
      </c>
      <c r="AC18" s="1353">
        <v>1</v>
      </c>
    </row>
    <row r="19" spans="1:29" ht="71.25">
      <c r="A19" s="379"/>
      <c r="B19" s="402" t="s">
        <v>1803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855"/>
      <c r="Q19" s="1352" t="str">
        <f>B19</f>
        <v>办公集聚程度</v>
      </c>
      <c r="R19" s="705" t="s">
        <v>14</v>
      </c>
      <c r="S19" s="706">
        <f>F19</f>
        <v>100</v>
      </c>
      <c r="T19" s="705" t="s">
        <v>14</v>
      </c>
      <c r="U19" s="706">
        <f>H19</f>
        <v>100</v>
      </c>
      <c r="V19" s="705" t="s">
        <v>14</v>
      </c>
      <c r="W19" s="706">
        <f>J19</f>
        <v>100</v>
      </c>
      <c r="X19" s="1355"/>
      <c r="Y19" s="38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855"/>
      <c r="Q20" s="1352"/>
      <c r="R20" s="705"/>
      <c r="S20" s="706"/>
      <c r="T20" s="705"/>
      <c r="U20" s="706"/>
      <c r="V20" s="705"/>
      <c r="W20" s="706"/>
      <c r="X20" s="1355"/>
      <c r="Y20" s="3855"/>
      <c r="Z20" s="1356"/>
      <c r="AA20" s="1353">
        <v>1</v>
      </c>
      <c r="AB20" s="1353">
        <v>1</v>
      </c>
      <c r="AC20" s="1353">
        <v>1</v>
      </c>
    </row>
    <row r="21" spans="1:29" ht="85.5">
      <c r="A21" s="379"/>
      <c r="B21" s="402" t="s">
        <v>1825</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855"/>
      <c r="Q21" s="1352" t="str">
        <f>B21</f>
        <v>交通便捷度</v>
      </c>
      <c r="R21" s="705" t="s">
        <v>14</v>
      </c>
      <c r="S21" s="706">
        <f>F21</f>
        <v>100</v>
      </c>
      <c r="T21" s="705" t="s">
        <v>14</v>
      </c>
      <c r="U21" s="706">
        <f>H21</f>
        <v>100</v>
      </c>
      <c r="V21" s="705" t="s">
        <v>14</v>
      </c>
      <c r="W21" s="706">
        <f>J21</f>
        <v>100</v>
      </c>
      <c r="X21" s="1355"/>
      <c r="Y21" s="38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855"/>
      <c r="Q22" s="1352"/>
      <c r="R22" s="705"/>
      <c r="S22" s="706"/>
      <c r="T22" s="705"/>
      <c r="U22" s="706"/>
      <c r="V22" s="705"/>
      <c r="W22" s="706"/>
      <c r="X22" s="1355"/>
      <c r="Y22" s="3855"/>
      <c r="Z22" s="1356"/>
      <c r="AA22" s="1353">
        <v>1</v>
      </c>
      <c r="AB22" s="1353">
        <v>1</v>
      </c>
      <c r="AC22" s="1353">
        <v>1</v>
      </c>
    </row>
    <row r="23" spans="1:29" ht="15">
      <c r="A23" s="358"/>
      <c r="B23" s="402" t="s">
        <v>1863</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855"/>
      <c r="Q23" s="1352" t="str">
        <f t="shared" ref="Q23:Q37" si="8">B23</f>
        <v>区域土地利用方向</v>
      </c>
      <c r="R23" s="705" t="s">
        <v>14</v>
      </c>
      <c r="S23" s="706">
        <f>F23</f>
        <v>100</v>
      </c>
      <c r="T23" s="705" t="s">
        <v>14</v>
      </c>
      <c r="U23" s="706">
        <f>H23</f>
        <v>100</v>
      </c>
      <c r="V23" s="705" t="s">
        <v>14</v>
      </c>
      <c r="W23" s="706">
        <f>J23</f>
        <v>100</v>
      </c>
      <c r="X23" s="1355"/>
      <c r="Y23" s="38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855"/>
      <c r="Q24" s="1352"/>
      <c r="R24" s="705"/>
      <c r="S24" s="706"/>
      <c r="T24" s="705"/>
      <c r="U24" s="706"/>
      <c r="V24" s="705"/>
      <c r="W24" s="706"/>
      <c r="X24" s="1355"/>
      <c r="Y24" s="3855"/>
      <c r="Z24" s="1356"/>
      <c r="AA24" s="1353"/>
      <c r="AB24" s="1353"/>
      <c r="AC24" s="1353"/>
    </row>
    <row r="25" spans="1:29" ht="57">
      <c r="A25" s="358"/>
      <c r="B25" s="1131" t="s">
        <v>1864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855"/>
      <c r="Q25" s="1352" t="str">
        <f t="shared" si="8"/>
        <v>自然及人文环境状况</v>
      </c>
      <c r="R25" s="705" t="s">
        <v>14</v>
      </c>
      <c r="S25" s="706">
        <f>F25</f>
        <v>100</v>
      </c>
      <c r="T25" s="705" t="s">
        <v>14</v>
      </c>
      <c r="U25" s="706">
        <f>H25</f>
        <v>100</v>
      </c>
      <c r="V25" s="705" t="s">
        <v>14</v>
      </c>
      <c r="W25" s="706">
        <f>J25</f>
        <v>100</v>
      </c>
      <c r="X25" s="1355"/>
      <c r="Y25" s="38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855"/>
      <c r="Q26" s="1352"/>
      <c r="R26" s="705"/>
      <c r="S26" s="706"/>
      <c r="T26" s="705"/>
      <c r="U26" s="706"/>
      <c r="V26" s="705"/>
      <c r="W26" s="706"/>
      <c r="X26" s="1355"/>
      <c r="Y26" s="3855"/>
      <c r="Z26" s="1356"/>
      <c r="AA26" s="1353">
        <v>1</v>
      </c>
      <c r="AB26" s="1353">
        <v>1</v>
      </c>
      <c r="AC26" s="1353">
        <v>1</v>
      </c>
    </row>
    <row r="27" spans="1:29" s="108" customFormat="1" ht="42.75">
      <c r="A27" s="597"/>
      <c r="B27" s="1131" t="s">
        <v>1770</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855"/>
      <c r="Q27" s="1343" t="str">
        <f t="shared" si="8"/>
        <v>公共配套设施</v>
      </c>
      <c r="R27" s="701" t="s">
        <v>14</v>
      </c>
      <c r="S27" s="702">
        <f>F27</f>
        <v>100</v>
      </c>
      <c r="T27" s="701" t="s">
        <v>14</v>
      </c>
      <c r="U27" s="702">
        <f>H27</f>
        <v>100</v>
      </c>
      <c r="V27" s="701" t="s">
        <v>14</v>
      </c>
      <c r="W27" s="702">
        <f>J27</f>
        <v>100</v>
      </c>
      <c r="X27" s="703"/>
      <c r="Y27" s="3855"/>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4"/>
      <c r="M28" s="2715"/>
      <c r="N28" s="2715"/>
      <c r="O28" s="2769"/>
      <c r="P28" s="3855"/>
      <c r="Q28" s="1343"/>
      <c r="R28" s="701"/>
      <c r="S28" s="702"/>
      <c r="T28" s="701"/>
      <c r="U28" s="702"/>
      <c r="V28" s="701"/>
      <c r="W28" s="702"/>
      <c r="X28" s="703"/>
      <c r="Y28" s="3855"/>
      <c r="Z28" s="52"/>
      <c r="AA28" s="1353">
        <v>1</v>
      </c>
      <c r="AB28" s="1353">
        <v>1</v>
      </c>
      <c r="AC28" s="1353">
        <v>1</v>
      </c>
    </row>
    <row r="29" spans="1:29" s="108" customFormat="1" ht="28.5">
      <c r="A29" s="597"/>
      <c r="B29" s="1131" t="s">
        <v>1771</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855"/>
      <c r="Q29" s="1343" t="str">
        <f t="shared" ref="Q29" si="9">B29</f>
        <v>基础设施水平</v>
      </c>
      <c r="R29" s="701" t="s">
        <v>14</v>
      </c>
      <c r="S29" s="702">
        <f>F29</f>
        <v>100</v>
      </c>
      <c r="T29" s="701" t="s">
        <v>14</v>
      </c>
      <c r="U29" s="702">
        <f>H29</f>
        <v>100</v>
      </c>
      <c r="V29" s="701" t="s">
        <v>14</v>
      </c>
      <c r="W29" s="702">
        <f>J29</f>
        <v>100</v>
      </c>
      <c r="X29" s="703"/>
      <c r="Y29" s="3855"/>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4"/>
      <c r="M30" s="2715"/>
      <c r="N30" s="2715"/>
      <c r="O30" s="2769"/>
      <c r="P30" s="3855"/>
      <c r="Q30" s="1343"/>
      <c r="R30" s="701"/>
      <c r="S30" s="702"/>
      <c r="T30" s="701"/>
      <c r="U30" s="702"/>
      <c r="V30" s="701"/>
      <c r="W30" s="702"/>
      <c r="X30" s="703"/>
      <c r="Y30" s="3855"/>
      <c r="Z30" s="52"/>
      <c r="AA30" s="1353">
        <v>1</v>
      </c>
      <c r="AB30" s="1353">
        <v>1</v>
      </c>
      <c r="AC30" s="1353">
        <v>1</v>
      </c>
    </row>
    <row r="31" spans="1:29" ht="15">
      <c r="A31" s="379"/>
      <c r="B31" s="407" t="s">
        <v>1772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8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55"/>
      <c r="Z31" s="1356" t="str">
        <f t="shared" ref="Z31:Z45" si="13">Q31</f>
        <v>临街状况</v>
      </c>
      <c r="AA31" s="1353">
        <f t="shared" si="3"/>
        <v>1</v>
      </c>
      <c r="AB31" s="1353">
        <f t="shared" si="4"/>
        <v>1</v>
      </c>
      <c r="AC31" s="1353">
        <f t="shared" si="5"/>
        <v>1</v>
      </c>
    </row>
    <row r="32" spans="1:29" ht="27">
      <c r="A32" s="379"/>
      <c r="B32" s="1131" t="s">
        <v>1807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855"/>
      <c r="Q32" s="1352" t="str">
        <f t="shared" si="8"/>
        <v>毗邻道路的类型与等级</v>
      </c>
      <c r="R32" s="705" t="s">
        <v>14</v>
      </c>
      <c r="S32" s="706">
        <f t="shared" si="10"/>
        <v>100</v>
      </c>
      <c r="T32" s="705" t="s">
        <v>14</v>
      </c>
      <c r="U32" s="706">
        <f t="shared" si="11"/>
        <v>100</v>
      </c>
      <c r="V32" s="705" t="s">
        <v>14</v>
      </c>
      <c r="W32" s="706">
        <f t="shared" si="12"/>
        <v>100</v>
      </c>
      <c r="X32" s="1355"/>
      <c r="Y32" s="38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855"/>
      <c r="Q33" s="1352"/>
      <c r="R33" s="705"/>
      <c r="S33" s="706"/>
      <c r="T33" s="705"/>
      <c r="U33" s="706"/>
      <c r="V33" s="705"/>
      <c r="W33" s="706"/>
      <c r="X33" s="1355"/>
      <c r="Y33" s="3855"/>
      <c r="Z33" s="1356"/>
      <c r="AA33" s="1353">
        <v>1</v>
      </c>
      <c r="AB33" s="1353">
        <v>1</v>
      </c>
      <c r="AC33" s="1353">
        <v>1</v>
      </c>
    </row>
    <row r="34" spans="1:29" ht="15">
      <c r="A34" s="379"/>
      <c r="B34" s="375" t="s">
        <v>1865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855"/>
      <c r="Q34" s="1352" t="str">
        <f t="shared" si="8"/>
        <v>土地级别</v>
      </c>
      <c r="R34" s="705" t="s">
        <v>14</v>
      </c>
      <c r="S34" s="706">
        <f t="shared" si="10"/>
        <v>100</v>
      </c>
      <c r="T34" s="705" t="s">
        <v>14</v>
      </c>
      <c r="U34" s="706">
        <f t="shared" si="11"/>
        <v>100</v>
      </c>
      <c r="V34" s="705" t="s">
        <v>14</v>
      </c>
      <c r="W34" s="706">
        <f t="shared" si="12"/>
        <v>100</v>
      </c>
      <c r="X34" s="1355"/>
      <c r="Y34" s="38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855"/>
      <c r="Q35" s="1352">
        <f t="shared" si="8"/>
        <v>111</v>
      </c>
      <c r="R35" s="705" t="s">
        <v>14</v>
      </c>
      <c r="S35" s="706">
        <f t="shared" si="10"/>
        <v>100</v>
      </c>
      <c r="T35" s="705" t="s">
        <v>14</v>
      </c>
      <c r="U35" s="706">
        <f t="shared" si="11"/>
        <v>100</v>
      </c>
      <c r="V35" s="705" t="s">
        <v>14</v>
      </c>
      <c r="W35" s="706">
        <f t="shared" si="12"/>
        <v>100</v>
      </c>
      <c r="X35" s="1355"/>
      <c r="Y35" s="38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82" t="s">
        <v>1691</v>
      </c>
      <c r="Q36" s="1352">
        <f t="shared" si="8"/>
        <v>111</v>
      </c>
      <c r="R36" s="705" t="s">
        <v>14</v>
      </c>
      <c r="S36" s="706">
        <f t="shared" si="10"/>
        <v>100</v>
      </c>
      <c r="T36" s="705" t="s">
        <v>14</v>
      </c>
      <c r="U36" s="706">
        <f t="shared" si="11"/>
        <v>100</v>
      </c>
      <c r="V36" s="705" t="s">
        <v>14</v>
      </c>
      <c r="W36" s="706">
        <f t="shared" si="12"/>
        <v>100</v>
      </c>
      <c r="X36" s="1355"/>
      <c r="Y36" s="3859"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859"/>
      <c r="Q37" s="1352">
        <f t="shared" si="8"/>
        <v>111</v>
      </c>
      <c r="R37" s="708" t="s">
        <v>14</v>
      </c>
      <c r="S37" s="709">
        <f t="shared" si="10"/>
        <v>100</v>
      </c>
      <c r="T37" s="708" t="s">
        <v>14</v>
      </c>
      <c r="U37" s="709">
        <f t="shared" si="11"/>
        <v>100</v>
      </c>
      <c r="V37" s="708" t="s">
        <v>14</v>
      </c>
      <c r="W37" s="709">
        <f t="shared" si="12"/>
        <v>100</v>
      </c>
      <c r="X37" s="710"/>
      <c r="Y37" s="3859"/>
      <c r="Z37" s="711">
        <f t="shared" si="13"/>
        <v>111</v>
      </c>
      <c r="AA37" s="1353">
        <f t="shared" si="3"/>
        <v>1</v>
      </c>
      <c r="AB37" s="1353">
        <f t="shared" si="4"/>
        <v>1</v>
      </c>
      <c r="AC37" s="1353">
        <f t="shared" si="5"/>
        <v>1</v>
      </c>
    </row>
    <row r="38" spans="1:29" ht="15">
      <c r="A38" s="423" t="s">
        <v>1689</v>
      </c>
      <c r="B38" s="407" t="s">
        <v>1866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859"/>
      <c r="Q38" s="1352" t="str">
        <f>B38</f>
        <v>宗地面积</v>
      </c>
      <c r="R38" s="705" t="s">
        <v>14</v>
      </c>
      <c r="S38" s="706" t="e">
        <f t="shared" si="10"/>
        <v>#N/A</v>
      </c>
      <c r="T38" s="705" t="s">
        <v>14</v>
      </c>
      <c r="U38" s="706" t="e">
        <f t="shared" si="11"/>
        <v>#N/A</v>
      </c>
      <c r="V38" s="705" t="s">
        <v>14</v>
      </c>
      <c r="W38" s="706" t="e">
        <f t="shared" si="12"/>
        <v>#N/A</v>
      </c>
      <c r="X38" s="1355"/>
      <c r="Y38" s="3859"/>
      <c r="Z38" s="1356" t="str">
        <f t="shared" si="13"/>
        <v>宗地面积</v>
      </c>
      <c r="AA38" s="1353" t="e">
        <f t="shared" si="3"/>
        <v>#N/A</v>
      </c>
      <c r="AB38" s="1353" t="e">
        <f t="shared" si="4"/>
        <v>#N/A</v>
      </c>
      <c r="AC38" s="1353" t="e">
        <f t="shared" si="5"/>
        <v>#N/A</v>
      </c>
    </row>
    <row r="39" spans="1:29" ht="15">
      <c r="A39" s="423"/>
      <c r="B39" s="375" t="s">
        <v>1867</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859"/>
      <c r="Q39" s="1352" t="str">
        <f t="shared" ref="Q39:Q45" si="14">B39</f>
        <v>宗地形状</v>
      </c>
      <c r="R39" s="705" t="s">
        <v>14</v>
      </c>
      <c r="S39" s="706">
        <f t="shared" si="10"/>
        <v>100</v>
      </c>
      <c r="T39" s="705" t="s">
        <v>14</v>
      </c>
      <c r="U39" s="706">
        <f t="shared" si="11"/>
        <v>100</v>
      </c>
      <c r="V39" s="705" t="s">
        <v>14</v>
      </c>
      <c r="W39" s="706">
        <f t="shared" si="12"/>
        <v>100</v>
      </c>
      <c r="X39" s="1355"/>
      <c r="Y39" s="3859"/>
      <c r="Z39" s="1356" t="str">
        <f t="shared" si="13"/>
        <v>宗地形状</v>
      </c>
      <c r="AA39" s="1353">
        <f t="shared" si="3"/>
        <v>1</v>
      </c>
      <c r="AB39" s="1353">
        <f t="shared" si="4"/>
        <v>1</v>
      </c>
      <c r="AC39" s="1353">
        <f t="shared" si="5"/>
        <v>1</v>
      </c>
    </row>
    <row r="40" spans="1:29" ht="15">
      <c r="A40" s="423"/>
      <c r="B40" s="375" t="s">
        <v>1868</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859"/>
      <c r="Q40" s="1352" t="str">
        <f t="shared" si="14"/>
        <v>临街宽度及深度</v>
      </c>
      <c r="R40" s="705" t="s">
        <v>14</v>
      </c>
      <c r="S40" s="706">
        <f t="shared" si="10"/>
        <v>100</v>
      </c>
      <c r="T40" s="705" t="s">
        <v>14</v>
      </c>
      <c r="U40" s="706">
        <f t="shared" si="11"/>
        <v>100</v>
      </c>
      <c r="V40" s="705" t="s">
        <v>14</v>
      </c>
      <c r="W40" s="706">
        <f t="shared" si="12"/>
        <v>100</v>
      </c>
      <c r="X40" s="1355"/>
      <c r="Y40" s="3859"/>
      <c r="Z40" s="1356" t="str">
        <f t="shared" si="13"/>
        <v>临街宽度及深度</v>
      </c>
      <c r="AA40" s="1353">
        <f t="shared" si="3"/>
        <v>1</v>
      </c>
      <c r="AB40" s="1353">
        <f t="shared" si="4"/>
        <v>1</v>
      </c>
      <c r="AC40" s="1353">
        <f t="shared" si="5"/>
        <v>1</v>
      </c>
    </row>
    <row r="41" spans="1:29" s="108" customFormat="1" ht="15">
      <c r="A41" s="424"/>
      <c r="B41" s="375" t="s">
        <v>1869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859"/>
      <c r="Q41" s="1352" t="str">
        <f t="shared" si="14"/>
        <v>宗地开发程度</v>
      </c>
      <c r="R41" s="701" t="s">
        <v>14</v>
      </c>
      <c r="S41" s="702">
        <f t="shared" si="10"/>
        <v>100</v>
      </c>
      <c r="T41" s="701" t="s">
        <v>14</v>
      </c>
      <c r="U41" s="702">
        <f t="shared" si="11"/>
        <v>100</v>
      </c>
      <c r="V41" s="701" t="s">
        <v>14</v>
      </c>
      <c r="W41" s="702">
        <f t="shared" si="12"/>
        <v>100</v>
      </c>
      <c r="X41" s="703"/>
      <c r="Y41" s="3859"/>
      <c r="Z41" s="52" t="str">
        <f t="shared" si="13"/>
        <v>宗地开发程度</v>
      </c>
      <c r="AA41" s="704">
        <f t="shared" si="3"/>
        <v>1</v>
      </c>
      <c r="AB41" s="704">
        <f t="shared" si="4"/>
        <v>1</v>
      </c>
      <c r="AC41" s="704">
        <f t="shared" si="5"/>
        <v>1</v>
      </c>
    </row>
    <row r="42" spans="1:29" ht="15">
      <c r="A42" s="423"/>
      <c r="B42" s="375" t="s">
        <v>1870</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859" t="s">
        <v>1691</v>
      </c>
      <c r="Q42" s="1352" t="str">
        <f t="shared" si="14"/>
        <v>工程地质条件</v>
      </c>
      <c r="R42" s="705" t="s">
        <v>14</v>
      </c>
      <c r="S42" s="706">
        <f t="shared" si="10"/>
        <v>100</v>
      </c>
      <c r="T42" s="705" t="s">
        <v>14</v>
      </c>
      <c r="U42" s="706">
        <f t="shared" si="11"/>
        <v>100</v>
      </c>
      <c r="V42" s="705" t="s">
        <v>14</v>
      </c>
      <c r="W42" s="706">
        <f t="shared" si="12"/>
        <v>100</v>
      </c>
      <c r="X42" s="1355"/>
      <c r="Y42" s="3859"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859"/>
      <c r="Q43" s="1352">
        <f t="shared" si="14"/>
        <v>111</v>
      </c>
      <c r="R43" s="705" t="s">
        <v>14</v>
      </c>
      <c r="S43" s="706">
        <f t="shared" si="10"/>
        <v>100</v>
      </c>
      <c r="T43" s="705" t="s">
        <v>14</v>
      </c>
      <c r="U43" s="706">
        <f t="shared" si="11"/>
        <v>100</v>
      </c>
      <c r="V43" s="705" t="s">
        <v>14</v>
      </c>
      <c r="W43" s="706">
        <f t="shared" si="12"/>
        <v>100</v>
      </c>
      <c r="X43" s="1355"/>
      <c r="Y43" s="385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859"/>
      <c r="Q44" s="1352">
        <f t="shared" si="14"/>
        <v>111</v>
      </c>
      <c r="R44" s="705" t="s">
        <v>14</v>
      </c>
      <c r="S44" s="706">
        <f t="shared" si="10"/>
        <v>100</v>
      </c>
      <c r="T44" s="705" t="s">
        <v>14</v>
      </c>
      <c r="U44" s="706">
        <f t="shared" si="11"/>
        <v>100</v>
      </c>
      <c r="V44" s="705" t="s">
        <v>14</v>
      </c>
      <c r="W44" s="706">
        <f t="shared" si="12"/>
        <v>100</v>
      </c>
      <c r="X44" s="1355"/>
      <c r="Y44" s="3859"/>
      <c r="Z44" s="1356">
        <f t="shared" si="13"/>
        <v>111</v>
      </c>
      <c r="AA44" s="1353">
        <f t="shared" si="3"/>
        <v>1</v>
      </c>
      <c r="AB44" s="1353">
        <f t="shared" si="4"/>
        <v>1</v>
      </c>
      <c r="AC44" s="1353">
        <f t="shared" si="5"/>
        <v>1</v>
      </c>
    </row>
    <row r="45" spans="1:29" s="422" customFormat="1" ht="15.75"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859"/>
      <c r="Q45" s="1352">
        <f t="shared" si="14"/>
        <v>111</v>
      </c>
      <c r="R45" s="708" t="s">
        <v>14</v>
      </c>
      <c r="S45" s="709">
        <f t="shared" si="10"/>
        <v>100</v>
      </c>
      <c r="T45" s="708" t="s">
        <v>14</v>
      </c>
      <c r="U45" s="709">
        <f t="shared" si="11"/>
        <v>100</v>
      </c>
      <c r="V45" s="708" t="s">
        <v>14</v>
      </c>
      <c r="W45" s="709">
        <f t="shared" si="12"/>
        <v>100</v>
      </c>
      <c r="X45" s="710"/>
      <c r="Y45" s="3859"/>
      <c r="Z45" s="711">
        <f t="shared" si="13"/>
        <v>111</v>
      </c>
      <c r="AA45" s="1353">
        <f t="shared" si="3"/>
        <v>1</v>
      </c>
      <c r="AB45" s="1353">
        <f t="shared" si="4"/>
        <v>1</v>
      </c>
      <c r="AC45" s="1353">
        <f t="shared" si="5"/>
        <v>1</v>
      </c>
    </row>
    <row r="46" spans="1:29" ht="15">
      <c r="A46" s="430" t="s">
        <v>1836</v>
      </c>
      <c r="B46" s="1980" t="s">
        <v>1871</v>
      </c>
      <c r="C46" s="630" t="s">
        <v>0</v>
      </c>
      <c r="D46" s="432"/>
      <c r="E46" s="433"/>
      <c r="F46" s="434"/>
      <c r="G46" s="435"/>
      <c r="H46" s="436"/>
      <c r="I46" s="433"/>
      <c r="J46" s="436"/>
      <c r="K46" s="714"/>
      <c r="L46" s="2721"/>
      <c r="M46" s="2722"/>
      <c r="N46" s="2713"/>
      <c r="O46" s="2722"/>
      <c r="P46" s="3861" t="str">
        <f>A46</f>
        <v>成交单价</v>
      </c>
      <c r="Q46" s="3861"/>
      <c r="R46" s="3847">
        <f>E46</f>
        <v>0</v>
      </c>
      <c r="S46" s="3847"/>
      <c r="T46" s="3847">
        <f>G46</f>
        <v>0</v>
      </c>
      <c r="U46" s="3847"/>
      <c r="V46" s="3847">
        <f>I46</f>
        <v>0</v>
      </c>
      <c r="W46" s="3847"/>
      <c r="X46" s="690"/>
      <c r="Y46" s="712"/>
      <c r="Z46" s="690"/>
      <c r="AA46" s="690"/>
      <c r="AB46" s="690"/>
      <c r="AC46" s="690"/>
    </row>
    <row r="47" spans="1:29" ht="15.75" thickBot="1">
      <c r="A47" s="437" t="s">
        <v>1785</v>
      </c>
      <c r="B47" s="631"/>
      <c r="C47" s="440" t="e">
        <f>R48</f>
        <v>#DIV/0!</v>
      </c>
      <c r="D47" s="2315" t="s">
        <v>2130</v>
      </c>
      <c r="E47" s="440" t="e">
        <f>R47</f>
        <v>#DIV/0!</v>
      </c>
      <c r="F47" s="2316"/>
      <c r="G47" s="439" t="e">
        <f>T47</f>
        <v>#DIV/0!</v>
      </c>
      <c r="H47" s="2316"/>
      <c r="I47" s="440" t="e">
        <f>V47</f>
        <v>#DIV/0!</v>
      </c>
      <c r="J47" s="2316"/>
      <c r="K47" s="2318">
        <f>F47+H47+J47</f>
        <v>0</v>
      </c>
      <c r="L47" s="2721"/>
      <c r="M47" s="2722"/>
      <c r="N47" s="2722"/>
      <c r="O47" s="2722"/>
      <c r="P47" s="3861" t="str">
        <f>A47</f>
        <v>比较价值（元/平方米）</v>
      </c>
      <c r="Q47" s="3861"/>
      <c r="R47" s="3884" t="e">
        <f>ROUND(PRODUCT(R46,AA7:AA45),0)</f>
        <v>#DIV/0!</v>
      </c>
      <c r="S47" s="3884"/>
      <c r="T47" s="3884" t="e">
        <f>ROUND(PRODUCT(T46,AB7:AB45),0)</f>
        <v>#DIV/0!</v>
      </c>
      <c r="U47" s="3884"/>
      <c r="V47" s="3884" t="e">
        <f>ROUND(PRODUCT(V46,AC7:AC45),0)</f>
        <v>#DIV/0!</v>
      </c>
      <c r="W47" s="3884"/>
      <c r="X47" s="690"/>
      <c r="Y47" s="690"/>
      <c r="Z47" s="690"/>
      <c r="AA47" s="690"/>
      <c r="AB47" s="690"/>
      <c r="AC47" s="690"/>
    </row>
    <row r="48" spans="1:29" ht="15.75" thickBot="1">
      <c r="A48" s="441" t="s">
        <v>1872</v>
      </c>
      <c r="B48" s="442"/>
      <c r="C48" s="443" t="e">
        <f>R48</f>
        <v>#DIV/0!</v>
      </c>
      <c r="D48" s="443"/>
      <c r="E48" s="443"/>
      <c r="F48" s="443"/>
      <c r="G48" s="443"/>
      <c r="H48" s="443"/>
      <c r="I48" s="443"/>
      <c r="J48" s="443"/>
      <c r="K48" s="715"/>
      <c r="L48" s="2721"/>
      <c r="M48" s="2722"/>
      <c r="N48" s="2722"/>
      <c r="O48" s="2722"/>
      <c r="P48" s="3863" t="str">
        <f>A48</f>
        <v>估价对象XX用房的比较价值（楼面单价，元/平方米）</v>
      </c>
      <c r="Q48" s="3864"/>
      <c r="R48" s="3885" t="e">
        <f>ROUND(IF(D47="简单平均",AVERAGE(R47:W47),R47*F47+T47*H47+V47*J47),0)</f>
        <v>#DIV/0!</v>
      </c>
      <c r="S48" s="3885"/>
      <c r="T48" s="3885"/>
      <c r="U48" s="3885"/>
      <c r="V48" s="3885"/>
      <c r="W48" s="388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1787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1788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1789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1873</v>
      </c>
      <c r="B55" s="633" t="s">
        <v>1874</v>
      </c>
      <c r="C55" s="1981" t="s">
        <v>1875</v>
      </c>
      <c r="D55" s="1982" t="s">
        <v>1876</v>
      </c>
      <c r="E55" s="634" t="s">
        <v>1877</v>
      </c>
      <c r="F55" s="890" t="s">
        <v>1878</v>
      </c>
      <c r="G55" s="3822" t="s">
        <v>1879</v>
      </c>
      <c r="H55" s="3886"/>
      <c r="I55" s="135" t="s">
        <v>1880</v>
      </c>
      <c r="J55" s="1983">
        <f>项目基本情况!F35</f>
        <v>0</v>
      </c>
      <c r="K55" s="1984" t="s">
        <v>1881</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1882</v>
      </c>
      <c r="B56" s="637" t="e">
        <f>C48</f>
        <v>#DIV/0!</v>
      </c>
      <c r="C56" s="638">
        <v>1</v>
      </c>
      <c r="D56" s="944">
        <v>1</v>
      </c>
      <c r="E56" s="638">
        <f>'数据-汇总表'!E8+'数据-汇总表'!E9</f>
        <v>85.3</v>
      </c>
      <c r="F56" s="886" t="e">
        <f t="shared" ref="F56:F64" si="15">ROUND(B56*E56/10000,0)</f>
        <v>#DIV/0!</v>
      </c>
      <c r="G56" s="3851"/>
      <c r="H56" s="386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1883</v>
      </c>
      <c r="B57" s="218" t="e">
        <f>ROUND($C$48*C57*D57,0)</f>
        <v>#DIV/0!</v>
      </c>
      <c r="C57" s="171">
        <f t="shared" ref="C57:C64" si="16">IF($C$55="北京市系数",I57,J57)</f>
        <v>0</v>
      </c>
      <c r="D57" s="945">
        <v>0.25</v>
      </c>
      <c r="E57" s="642"/>
      <c r="F57" s="886" t="e">
        <f t="shared" si="15"/>
        <v>#DIV/0!</v>
      </c>
      <c r="G57" s="3003" t="s">
        <v>1884</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1885</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1886</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1887</v>
      </c>
      <c r="B60" s="218" t="e">
        <f t="shared" si="17"/>
        <v>#DIV/0!</v>
      </c>
      <c r="C60" s="171">
        <f t="shared" si="16"/>
        <v>0</v>
      </c>
      <c r="D60" s="945">
        <v>0.25</v>
      </c>
      <c r="E60" s="217">
        <f>'数据-汇总表'!E11</f>
        <v>0</v>
      </c>
      <c r="F60" s="886" t="e">
        <f t="shared" si="15"/>
        <v>#DIV/0!</v>
      </c>
      <c r="G60" s="1985" t="s">
        <v>1888</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1889</v>
      </c>
      <c r="B61" s="218" t="e">
        <f t="shared" si="17"/>
        <v>#DIV/0!</v>
      </c>
      <c r="C61" s="171">
        <f t="shared" si="16"/>
        <v>0</v>
      </c>
      <c r="D61" s="945">
        <v>0.25</v>
      </c>
      <c r="E61" s="217">
        <f>'数据-汇总表'!E12</f>
        <v>0</v>
      </c>
      <c r="F61" s="886" t="e">
        <f t="shared" si="15"/>
        <v>#DIV/0!</v>
      </c>
      <c r="G61" s="892" t="s">
        <v>1890</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1891</v>
      </c>
      <c r="B62" s="218" t="e">
        <f t="shared" si="17"/>
        <v>#DIV/0!</v>
      </c>
      <c r="C62" s="171">
        <f t="shared" si="16"/>
        <v>0</v>
      </c>
      <c r="D62" s="945">
        <v>0.25</v>
      </c>
      <c r="E62" s="217">
        <f>'数据-汇总表'!E13</f>
        <v>0</v>
      </c>
      <c r="F62" s="886" t="e">
        <f t="shared" si="15"/>
        <v>#DIV/0!</v>
      </c>
      <c r="G62" s="892" t="s">
        <v>1892</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1893</v>
      </c>
      <c r="B63" s="218" t="e">
        <f t="shared" si="17"/>
        <v>#DIV/0!</v>
      </c>
      <c r="C63" s="171">
        <f t="shared" si="16"/>
        <v>0</v>
      </c>
      <c r="D63" s="945">
        <v>0.25</v>
      </c>
      <c r="E63" s="217">
        <f>'数据-汇总表'!E14</f>
        <v>0</v>
      </c>
      <c r="F63" s="886" t="e">
        <f t="shared" si="15"/>
        <v>#DIV/0!</v>
      </c>
      <c r="G63" s="1985" t="s">
        <v>1884</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1894</v>
      </c>
      <c r="B64" s="218" t="e">
        <f t="shared" si="17"/>
        <v>#DIV/0!</v>
      </c>
      <c r="C64" s="171">
        <f t="shared" si="16"/>
        <v>0</v>
      </c>
      <c r="D64" s="945">
        <v>0.25</v>
      </c>
      <c r="E64" s="217">
        <f>'数据-汇总表'!E15</f>
        <v>0</v>
      </c>
      <c r="F64" s="886" t="e">
        <f t="shared" si="15"/>
        <v>#DIV/0!</v>
      </c>
      <c r="G64" s="1986" t="s">
        <v>1888</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1895</v>
      </c>
      <c r="B65" s="644" t="s">
        <v>18</v>
      </c>
      <c r="C65" s="644" t="s">
        <v>19</v>
      </c>
      <c r="D65" s="644" t="s">
        <v>388</v>
      </c>
      <c r="E65" s="644">
        <f>IF(B46="楼面地价",SUM(E56:E64),'数据-汇总表'!D3)</f>
        <v>85.3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1790</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7" t="s">
        <v>1896</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88" t="s">
        <v>1897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1709</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1676</v>
      </c>
      <c r="B72" s="459"/>
      <c r="C72" s="471" t="s">
        <v>1768</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1711</v>
      </c>
      <c r="B74" s="477" t="s">
        <v>1680</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1683</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1685</v>
      </c>
      <c r="B87" s="477" t="s">
        <v>1712</v>
      </c>
      <c r="C87" s="522" t="s">
        <v>1713</v>
      </c>
      <c r="D87" s="522" t="s">
        <v>1714</v>
      </c>
      <c r="E87" s="522" t="s">
        <v>1715</v>
      </c>
      <c r="F87" s="522" t="s">
        <v>1716</v>
      </c>
      <c r="G87" s="522" t="s">
        <v>1717</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1898</v>
      </c>
      <c r="C89" s="527" t="s">
        <v>1713</v>
      </c>
      <c r="D89" s="527" t="s">
        <v>1714</v>
      </c>
      <c r="E89" s="527" t="s">
        <v>1715</v>
      </c>
      <c r="F89" s="527" t="s">
        <v>1716</v>
      </c>
      <c r="G89" s="527" t="s">
        <v>1717</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1813</v>
      </c>
      <c r="C91" s="527" t="s">
        <v>1713</v>
      </c>
      <c r="D91" s="527" t="s">
        <v>1714</v>
      </c>
      <c r="E91" s="527" t="s">
        <v>1715</v>
      </c>
      <c r="F91" s="527" t="s">
        <v>1716</v>
      </c>
      <c r="G91" s="527" t="s">
        <v>1717</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1718</v>
      </c>
      <c r="C93" s="527" t="s">
        <v>1713</v>
      </c>
      <c r="D93" s="527" t="s">
        <v>1714</v>
      </c>
      <c r="E93" s="527" t="s">
        <v>1715</v>
      </c>
      <c r="F93" s="527" t="s">
        <v>1716</v>
      </c>
      <c r="G93" s="527" t="s">
        <v>1717</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1899</v>
      </c>
      <c r="C95" s="527" t="s">
        <v>1713</v>
      </c>
      <c r="D95" s="527" t="s">
        <v>1714</v>
      </c>
      <c r="E95" s="527" t="s">
        <v>1715</v>
      </c>
      <c r="F95" s="527" t="s">
        <v>1716</v>
      </c>
      <c r="G95" s="527" t="s">
        <v>1717</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1900</v>
      </c>
      <c r="C97" s="522" t="s">
        <v>1713</v>
      </c>
      <c r="D97" s="522" t="s">
        <v>1714</v>
      </c>
      <c r="E97" s="522" t="s">
        <v>1715</v>
      </c>
      <c r="F97" s="522" t="s">
        <v>1716</v>
      </c>
      <c r="G97" s="522" t="s">
        <v>1717</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1770</v>
      </c>
      <c r="C99" s="522" t="s">
        <v>1713</v>
      </c>
      <c r="D99" s="522" t="s">
        <v>1714</v>
      </c>
      <c r="E99" s="522" t="s">
        <v>1715</v>
      </c>
      <c r="F99" s="522" t="s">
        <v>1716</v>
      </c>
      <c r="G99" s="522" t="s">
        <v>1717</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1771</v>
      </c>
      <c r="C101" s="608" t="s">
        <v>1791</v>
      </c>
      <c r="D101" s="608" t="s">
        <v>1792</v>
      </c>
      <c r="E101" s="608" t="s">
        <v>1793</v>
      </c>
      <c r="F101" s="608" t="s">
        <v>1794</v>
      </c>
      <c r="G101" s="608" t="s">
        <v>1795</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1901</v>
      </c>
      <c r="D103" s="488" t="s">
        <v>1902</v>
      </c>
      <c r="E103" s="488" t="s">
        <v>1903</v>
      </c>
      <c r="F103" s="488" t="s">
        <v>1904</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1807</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1865</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1689</v>
      </c>
      <c r="B115" s="477" t="s">
        <v>1905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1906</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1907</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1908</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1909</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1859</v>
      </c>
      <c r="B1" s="349"/>
      <c r="C1" s="350" t="s">
        <v>1910</v>
      </c>
      <c r="D1" s="686"/>
      <c r="E1" s="686"/>
      <c r="F1" s="685" t="s">
        <v>1759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1458</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1460</v>
      </c>
      <c r="B3" s="558" t="e">
        <f>ROUND(IF(D3="",B2*10000/'数据-汇总表'!E3,B2*10000/D3),0)</f>
        <v>#DIV/0!</v>
      </c>
      <c r="C3" s="203" t="s">
        <v>1861</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1761</v>
      </c>
      <c r="B4" s="356"/>
      <c r="C4" s="3822" t="s">
        <v>1762</v>
      </c>
      <c r="D4" s="3823"/>
      <c r="E4" s="3824" t="s">
        <v>1763</v>
      </c>
      <c r="F4" s="3825"/>
      <c r="G4" s="3822" t="s">
        <v>1764</v>
      </c>
      <c r="H4" s="3823"/>
      <c r="I4" s="3822" t="s">
        <v>1765</v>
      </c>
      <c r="J4" s="3823"/>
      <c r="K4" s="559" t="s">
        <v>1766</v>
      </c>
      <c r="L4" s="2712"/>
      <c r="M4" s="2713"/>
      <c r="N4" s="2713"/>
      <c r="O4" s="2713"/>
      <c r="P4" s="3826" t="s">
        <v>1767</v>
      </c>
      <c r="Q4" s="3827"/>
      <c r="R4" s="3832" t="s">
        <v>1763</v>
      </c>
      <c r="S4" s="3833"/>
      <c r="T4" s="3832" t="s">
        <v>1764</v>
      </c>
      <c r="U4" s="3833"/>
      <c r="V4" s="3847" t="s">
        <v>1765</v>
      </c>
      <c r="W4" s="3847"/>
      <c r="X4" s="1355"/>
      <c r="Y4" s="3832" t="s">
        <v>1767</v>
      </c>
      <c r="Z4" s="3833"/>
      <c r="AA4" s="3819" t="s">
        <v>1763</v>
      </c>
      <c r="AB4" s="3820" t="s">
        <v>1764</v>
      </c>
      <c r="AC4" s="3819" t="s">
        <v>1765</v>
      </c>
    </row>
    <row r="5" spans="1:29" ht="15">
      <c r="A5" s="358"/>
      <c r="B5" s="359"/>
      <c r="C5" s="3840" t="s">
        <v>1668</v>
      </c>
      <c r="D5" s="3837"/>
      <c r="E5" s="3838" t="s">
        <v>1669</v>
      </c>
      <c r="F5" s="3839"/>
      <c r="G5" s="3840" t="s">
        <v>1670</v>
      </c>
      <c r="H5" s="3837"/>
      <c r="I5" s="3840" t="s">
        <v>1671</v>
      </c>
      <c r="J5" s="3837"/>
      <c r="K5" s="559"/>
      <c r="L5" s="2712"/>
      <c r="M5" s="2713"/>
      <c r="N5" s="2713"/>
      <c r="O5" s="2713"/>
      <c r="P5" s="3828"/>
      <c r="Q5" s="3829"/>
      <c r="R5" s="3834"/>
      <c r="S5" s="3835"/>
      <c r="T5" s="3834"/>
      <c r="U5" s="3835"/>
      <c r="V5" s="3847"/>
      <c r="W5" s="3847"/>
      <c r="X5" s="1355"/>
      <c r="Y5" s="3834"/>
      <c r="Z5" s="3835"/>
      <c r="AA5" s="3820"/>
      <c r="AB5" s="3820"/>
      <c r="AC5" s="3820"/>
    </row>
    <row r="6" spans="1:29" ht="15.75" thickBot="1">
      <c r="A6" s="360"/>
      <c r="B6" s="361"/>
      <c r="C6" s="3887" t="s">
        <v>1911</v>
      </c>
      <c r="D6" s="3888"/>
      <c r="E6" s="3889" t="s">
        <v>1911</v>
      </c>
      <c r="F6" s="3890"/>
      <c r="G6" s="3887" t="s">
        <v>1911</v>
      </c>
      <c r="H6" s="3888"/>
      <c r="I6" s="3887" t="s">
        <v>1911</v>
      </c>
      <c r="J6" s="3888"/>
      <c r="K6" s="559" t="s">
        <v>1673</v>
      </c>
      <c r="L6" s="2712"/>
      <c r="M6" s="2713"/>
      <c r="N6" s="2713"/>
      <c r="O6" s="2713"/>
      <c r="P6" s="3830"/>
      <c r="Q6" s="3831"/>
      <c r="R6" s="3834"/>
      <c r="S6" s="3835"/>
      <c r="T6" s="3845"/>
      <c r="U6" s="3846"/>
      <c r="V6" s="3847"/>
      <c r="W6" s="3847"/>
      <c r="X6" s="1355"/>
      <c r="Y6" s="3845"/>
      <c r="Z6" s="3846"/>
      <c r="AA6" s="3821"/>
      <c r="AB6" s="3821"/>
      <c r="AC6" s="3821"/>
    </row>
    <row r="7" spans="1:29" s="108" customFormat="1" ht="15.75" thickBot="1">
      <c r="A7" s="362" t="s">
        <v>1674</v>
      </c>
      <c r="B7" s="363"/>
      <c r="C7" s="364">
        <f>'数据-取费表'!B2</f>
        <v>44977</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848" t="s">
        <v>1675</v>
      </c>
      <c r="Q7" s="3849"/>
      <c r="R7" s="701" t="s">
        <v>14</v>
      </c>
      <c r="S7" s="702">
        <f t="shared" ref="S7:S15" si="0">F7</f>
        <v>0</v>
      </c>
      <c r="T7" s="701" t="s">
        <v>14</v>
      </c>
      <c r="U7" s="702">
        <f t="shared" ref="U7:U15" si="1">H7</f>
        <v>0</v>
      </c>
      <c r="V7" s="701" t="s">
        <v>14</v>
      </c>
      <c r="W7" s="702">
        <f t="shared" ref="W7:W15" si="2">J7</f>
        <v>0</v>
      </c>
      <c r="X7" s="703"/>
      <c r="Y7" s="3848" t="s">
        <v>1675</v>
      </c>
      <c r="Z7" s="3850"/>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48" t="s">
        <v>1678</v>
      </c>
      <c r="Q8" s="3850"/>
      <c r="R8" s="701" t="s">
        <v>14</v>
      </c>
      <c r="S8" s="702">
        <f t="shared" si="0"/>
        <v>0</v>
      </c>
      <c r="T8" s="701" t="s">
        <v>14</v>
      </c>
      <c r="U8" s="702">
        <f t="shared" si="1"/>
        <v>0</v>
      </c>
      <c r="V8" s="701" t="s">
        <v>14</v>
      </c>
      <c r="W8" s="702">
        <f t="shared" si="2"/>
        <v>0</v>
      </c>
      <c r="X8" s="703"/>
      <c r="Y8" s="3848" t="s">
        <v>1678</v>
      </c>
      <c r="Z8" s="3850"/>
      <c r="AA8" s="704" t="e">
        <f t="shared" ref="AA8:AA40" si="3">D8/F8</f>
        <v>#DIV/0!</v>
      </c>
      <c r="AB8" s="704" t="e">
        <f t="shared" ref="AB8:AB40" si="4">D8/H8</f>
        <v>#DIV/0!</v>
      </c>
      <c r="AC8" s="704" t="e">
        <f t="shared" ref="AC8:AC40" si="5">D8/J8</f>
        <v>#DIV/0!</v>
      </c>
    </row>
    <row r="9" spans="1:29" s="108" customFormat="1">
      <c r="A9" s="369" t="s">
        <v>1679</v>
      </c>
      <c r="B9" s="63" t="s">
        <v>1680</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861" t="s">
        <v>1681</v>
      </c>
      <c r="Q9" s="1343" t="str">
        <f t="shared" ref="Q9:Q15" si="6">B9</f>
        <v>用途</v>
      </c>
      <c r="R9" s="701" t="s">
        <v>14</v>
      </c>
      <c r="S9" s="702">
        <f t="shared" si="0"/>
        <v>100</v>
      </c>
      <c r="T9" s="701" t="s">
        <v>14</v>
      </c>
      <c r="U9" s="702">
        <f t="shared" si="1"/>
        <v>100</v>
      </c>
      <c r="V9" s="701" t="s">
        <v>14</v>
      </c>
      <c r="W9" s="702">
        <f t="shared" si="2"/>
        <v>100</v>
      </c>
      <c r="X9" s="703"/>
      <c r="Y9" s="3715"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t="e">
        <f>ROUND(100/'数据-取费表'!G16,0)</f>
        <v>#DIV/0!</v>
      </c>
      <c r="G10" s="383"/>
      <c r="H10" s="127" t="e">
        <f>ROUND(100/'数据-取费表'!G16,0)</f>
        <v>#DIV/0!</v>
      </c>
      <c r="I10" s="383"/>
      <c r="J10" s="127" t="e">
        <f>ROUND(100/'数据-取费表'!G16,0)</f>
        <v>#DIV/0!</v>
      </c>
      <c r="K10" s="620"/>
      <c r="L10" s="2716"/>
      <c r="M10" s="2717"/>
      <c r="N10" s="2717"/>
      <c r="O10" s="2770"/>
      <c r="P10" s="3861"/>
      <c r="Q10" s="1343" t="str">
        <f t="shared" si="6"/>
        <v>土地使用年限（年）</v>
      </c>
      <c r="R10" s="701" t="s">
        <v>14</v>
      </c>
      <c r="S10" s="702" t="e">
        <f t="shared" si="0"/>
        <v>#DIV/0!</v>
      </c>
      <c r="T10" s="701" t="s">
        <v>14</v>
      </c>
      <c r="U10" s="702" t="e">
        <f t="shared" si="1"/>
        <v>#DIV/0!</v>
      </c>
      <c r="V10" s="701" t="s">
        <v>14</v>
      </c>
      <c r="W10" s="702" t="e">
        <f t="shared" si="2"/>
        <v>#DIV/0!</v>
      </c>
      <c r="X10" s="703"/>
      <c r="Y10" s="3715"/>
      <c r="Z10" s="52" t="str">
        <f t="shared" si="7"/>
        <v>土地使用年限（年）</v>
      </c>
      <c r="AA10" s="704" t="e">
        <f t="shared" si="3"/>
        <v>#DIV/0!</v>
      </c>
      <c r="AB10" s="704" t="e">
        <f t="shared" si="4"/>
        <v>#DIV/0!</v>
      </c>
      <c r="AC10" s="704" t="e">
        <f t="shared" si="5"/>
        <v>#DIV/0!</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861"/>
      <c r="Q11" s="1343" t="str">
        <f t="shared" si="6"/>
        <v>容积率</v>
      </c>
      <c r="R11" s="701" t="s">
        <v>14</v>
      </c>
      <c r="S11" s="702" t="e">
        <f t="shared" si="0"/>
        <v>#N/A</v>
      </c>
      <c r="T11" s="701" t="s">
        <v>14</v>
      </c>
      <c r="U11" s="702" t="e">
        <f t="shared" si="1"/>
        <v>#N/A</v>
      </c>
      <c r="V11" s="701" t="s">
        <v>14</v>
      </c>
      <c r="W11" s="702" t="e">
        <f t="shared" si="2"/>
        <v>#N/A</v>
      </c>
      <c r="X11" s="703"/>
      <c r="Y11" s="37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861"/>
      <c r="Q12" s="1343">
        <f t="shared" si="6"/>
        <v>111</v>
      </c>
      <c r="R12" s="701" t="s">
        <v>14</v>
      </c>
      <c r="S12" s="702">
        <f t="shared" si="0"/>
        <v>100</v>
      </c>
      <c r="T12" s="701" t="s">
        <v>14</v>
      </c>
      <c r="U12" s="702">
        <f t="shared" si="1"/>
        <v>100</v>
      </c>
      <c r="V12" s="701" t="s">
        <v>14</v>
      </c>
      <c r="W12" s="702">
        <f t="shared" si="2"/>
        <v>100</v>
      </c>
      <c r="X12" s="703"/>
      <c r="Y12" s="37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861"/>
      <c r="Q13" s="1343">
        <f t="shared" si="6"/>
        <v>111</v>
      </c>
      <c r="R13" s="701" t="s">
        <v>14</v>
      </c>
      <c r="S13" s="702">
        <f t="shared" si="0"/>
        <v>100</v>
      </c>
      <c r="T13" s="701" t="s">
        <v>14</v>
      </c>
      <c r="U13" s="702">
        <f t="shared" si="1"/>
        <v>100</v>
      </c>
      <c r="V13" s="701" t="s">
        <v>14</v>
      </c>
      <c r="W13" s="702">
        <f t="shared" si="2"/>
        <v>100</v>
      </c>
      <c r="X13" s="703"/>
      <c r="Y13" s="37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861"/>
      <c r="Q14" s="1343">
        <f t="shared" si="6"/>
        <v>111</v>
      </c>
      <c r="R14" s="701" t="s">
        <v>14</v>
      </c>
      <c r="S14" s="702">
        <f t="shared" si="0"/>
        <v>100</v>
      </c>
      <c r="T14" s="701" t="s">
        <v>14</v>
      </c>
      <c r="U14" s="702">
        <f t="shared" si="1"/>
        <v>100</v>
      </c>
      <c r="V14" s="701" t="s">
        <v>14</v>
      </c>
      <c r="W14" s="702">
        <f t="shared" si="2"/>
        <v>100</v>
      </c>
      <c r="X14" s="703"/>
      <c r="Y14" s="3715"/>
      <c r="Z14" s="52">
        <f t="shared" si="7"/>
        <v>111</v>
      </c>
      <c r="AA14" s="704">
        <f t="shared" si="3"/>
        <v>1</v>
      </c>
      <c r="AB14" s="704">
        <f t="shared" si="4"/>
        <v>1</v>
      </c>
      <c r="AC14" s="704">
        <f t="shared" si="5"/>
        <v>1</v>
      </c>
    </row>
    <row r="15" spans="1:29" ht="57">
      <c r="A15" s="391" t="s">
        <v>1685</v>
      </c>
      <c r="B15" s="577" t="s">
        <v>1912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854" t="s">
        <v>1686</v>
      </c>
      <c r="Q15" s="1352" t="str">
        <f t="shared" si="6"/>
        <v>产业集聚程度</v>
      </c>
      <c r="R15" s="705" t="s">
        <v>14</v>
      </c>
      <c r="S15" s="706">
        <f t="shared" si="0"/>
        <v>100</v>
      </c>
      <c r="T15" s="705" t="s">
        <v>14</v>
      </c>
      <c r="U15" s="706">
        <f t="shared" si="1"/>
        <v>100</v>
      </c>
      <c r="V15" s="705" t="s">
        <v>14</v>
      </c>
      <c r="W15" s="706">
        <f t="shared" si="2"/>
        <v>100</v>
      </c>
      <c r="X15" s="1355"/>
      <c r="Y15" s="3854" t="s">
        <v>1686</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855"/>
      <c r="Q16" s="1352"/>
      <c r="R16" s="705"/>
      <c r="S16" s="706"/>
      <c r="T16" s="705"/>
      <c r="U16" s="706"/>
      <c r="V16" s="705"/>
      <c r="W16" s="706"/>
      <c r="X16" s="1355"/>
      <c r="Y16" s="3855"/>
      <c r="Z16" s="1356"/>
      <c r="AA16" s="1353">
        <v>1</v>
      </c>
      <c r="AB16" s="1353">
        <v>1</v>
      </c>
      <c r="AC16" s="1353">
        <v>1</v>
      </c>
    </row>
    <row r="17" spans="1:29" ht="85.5">
      <c r="A17" s="379"/>
      <c r="B17" s="579" t="s">
        <v>1825</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855"/>
      <c r="Q17" s="1352" t="str">
        <f>B17</f>
        <v>交通便捷度</v>
      </c>
      <c r="R17" s="705" t="s">
        <v>14</v>
      </c>
      <c r="S17" s="706">
        <f>F17</f>
        <v>100</v>
      </c>
      <c r="T17" s="705" t="s">
        <v>14</v>
      </c>
      <c r="U17" s="706">
        <f>H17</f>
        <v>100</v>
      </c>
      <c r="V17" s="705" t="s">
        <v>14</v>
      </c>
      <c r="W17" s="706">
        <f>J17</f>
        <v>100</v>
      </c>
      <c r="X17" s="1355"/>
      <c r="Y17" s="38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855"/>
      <c r="Q18" s="1352"/>
      <c r="R18" s="705"/>
      <c r="S18" s="706"/>
      <c r="T18" s="705"/>
      <c r="U18" s="706"/>
      <c r="V18" s="705"/>
      <c r="W18" s="706"/>
      <c r="X18" s="1355"/>
      <c r="Y18" s="3855"/>
      <c r="Z18" s="1356"/>
      <c r="AA18" s="1353">
        <v>1</v>
      </c>
      <c r="AB18" s="1353">
        <v>1</v>
      </c>
      <c r="AC18" s="1353">
        <v>1</v>
      </c>
    </row>
    <row r="19" spans="1:29" ht="15">
      <c r="A19" s="379"/>
      <c r="B19" s="579" t="s">
        <v>1863</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855"/>
      <c r="Q19" s="1352" t="str">
        <f t="shared" ref="Q19:Q33" si="8">B19</f>
        <v>区域土地利用方向</v>
      </c>
      <c r="R19" s="705" t="s">
        <v>14</v>
      </c>
      <c r="S19" s="706">
        <f>F19</f>
        <v>100</v>
      </c>
      <c r="T19" s="705" t="s">
        <v>14</v>
      </c>
      <c r="U19" s="706">
        <f>H19</f>
        <v>100</v>
      </c>
      <c r="V19" s="705" t="s">
        <v>14</v>
      </c>
      <c r="W19" s="706">
        <f>J19</f>
        <v>100</v>
      </c>
      <c r="X19" s="1355"/>
      <c r="Y19" s="38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855"/>
      <c r="Q20" s="1352"/>
      <c r="R20" s="705"/>
      <c r="S20" s="706"/>
      <c r="T20" s="705"/>
      <c r="U20" s="706"/>
      <c r="V20" s="705"/>
      <c r="W20" s="706"/>
      <c r="X20" s="1355"/>
      <c r="Y20" s="3855"/>
      <c r="Z20" s="1356"/>
      <c r="AA20" s="1353"/>
      <c r="AB20" s="1353"/>
      <c r="AC20" s="1353"/>
    </row>
    <row r="21" spans="1:29" ht="71.25">
      <c r="A21" s="358"/>
      <c r="B21" s="579" t="s">
        <v>1913</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855"/>
      <c r="Q21" s="1352" t="str">
        <f t="shared" si="8"/>
        <v>环境状况</v>
      </c>
      <c r="R21" s="705" t="s">
        <v>14</v>
      </c>
      <c r="S21" s="706">
        <f>F21</f>
        <v>100</v>
      </c>
      <c r="T21" s="705" t="s">
        <v>14</v>
      </c>
      <c r="U21" s="706">
        <f>H21</f>
        <v>100</v>
      </c>
      <c r="V21" s="705" t="s">
        <v>14</v>
      </c>
      <c r="W21" s="706">
        <f>J21</f>
        <v>100</v>
      </c>
      <c r="X21" s="1355"/>
      <c r="Y21" s="38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855"/>
      <c r="Q22" s="1352"/>
      <c r="R22" s="705"/>
      <c r="S22" s="706"/>
      <c r="T22" s="705"/>
      <c r="U22" s="706"/>
      <c r="V22" s="705"/>
      <c r="W22" s="706"/>
      <c r="X22" s="1355"/>
      <c r="Y22" s="3855"/>
      <c r="Z22" s="1356"/>
      <c r="AA22" s="1353">
        <v>1</v>
      </c>
      <c r="AB22" s="1353">
        <v>1</v>
      </c>
      <c r="AC22" s="1353">
        <v>1</v>
      </c>
    </row>
    <row r="23" spans="1:29" s="108" customFormat="1" ht="42.75">
      <c r="A23" s="597"/>
      <c r="B23" s="581" t="s">
        <v>1770</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855"/>
      <c r="Q23" s="1343" t="str">
        <f t="shared" si="8"/>
        <v>公共配套设施</v>
      </c>
      <c r="R23" s="701" t="s">
        <v>14</v>
      </c>
      <c r="S23" s="702">
        <f>F23</f>
        <v>100</v>
      </c>
      <c r="T23" s="701" t="s">
        <v>14</v>
      </c>
      <c r="U23" s="702">
        <f>H23</f>
        <v>100</v>
      </c>
      <c r="V23" s="701" t="s">
        <v>14</v>
      </c>
      <c r="W23" s="702">
        <f>J23</f>
        <v>100</v>
      </c>
      <c r="X23" s="703"/>
      <c r="Y23" s="3855"/>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4"/>
      <c r="M24" s="2715"/>
      <c r="N24" s="2715"/>
      <c r="O24" s="2769"/>
      <c r="P24" s="3855"/>
      <c r="Q24" s="1343"/>
      <c r="R24" s="701"/>
      <c r="S24" s="702"/>
      <c r="T24" s="701"/>
      <c r="U24" s="702"/>
      <c r="V24" s="701"/>
      <c r="W24" s="702"/>
      <c r="X24" s="703"/>
      <c r="Y24" s="3855"/>
      <c r="Z24" s="52"/>
      <c r="AA24" s="704">
        <v>1</v>
      </c>
      <c r="AB24" s="704">
        <v>1</v>
      </c>
      <c r="AC24" s="704">
        <v>1</v>
      </c>
    </row>
    <row r="25" spans="1:29" s="108" customFormat="1" ht="28.5">
      <c r="A25" s="597"/>
      <c r="B25" s="581" t="s">
        <v>1771</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855"/>
      <c r="Q25" s="1343" t="str">
        <f t="shared" ref="Q25" si="9">B25</f>
        <v>基础设施水平</v>
      </c>
      <c r="R25" s="701" t="s">
        <v>14</v>
      </c>
      <c r="S25" s="702">
        <f>F25</f>
        <v>100</v>
      </c>
      <c r="T25" s="701" t="s">
        <v>14</v>
      </c>
      <c r="U25" s="702">
        <f>H25</f>
        <v>100</v>
      </c>
      <c r="V25" s="701" t="s">
        <v>14</v>
      </c>
      <c r="W25" s="702">
        <f>J25</f>
        <v>100</v>
      </c>
      <c r="X25" s="703"/>
      <c r="Y25" s="3855"/>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4"/>
      <c r="M26" s="2715"/>
      <c r="N26" s="2715"/>
      <c r="O26" s="2769"/>
      <c r="P26" s="3855"/>
      <c r="Q26" s="1343"/>
      <c r="R26" s="701"/>
      <c r="S26" s="702"/>
      <c r="T26" s="701"/>
      <c r="U26" s="702"/>
      <c r="V26" s="701"/>
      <c r="W26" s="702"/>
      <c r="X26" s="703"/>
      <c r="Y26" s="3855"/>
      <c r="Z26" s="52"/>
      <c r="AA26" s="704">
        <v>1</v>
      </c>
      <c r="AB26" s="704">
        <v>1</v>
      </c>
      <c r="AC26" s="704">
        <v>1</v>
      </c>
    </row>
    <row r="27" spans="1:29" ht="15">
      <c r="A27" s="379"/>
      <c r="B27" s="580" t="s">
        <v>1772</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8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55"/>
      <c r="Z27" s="1356" t="str">
        <f t="shared" ref="Z27:Z40" si="13">Q27</f>
        <v>临街状况</v>
      </c>
      <c r="AA27" s="1353">
        <f t="shared" si="3"/>
        <v>1</v>
      </c>
      <c r="AB27" s="1353">
        <f t="shared" si="4"/>
        <v>1</v>
      </c>
      <c r="AC27" s="1353">
        <f t="shared" si="5"/>
        <v>1</v>
      </c>
    </row>
    <row r="28" spans="1:29" ht="27">
      <c r="A28" s="379"/>
      <c r="B28" s="581" t="s">
        <v>1807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855"/>
      <c r="Q28" s="1352" t="str">
        <f t="shared" si="8"/>
        <v>毗邻道路的类型与等级</v>
      </c>
      <c r="R28" s="705" t="s">
        <v>14</v>
      </c>
      <c r="S28" s="706">
        <f t="shared" si="10"/>
        <v>100</v>
      </c>
      <c r="T28" s="705" t="s">
        <v>14</v>
      </c>
      <c r="U28" s="706">
        <f t="shared" si="11"/>
        <v>100</v>
      </c>
      <c r="V28" s="705" t="s">
        <v>14</v>
      </c>
      <c r="W28" s="706">
        <f t="shared" si="12"/>
        <v>100</v>
      </c>
      <c r="X28" s="1355"/>
      <c r="Y28" s="38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855"/>
      <c r="Q29" s="1352"/>
      <c r="R29" s="705"/>
      <c r="S29" s="706"/>
      <c r="T29" s="705"/>
      <c r="U29" s="706"/>
      <c r="V29" s="705"/>
      <c r="W29" s="706"/>
      <c r="X29" s="1355"/>
      <c r="Y29" s="3855"/>
      <c r="Z29" s="1356"/>
      <c r="AA29" s="1353">
        <v>1</v>
      </c>
      <c r="AB29" s="1353">
        <v>1</v>
      </c>
      <c r="AC29" s="1353">
        <v>1</v>
      </c>
    </row>
    <row r="30" spans="1:29" ht="15">
      <c r="A30" s="379"/>
      <c r="B30" s="602" t="s">
        <v>1865</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855"/>
      <c r="Q30" s="1352" t="str">
        <f t="shared" si="8"/>
        <v>土地级别</v>
      </c>
      <c r="R30" s="705" t="s">
        <v>14</v>
      </c>
      <c r="S30" s="706">
        <f t="shared" si="10"/>
        <v>100</v>
      </c>
      <c r="T30" s="705" t="s">
        <v>14</v>
      </c>
      <c r="U30" s="706">
        <f t="shared" si="11"/>
        <v>100</v>
      </c>
      <c r="V30" s="705" t="s">
        <v>14</v>
      </c>
      <c r="W30" s="706">
        <f t="shared" si="12"/>
        <v>100</v>
      </c>
      <c r="X30" s="1355"/>
      <c r="Y30" s="3855"/>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855"/>
      <c r="Q31" s="1352">
        <f t="shared" si="8"/>
        <v>111</v>
      </c>
      <c r="R31" s="705" t="s">
        <v>14</v>
      </c>
      <c r="S31" s="706">
        <f t="shared" si="10"/>
        <v>100</v>
      </c>
      <c r="T31" s="705" t="s">
        <v>14</v>
      </c>
      <c r="U31" s="706">
        <f t="shared" si="11"/>
        <v>100</v>
      </c>
      <c r="V31" s="705" t="s">
        <v>14</v>
      </c>
      <c r="W31" s="706">
        <f t="shared" si="12"/>
        <v>100</v>
      </c>
      <c r="X31" s="1355"/>
      <c r="Y31" s="3855"/>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82" t="s">
        <v>1691</v>
      </c>
      <c r="Q32" s="1352">
        <f t="shared" si="8"/>
        <v>111</v>
      </c>
      <c r="R32" s="705" t="s">
        <v>14</v>
      </c>
      <c r="S32" s="706">
        <f t="shared" si="10"/>
        <v>100</v>
      </c>
      <c r="T32" s="705" t="s">
        <v>14</v>
      </c>
      <c r="U32" s="706">
        <f t="shared" si="11"/>
        <v>100</v>
      </c>
      <c r="V32" s="705" t="s">
        <v>14</v>
      </c>
      <c r="W32" s="706">
        <f t="shared" si="12"/>
        <v>100</v>
      </c>
      <c r="X32" s="1355"/>
      <c r="Y32" s="3859" t="s">
        <v>1691</v>
      </c>
      <c r="Z32" s="1356">
        <f t="shared" si="13"/>
        <v>111</v>
      </c>
      <c r="AA32" s="1353">
        <f t="shared" si="3"/>
        <v>1</v>
      </c>
      <c r="AB32" s="1353">
        <f t="shared" si="4"/>
        <v>1</v>
      </c>
      <c r="AC32" s="1353">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859"/>
      <c r="Q33" s="1352">
        <f t="shared" si="8"/>
        <v>111</v>
      </c>
      <c r="R33" s="708" t="s">
        <v>14</v>
      </c>
      <c r="S33" s="709">
        <f t="shared" si="10"/>
        <v>100</v>
      </c>
      <c r="T33" s="708" t="s">
        <v>14</v>
      </c>
      <c r="U33" s="709">
        <f t="shared" si="11"/>
        <v>100</v>
      </c>
      <c r="V33" s="708" t="s">
        <v>14</v>
      </c>
      <c r="W33" s="709">
        <f t="shared" si="12"/>
        <v>100</v>
      </c>
      <c r="X33" s="710"/>
      <c r="Y33" s="3859"/>
      <c r="Z33" s="711">
        <f t="shared" si="13"/>
        <v>111</v>
      </c>
      <c r="AA33" s="1353">
        <f t="shared" si="3"/>
        <v>1</v>
      </c>
      <c r="AB33" s="1353">
        <f t="shared" si="4"/>
        <v>1</v>
      </c>
      <c r="AC33" s="1353">
        <f t="shared" si="5"/>
        <v>1</v>
      </c>
    </row>
    <row r="34" spans="1:31" ht="15">
      <c r="A34" s="391" t="s">
        <v>1689</v>
      </c>
      <c r="B34" s="407" t="s">
        <v>1866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859"/>
      <c r="Q34" s="1352" t="str">
        <f>B34</f>
        <v>宗地面积</v>
      </c>
      <c r="R34" s="705" t="s">
        <v>14</v>
      </c>
      <c r="S34" s="706" t="e">
        <f t="shared" si="10"/>
        <v>#N/A</v>
      </c>
      <c r="T34" s="705" t="s">
        <v>14</v>
      </c>
      <c r="U34" s="706" t="e">
        <f t="shared" si="11"/>
        <v>#N/A</v>
      </c>
      <c r="V34" s="705" t="s">
        <v>14</v>
      </c>
      <c r="W34" s="706" t="e">
        <f t="shared" si="12"/>
        <v>#N/A</v>
      </c>
      <c r="X34" s="1355"/>
      <c r="Y34" s="3859"/>
      <c r="Z34" s="1356" t="str">
        <f t="shared" si="13"/>
        <v>宗地面积</v>
      </c>
      <c r="AA34" s="1353" t="e">
        <f t="shared" si="3"/>
        <v>#N/A</v>
      </c>
      <c r="AB34" s="1353" t="e">
        <f t="shared" si="4"/>
        <v>#N/A</v>
      </c>
      <c r="AC34" s="1353" t="e">
        <f t="shared" si="5"/>
        <v>#N/A</v>
      </c>
    </row>
    <row r="35" spans="1:31" ht="15">
      <c r="A35" s="423"/>
      <c r="B35" s="375" t="s">
        <v>1867</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859"/>
      <c r="Q35" s="1352" t="str">
        <f t="shared" ref="Q35:Q40" si="14">B35</f>
        <v>宗地形状</v>
      </c>
      <c r="R35" s="705" t="s">
        <v>14</v>
      </c>
      <c r="S35" s="706">
        <f t="shared" si="10"/>
        <v>100</v>
      </c>
      <c r="T35" s="705" t="s">
        <v>14</v>
      </c>
      <c r="U35" s="706">
        <f t="shared" si="11"/>
        <v>100</v>
      </c>
      <c r="V35" s="705" t="s">
        <v>14</v>
      </c>
      <c r="W35" s="706">
        <f t="shared" si="12"/>
        <v>100</v>
      </c>
      <c r="X35" s="1355"/>
      <c r="Y35" s="3859"/>
      <c r="Z35" s="1356" t="str">
        <f t="shared" si="13"/>
        <v>宗地形状</v>
      </c>
      <c r="AA35" s="1353">
        <f t="shared" si="3"/>
        <v>1</v>
      </c>
      <c r="AB35" s="1353">
        <f t="shared" si="4"/>
        <v>1</v>
      </c>
      <c r="AC35" s="1353">
        <f t="shared" si="5"/>
        <v>1</v>
      </c>
    </row>
    <row r="36" spans="1:31" s="108" customFormat="1" ht="15">
      <c r="A36" s="424"/>
      <c r="B36" s="375" t="s">
        <v>1869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859"/>
      <c r="Q36" s="1352" t="str">
        <f t="shared" si="14"/>
        <v>宗地开发程度</v>
      </c>
      <c r="R36" s="701" t="s">
        <v>14</v>
      </c>
      <c r="S36" s="702">
        <f t="shared" si="10"/>
        <v>100</v>
      </c>
      <c r="T36" s="701" t="s">
        <v>14</v>
      </c>
      <c r="U36" s="702">
        <f t="shared" si="11"/>
        <v>100</v>
      </c>
      <c r="V36" s="701" t="s">
        <v>14</v>
      </c>
      <c r="W36" s="702">
        <f t="shared" si="12"/>
        <v>100</v>
      </c>
      <c r="X36" s="703"/>
      <c r="Y36" s="3859"/>
      <c r="Z36" s="52" t="str">
        <f t="shared" si="13"/>
        <v>宗地开发程度</v>
      </c>
      <c r="AA36" s="704">
        <f t="shared" si="3"/>
        <v>1</v>
      </c>
      <c r="AB36" s="704">
        <f t="shared" si="4"/>
        <v>1</v>
      </c>
      <c r="AC36" s="704">
        <f t="shared" si="5"/>
        <v>1</v>
      </c>
    </row>
    <row r="37" spans="1:31" ht="15">
      <c r="A37" s="423"/>
      <c r="B37" s="375" t="s">
        <v>1870</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859" t="s">
        <v>1691</v>
      </c>
      <c r="Q37" s="1352" t="str">
        <f t="shared" si="14"/>
        <v>工程地质条件</v>
      </c>
      <c r="R37" s="705" t="s">
        <v>14</v>
      </c>
      <c r="S37" s="706">
        <f t="shared" si="10"/>
        <v>100</v>
      </c>
      <c r="T37" s="705" t="s">
        <v>14</v>
      </c>
      <c r="U37" s="706">
        <f t="shared" si="11"/>
        <v>100</v>
      </c>
      <c r="V37" s="705" t="s">
        <v>14</v>
      </c>
      <c r="W37" s="706">
        <f t="shared" si="12"/>
        <v>100</v>
      </c>
      <c r="X37" s="1355"/>
      <c r="Y37" s="3859"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859"/>
      <c r="Q38" s="1352">
        <f t="shared" si="14"/>
        <v>111</v>
      </c>
      <c r="R38" s="705" t="s">
        <v>14</v>
      </c>
      <c r="S38" s="706">
        <f t="shared" si="10"/>
        <v>100</v>
      </c>
      <c r="T38" s="705" t="s">
        <v>14</v>
      </c>
      <c r="U38" s="706">
        <f t="shared" si="11"/>
        <v>100</v>
      </c>
      <c r="V38" s="705" t="s">
        <v>14</v>
      </c>
      <c r="W38" s="706">
        <f t="shared" si="12"/>
        <v>100</v>
      </c>
      <c r="X38" s="1355"/>
      <c r="Y38" s="385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859"/>
      <c r="Q39" s="1352">
        <f t="shared" si="14"/>
        <v>111</v>
      </c>
      <c r="R39" s="705" t="s">
        <v>14</v>
      </c>
      <c r="S39" s="706">
        <f t="shared" si="10"/>
        <v>100</v>
      </c>
      <c r="T39" s="705" t="s">
        <v>14</v>
      </c>
      <c r="U39" s="706">
        <f t="shared" si="11"/>
        <v>100</v>
      </c>
      <c r="V39" s="705" t="s">
        <v>14</v>
      </c>
      <c r="W39" s="706">
        <f t="shared" si="12"/>
        <v>100</v>
      </c>
      <c r="X39" s="1355"/>
      <c r="Y39" s="3859"/>
      <c r="Z39" s="1356">
        <f t="shared" si="13"/>
        <v>111</v>
      </c>
      <c r="AA39" s="1353">
        <f t="shared" si="3"/>
        <v>1</v>
      </c>
      <c r="AB39" s="1353">
        <f t="shared" si="4"/>
        <v>1</v>
      </c>
      <c r="AC39" s="1353">
        <f t="shared" si="5"/>
        <v>1</v>
      </c>
    </row>
    <row r="40" spans="1:31" s="422" customFormat="1" ht="15.75"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859"/>
      <c r="Q40" s="1352">
        <f t="shared" si="14"/>
        <v>111</v>
      </c>
      <c r="R40" s="708" t="s">
        <v>14</v>
      </c>
      <c r="S40" s="709">
        <f t="shared" si="10"/>
        <v>100</v>
      </c>
      <c r="T40" s="708" t="s">
        <v>14</v>
      </c>
      <c r="U40" s="709">
        <f t="shared" si="11"/>
        <v>100</v>
      </c>
      <c r="V40" s="708" t="s">
        <v>14</v>
      </c>
      <c r="W40" s="709">
        <f t="shared" si="12"/>
        <v>100</v>
      </c>
      <c r="X40" s="710"/>
      <c r="Y40" s="3859"/>
      <c r="Z40" s="711">
        <f t="shared" si="13"/>
        <v>111</v>
      </c>
      <c r="AA40" s="1353">
        <f t="shared" si="3"/>
        <v>1</v>
      </c>
      <c r="AB40" s="1353">
        <f t="shared" si="4"/>
        <v>1</v>
      </c>
      <c r="AC40" s="1353">
        <f t="shared" si="5"/>
        <v>1</v>
      </c>
    </row>
    <row r="41" spans="1:31" ht="15">
      <c r="A41" s="430" t="s">
        <v>1836</v>
      </c>
      <c r="B41" s="1980" t="s">
        <v>1914</v>
      </c>
      <c r="C41" s="630" t="s">
        <v>0</v>
      </c>
      <c r="D41" s="432"/>
      <c r="E41" s="433"/>
      <c r="F41" s="434"/>
      <c r="G41" s="435"/>
      <c r="H41" s="436"/>
      <c r="I41" s="433"/>
      <c r="J41" s="436"/>
      <c r="K41" s="714"/>
      <c r="L41" s="2721"/>
      <c r="M41" s="2713"/>
      <c r="N41" s="2713"/>
      <c r="O41" s="2722"/>
      <c r="P41" s="3861" t="str">
        <f>A41</f>
        <v>成交单价</v>
      </c>
      <c r="Q41" s="3861"/>
      <c r="R41" s="3847">
        <f>E41</f>
        <v>0</v>
      </c>
      <c r="S41" s="3847"/>
      <c r="T41" s="3847">
        <f>G41</f>
        <v>0</v>
      </c>
      <c r="U41" s="3847"/>
      <c r="V41" s="3847">
        <f>I41</f>
        <v>0</v>
      </c>
      <c r="W41" s="3847"/>
      <c r="X41" s="690"/>
      <c r="Y41" s="712"/>
      <c r="Z41" s="690"/>
      <c r="AA41" s="690"/>
      <c r="AB41" s="690"/>
      <c r="AC41" s="690"/>
    </row>
    <row r="42" spans="1:31" ht="15.75" thickBot="1">
      <c r="A42" s="437" t="s">
        <v>1785</v>
      </c>
      <c r="B42" s="631"/>
      <c r="C42" s="440" t="e">
        <f>R43</f>
        <v>#DIV/0!</v>
      </c>
      <c r="D42" s="2315" t="s">
        <v>2130</v>
      </c>
      <c r="E42" s="440" t="e">
        <f>R42</f>
        <v>#DIV/0!</v>
      </c>
      <c r="F42" s="2316"/>
      <c r="G42" s="439" t="e">
        <f>T42</f>
        <v>#DIV/0!</v>
      </c>
      <c r="H42" s="2316"/>
      <c r="I42" s="440" t="e">
        <f>V42</f>
        <v>#DIV/0!</v>
      </c>
      <c r="J42" s="2316"/>
      <c r="K42" s="2318">
        <f>F42+H42+J42</f>
        <v>0</v>
      </c>
      <c r="L42" s="2721"/>
      <c r="M42" s="2713"/>
      <c r="N42" s="2713"/>
      <c r="O42" s="2722"/>
      <c r="P42" s="3861" t="str">
        <f>A42</f>
        <v>比较价值（元/平方米）</v>
      </c>
      <c r="Q42" s="3861"/>
      <c r="R42" s="3884" t="e">
        <f>ROUND(PRODUCT(R41,AA7:AA40),0)</f>
        <v>#DIV/0!</v>
      </c>
      <c r="S42" s="3884"/>
      <c r="T42" s="3884" t="e">
        <f>ROUND(PRODUCT(T41,AB7:AB40),0)</f>
        <v>#DIV/0!</v>
      </c>
      <c r="U42" s="3884"/>
      <c r="V42" s="3884" t="e">
        <f>ROUND(PRODUCT(V41,AC7:AC40),0)</f>
        <v>#DIV/0!</v>
      </c>
      <c r="W42" s="3884"/>
      <c r="X42" s="690"/>
      <c r="Y42" s="690"/>
      <c r="Z42" s="690"/>
      <c r="AA42" s="690"/>
      <c r="AB42" s="690"/>
      <c r="AC42" s="690"/>
    </row>
    <row r="43" spans="1:31" ht="15.75" thickBot="1">
      <c r="A43" s="441" t="s">
        <v>1786</v>
      </c>
      <c r="B43" s="442"/>
      <c r="C43" s="443" t="e">
        <f>R43</f>
        <v>#DIV/0!</v>
      </c>
      <c r="D43" s="443"/>
      <c r="E43" s="443"/>
      <c r="F43" s="443"/>
      <c r="G43" s="443"/>
      <c r="H43" s="443"/>
      <c r="I43" s="443"/>
      <c r="J43" s="443"/>
      <c r="K43" s="715"/>
      <c r="L43" s="2721"/>
      <c r="M43" s="2713"/>
      <c r="N43" s="2713"/>
      <c r="O43" s="2722"/>
      <c r="P43" s="3863" t="str">
        <f>A43</f>
        <v>估价对象XX用房的比较价值（楼面单价，元/平方米）</v>
      </c>
      <c r="Q43" s="3864"/>
      <c r="R43" s="3885" t="e">
        <f>ROUND(IF(D42="简单平均",AVERAGE(R42:W42),R42*F42+T42*H42+V42*J42),0)</f>
        <v>#DIV/0!</v>
      </c>
      <c r="S43" s="3885"/>
      <c r="T43" s="3885"/>
      <c r="U43" s="3885"/>
      <c r="V43" s="3885"/>
      <c r="W43" s="388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1787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1788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1789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1873</v>
      </c>
      <c r="B50" s="633" t="s">
        <v>1874</v>
      </c>
      <c r="C50" s="1981" t="s">
        <v>1875</v>
      </c>
      <c r="D50" s="1982" t="s">
        <v>1876</v>
      </c>
      <c r="E50" s="634" t="s">
        <v>1877</v>
      </c>
      <c r="F50" s="635" t="s">
        <v>1878</v>
      </c>
      <c r="G50" s="3822" t="s">
        <v>1879</v>
      </c>
      <c r="H50" s="3886"/>
      <c r="I50" s="1356" t="s">
        <v>1915</v>
      </c>
      <c r="J50" s="1356">
        <f>项目基本情况!F35</f>
        <v>0</v>
      </c>
      <c r="K50" s="1984" t="s">
        <v>1881</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1882</v>
      </c>
      <c r="B51" s="637" t="e">
        <f>C43</f>
        <v>#DIV/0!</v>
      </c>
      <c r="C51" s="638">
        <v>1</v>
      </c>
      <c r="D51" s="944">
        <v>1</v>
      </c>
      <c r="E51" s="638">
        <f>'数据-汇总表'!E8+'数据-汇总表'!E9</f>
        <v>85.3</v>
      </c>
      <c r="F51" s="639" t="e">
        <f t="shared" ref="F51:F60" si="15">ROUND(B51*E51/10000,0)</f>
        <v>#DIV/0!</v>
      </c>
      <c r="G51" s="3851"/>
      <c r="H51" s="386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1883</v>
      </c>
      <c r="B52" s="218" t="e">
        <f>ROUND($C$43*C52*D52,0)</f>
        <v>#DIV/0!</v>
      </c>
      <c r="C52" s="171">
        <f t="shared" ref="C52:C60" si="16">IF($C$50="北京市系数",I52,J52)</f>
        <v>0</v>
      </c>
      <c r="D52" s="945">
        <v>0.25</v>
      </c>
      <c r="E52" s="642"/>
      <c r="F52" s="639" t="e">
        <f t="shared" si="15"/>
        <v>#DIV/0!</v>
      </c>
      <c r="G52" s="3003" t="s">
        <v>1884</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1885</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1886</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1887</v>
      </c>
      <c r="B56" s="218" t="e">
        <f t="shared" si="17"/>
        <v>#DIV/0!</v>
      </c>
      <c r="C56" s="171">
        <f t="shared" si="16"/>
        <v>0</v>
      </c>
      <c r="D56" s="945">
        <v>0.25</v>
      </c>
      <c r="E56" s="217">
        <f>'数据-汇总表'!E11</f>
        <v>0</v>
      </c>
      <c r="F56" s="639" t="e">
        <f t="shared" si="15"/>
        <v>#DIV/0!</v>
      </c>
      <c r="G56" s="1985" t="s">
        <v>1888</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1889</v>
      </c>
      <c r="B57" s="218" t="e">
        <f t="shared" si="17"/>
        <v>#DIV/0!</v>
      </c>
      <c r="C57" s="171">
        <f t="shared" si="16"/>
        <v>0</v>
      </c>
      <c r="D57" s="945">
        <v>0.25</v>
      </c>
      <c r="E57" s="217">
        <f>'数据-汇总表'!E12</f>
        <v>0</v>
      </c>
      <c r="F57" s="639" t="e">
        <f t="shared" si="15"/>
        <v>#DIV/0!</v>
      </c>
      <c r="G57" s="892" t="s">
        <v>1890</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1891</v>
      </c>
      <c r="B58" s="218" t="e">
        <f t="shared" si="17"/>
        <v>#DIV/0!</v>
      </c>
      <c r="C58" s="171">
        <f t="shared" si="16"/>
        <v>0</v>
      </c>
      <c r="D58" s="945">
        <v>0.25</v>
      </c>
      <c r="E58" s="217">
        <f>'数据-汇总表'!E13</f>
        <v>0</v>
      </c>
      <c r="F58" s="639" t="e">
        <f t="shared" si="15"/>
        <v>#DIV/0!</v>
      </c>
      <c r="G58" s="892" t="s">
        <v>1892</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1893</v>
      </c>
      <c r="B59" s="218" t="e">
        <f t="shared" si="17"/>
        <v>#DIV/0!</v>
      </c>
      <c r="C59" s="171">
        <f t="shared" si="16"/>
        <v>0</v>
      </c>
      <c r="D59" s="945">
        <v>0.25</v>
      </c>
      <c r="E59" s="217">
        <f>'数据-汇总表'!E14</f>
        <v>0</v>
      </c>
      <c r="F59" s="639" t="e">
        <f t="shared" si="15"/>
        <v>#DIV/0!</v>
      </c>
      <c r="G59" s="1985" t="s">
        <v>1884</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1894</v>
      </c>
      <c r="B60" s="218" t="e">
        <f t="shared" si="17"/>
        <v>#DIV/0!</v>
      </c>
      <c r="C60" s="171">
        <f t="shared" si="16"/>
        <v>0</v>
      </c>
      <c r="D60" s="945">
        <v>0.25</v>
      </c>
      <c r="E60" s="217">
        <f>'数据-汇总表'!E15</f>
        <v>0</v>
      </c>
      <c r="F60" s="639" t="e">
        <f t="shared" si="15"/>
        <v>#DIV/0!</v>
      </c>
      <c r="G60" s="1986" t="s">
        <v>1888</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1895</v>
      </c>
      <c r="B61" s="644" t="s">
        <v>18</v>
      </c>
      <c r="C61" s="644" t="s">
        <v>19</v>
      </c>
      <c r="D61" s="644" t="s">
        <v>388</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1790</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7" t="s">
        <v>1896</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1916</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1709</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1676</v>
      </c>
      <c r="B68" s="459"/>
      <c r="C68" s="471" t="s">
        <v>1768</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1711</v>
      </c>
      <c r="B70" s="477" t="s">
        <v>1680</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1683</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1685</v>
      </c>
      <c r="B83" s="477" t="s">
        <v>1821</v>
      </c>
      <c r="C83" s="522" t="s">
        <v>1713</v>
      </c>
      <c r="D83" s="522" t="s">
        <v>1714</v>
      </c>
      <c r="E83" s="522" t="s">
        <v>1715</v>
      </c>
      <c r="F83" s="522" t="s">
        <v>1716</v>
      </c>
      <c r="G83" s="522" t="s">
        <v>1717</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1718</v>
      </c>
      <c r="C85" s="527" t="s">
        <v>1713</v>
      </c>
      <c r="D85" s="527" t="s">
        <v>1714</v>
      </c>
      <c r="E85" s="527" t="s">
        <v>1715</v>
      </c>
      <c r="F85" s="527" t="s">
        <v>1716</v>
      </c>
      <c r="G85" s="527" t="s">
        <v>1717</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1899</v>
      </c>
      <c r="C87" s="522" t="s">
        <v>1713</v>
      </c>
      <c r="D87" s="522" t="s">
        <v>1714</v>
      </c>
      <c r="E87" s="522" t="s">
        <v>1715</v>
      </c>
      <c r="F87" s="522" t="s">
        <v>1716</v>
      </c>
      <c r="G87" s="522" t="s">
        <v>1717</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1900</v>
      </c>
      <c r="C89" s="522" t="s">
        <v>1713</v>
      </c>
      <c r="D89" s="522" t="s">
        <v>1714</v>
      </c>
      <c r="E89" s="522" t="s">
        <v>1715</v>
      </c>
      <c r="F89" s="522" t="s">
        <v>1716</v>
      </c>
      <c r="G89" s="522" t="s">
        <v>1717</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1770</v>
      </c>
      <c r="C91" s="522" t="s">
        <v>1713</v>
      </c>
      <c r="D91" s="522" t="s">
        <v>1714</v>
      </c>
      <c r="E91" s="522" t="s">
        <v>1715</v>
      </c>
      <c r="F91" s="522" t="s">
        <v>1716</v>
      </c>
      <c r="G91" s="522" t="s">
        <v>1717</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1917</v>
      </c>
      <c r="C93" s="608" t="s">
        <v>1791</v>
      </c>
      <c r="D93" s="608" t="s">
        <v>1792</v>
      </c>
      <c r="E93" s="608" t="s">
        <v>1793</v>
      </c>
      <c r="F93" s="608" t="s">
        <v>1794</v>
      </c>
      <c r="G93" s="608" t="s">
        <v>1795</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1901</v>
      </c>
      <c r="D95" s="488" t="s">
        <v>1902</v>
      </c>
      <c r="E95" s="488" t="s">
        <v>1903</v>
      </c>
      <c r="F95" s="488" t="s">
        <v>1904</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1807</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1865</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1689</v>
      </c>
      <c r="B107" s="477" t="s">
        <v>1905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1906</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1908</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1909</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2075</v>
      </c>
      <c r="C1" s="3894" t="s">
        <v>2076</v>
      </c>
      <c r="D1" s="3895"/>
      <c r="E1" s="3895"/>
      <c r="F1" s="3895"/>
      <c r="G1" s="3895"/>
      <c r="H1" s="3895"/>
      <c r="I1" s="3895"/>
      <c r="J1" s="3895"/>
      <c r="K1" s="3895"/>
      <c r="L1" s="3895"/>
      <c r="M1" s="3895"/>
      <c r="N1" s="3895"/>
      <c r="O1" s="3895"/>
      <c r="P1" s="3895"/>
      <c r="Q1" s="3895"/>
      <c r="R1" s="3895"/>
      <c r="S1" s="3896"/>
      <c r="T1" s="983" t="s">
        <v>2077</v>
      </c>
    </row>
    <row r="2" spans="1:45" s="655" customFormat="1">
      <c r="A2" s="984"/>
      <c r="B2" s="651" t="s">
        <v>2078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2079</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2080</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2081</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2082</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2083</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2084</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2085</v>
      </c>
      <c r="B17" s="2147" t="s">
        <v>2086</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2087</v>
      </c>
      <c r="E19" s="1340"/>
      <c r="F19" s="1340"/>
      <c r="G19" s="1340"/>
      <c r="H19" s="1059"/>
      <c r="I19" s="159"/>
      <c r="J19" s="159"/>
      <c r="K19" s="159"/>
      <c r="L19" s="159"/>
      <c r="M19" s="159"/>
      <c r="N19" s="159"/>
      <c r="O19" s="159"/>
      <c r="P19" s="159"/>
      <c r="Q19" s="159"/>
      <c r="R19" s="718"/>
      <c r="S19" s="129"/>
    </row>
    <row r="20" spans="1:45" ht="16.5" thickBot="1">
      <c r="A20" s="662" t="s">
        <v>2088</v>
      </c>
      <c r="B20" s="294" t="e">
        <f ca="1">IF(D20="——",S22,S22-F20)</f>
        <v>#REF!</v>
      </c>
      <c r="C20" s="159"/>
      <c r="D20" s="2149"/>
      <c r="E20" s="1341"/>
      <c r="F20" s="983" t="e">
        <f ca="1">SUMIF(INDIRECT("'"&amp;H20&amp;"'"&amp;"!A:A"),"承租人权益价值",INDIRECT("'"&amp;H20&amp;"'"&amp;"!c:c"))</f>
        <v>#REF!</v>
      </c>
      <c r="G20" s="983" t="s">
        <v>2089</v>
      </c>
      <c r="H20" s="2150"/>
      <c r="I20" s="159"/>
      <c r="J20" s="159"/>
      <c r="K20" s="159"/>
      <c r="L20" s="159"/>
      <c r="M20" s="159"/>
      <c r="N20" s="159"/>
      <c r="O20" s="159"/>
      <c r="P20" s="159"/>
      <c r="Q20" s="159"/>
      <c r="R20" s="718"/>
      <c r="S20" s="129"/>
    </row>
    <row r="21" spans="1:45" ht="15.75">
      <c r="A21" s="662" t="s">
        <v>2090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2091</v>
      </c>
      <c r="B22" s="21">
        <f>SUM(B24:B10000)</f>
        <v>0</v>
      </c>
      <c r="C22" s="3891" t="s">
        <v>23</v>
      </c>
      <c r="D22" s="3892"/>
      <c r="E22" s="3892"/>
      <c r="F22" s="3892"/>
      <c r="G22" s="3892"/>
      <c r="H22" s="3892"/>
      <c r="I22" s="3892"/>
      <c r="J22" s="3892"/>
      <c r="K22" s="3892"/>
      <c r="L22" s="3892"/>
      <c r="M22" s="3892"/>
      <c r="N22" s="3892"/>
      <c r="O22" s="3892"/>
      <c r="P22" s="3892"/>
      <c r="Q22" s="3893"/>
      <c r="R22" s="663" t="e">
        <f>ROUND(S22*10000/B22,0)</f>
        <v>#DIV/0!</v>
      </c>
      <c r="S22" s="21">
        <f>SUM(S24:S10000)</f>
        <v>0</v>
      </c>
    </row>
    <row r="23" spans="1:45" s="9" customFormat="1" ht="24">
      <c r="A23" s="8" t="s">
        <v>2092</v>
      </c>
      <c r="B23" s="8" t="s">
        <v>2093</v>
      </c>
      <c r="C23" s="8" t="s">
        <v>2094</v>
      </c>
      <c r="D23" s="8" t="str">
        <f>B5</f>
        <v>修正项2</v>
      </c>
      <c r="E23" s="8" t="s">
        <v>2094</v>
      </c>
      <c r="F23" s="8" t="str">
        <f>B7</f>
        <v>修正项3</v>
      </c>
      <c r="G23" s="8" t="s">
        <v>2094</v>
      </c>
      <c r="H23" s="8" t="str">
        <f>B9</f>
        <v>修正项4</v>
      </c>
      <c r="I23" s="8" t="s">
        <v>2094</v>
      </c>
      <c r="J23" s="8" t="str">
        <f>B11</f>
        <v>修正项5</v>
      </c>
      <c r="K23" s="8" t="s">
        <v>2094</v>
      </c>
      <c r="L23" s="8" t="str">
        <f>B13</f>
        <v>修正项6</v>
      </c>
      <c r="M23" s="8" t="s">
        <v>2094</v>
      </c>
      <c r="N23" s="8" t="str">
        <f>B15</f>
        <v>修正项7</v>
      </c>
      <c r="O23" s="8" t="s">
        <v>2094</v>
      </c>
      <c r="P23" s="8" t="str">
        <f>B17</f>
        <v>楼层</v>
      </c>
      <c r="Q23" s="8" t="s">
        <v>2094</v>
      </c>
      <c r="R23" s="664" t="s">
        <v>2095</v>
      </c>
      <c r="S23" s="8" t="s">
        <v>2096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2097</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2073</v>
      </c>
      <c r="B1" s="2145"/>
      <c r="C1" s="2145"/>
      <c r="D1" s="2145"/>
      <c r="E1" s="2145"/>
      <c r="F1" s="2790"/>
      <c r="G1" s="2790"/>
      <c r="H1" s="2790"/>
      <c r="I1" s="2790"/>
      <c r="J1" s="2790"/>
      <c r="K1" s="2790"/>
      <c r="L1" s="2790"/>
      <c r="M1" s="2790"/>
      <c r="N1" s="2790"/>
      <c r="O1" s="2790"/>
      <c r="P1" s="2790"/>
    </row>
    <row r="2" spans="1:16" ht="15.75">
      <c r="A2" s="2143" t="s">
        <v>2065</v>
      </c>
      <c r="B2" s="2599" t="e">
        <f ca="1">SUMIF(B6:B13,"&lt;&gt;#ref!",B6:B13)</f>
        <v>#DIV/0!</v>
      </c>
      <c r="C2" s="2143" t="s">
        <v>2066</v>
      </c>
      <c r="D2" s="2143" t="s">
        <v>2067</v>
      </c>
      <c r="E2" s="2609">
        <f ca="1">SUMIF(E6:E13,"&lt;&gt;#ref!",E6:E13)</f>
        <v>0</v>
      </c>
      <c r="F2" s="2790"/>
      <c r="G2" s="2790"/>
      <c r="H2" s="2790"/>
      <c r="I2" s="2790"/>
      <c r="J2" s="2790"/>
      <c r="K2" s="2790"/>
      <c r="L2" s="2790"/>
      <c r="M2" s="2790"/>
      <c r="N2" s="2790"/>
      <c r="O2" s="2790"/>
      <c r="P2" s="2790"/>
    </row>
    <row r="3" spans="1:16" ht="15.75">
      <c r="A3" s="2143" t="s">
        <v>2068</v>
      </c>
      <c r="B3" s="2599" t="e">
        <f ca="1">ROUND(B2*10000/E2,0)</f>
        <v>#DIV/0!</v>
      </c>
      <c r="C3" s="2143" t="s">
        <v>2074</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2069</v>
      </c>
      <c r="B5" s="2607" t="s">
        <v>2070</v>
      </c>
      <c r="C5" s="2144"/>
      <c r="D5" s="2790"/>
      <c r="E5" s="2608" t="s">
        <v>2071</v>
      </c>
      <c r="F5" s="2790"/>
      <c r="G5" s="2790"/>
      <c r="H5" s="2790"/>
      <c r="I5" s="2790"/>
      <c r="J5" s="2790"/>
      <c r="K5" s="2790"/>
      <c r="L5" s="2790"/>
      <c r="M5" s="2790"/>
      <c r="N5" s="2790"/>
      <c r="O5" s="2790"/>
      <c r="P5" s="2790"/>
    </row>
    <row r="6" spans="1:16" ht="15.75">
      <c r="A6" s="2606" t="s">
        <v>2072</v>
      </c>
      <c r="B6" s="2599" t="e">
        <f ca="1">SUMIF(INDIRECT("'"&amp;A6&amp;"'"&amp;"!A:A"),"总价",INDIRECT("'"&amp;A6&amp;"'"&amp;"!B:B"))</f>
        <v>#DIV/0!</v>
      </c>
      <c r="C6" s="2143" t="s">
        <v>2066</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2066</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2066</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2066</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2066</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2066</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2066</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2066</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5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1"/>
      <c r="C2" s="3561"/>
      <c r="D2" s="3561"/>
      <c r="E2" s="3561"/>
    </row>
    <row r="3" spans="1:5" ht="18">
      <c r="A3" s="3562" t="str">
        <f>IF(项目基本情况!B9="房地产市场价值","估价结果一览表（市场价值不需“结果表-1”）","估价结果一览表")</f>
        <v>估价结果一览表</v>
      </c>
      <c r="B3" s="3562"/>
      <c r="C3" s="3562"/>
      <c r="D3" s="3562"/>
      <c r="E3" s="3562"/>
    </row>
    <row r="4" spans="1:5" ht="19.5" thickBot="1">
      <c r="A4" s="1493"/>
      <c r="B4" s="3560" t="s">
        <v>913</v>
      </c>
      <c r="C4" s="3560"/>
      <c r="D4" s="3560"/>
      <c r="E4" s="1493"/>
    </row>
    <row r="5" spans="1:5" ht="16.5" thickTop="1">
      <c r="A5" s="1491"/>
      <c r="B5" s="3558" t="s">
        <v>905</v>
      </c>
      <c r="C5" s="1494" t="s">
        <v>906</v>
      </c>
      <c r="D5" s="850" t="e">
        <f ca="1">结果表!H101</f>
        <v>#REF!</v>
      </c>
      <c r="E5" s="1491"/>
    </row>
    <row r="6" spans="1:5" ht="15.75">
      <c r="A6" s="1491"/>
      <c r="B6" s="3558"/>
      <c r="C6" s="1494" t="s">
        <v>907</v>
      </c>
      <c r="D6" s="850" t="e">
        <f ca="1">NUMBERSTRING(INT(D5*10000),2)&amp;"元整"</f>
        <v>#REF!</v>
      </c>
      <c r="E6" s="1491"/>
    </row>
    <row r="7" spans="1:5" ht="15.75">
      <c r="A7" s="1491"/>
      <c r="B7" s="3563"/>
      <c r="C7" s="1495" t="s">
        <v>908</v>
      </c>
      <c r="D7" s="851" t="e">
        <f ca="1">结果表!H102</f>
        <v>#REF!</v>
      </c>
      <c r="E7" s="1491"/>
    </row>
    <row r="8" spans="1:5" ht="15.75">
      <c r="A8" s="1491"/>
      <c r="B8" s="3564" t="str">
        <f>结果表!E103</f>
        <v>2.估价师知悉的法定优先受偿款</v>
      </c>
      <c r="C8" s="1496" t="s">
        <v>909</v>
      </c>
      <c r="D8" s="851">
        <f>结果表!H103</f>
        <v>0</v>
      </c>
      <c r="E8" s="1491"/>
    </row>
    <row r="9" spans="1:5" ht="15.75">
      <c r="A9" s="1491"/>
      <c r="B9" s="3566"/>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557" t="str">
        <f>结果表!E107</f>
        <v>3.房地产抵押价值</v>
      </c>
      <c r="C13" s="1499" t="s">
        <v>906</v>
      </c>
      <c r="D13" s="853" t="e">
        <f ca="1">结果表!H107</f>
        <v>#REF!</v>
      </c>
      <c r="E13" s="1491"/>
    </row>
    <row r="14" spans="1:5" ht="15.75">
      <c r="A14" s="1491"/>
      <c r="B14" s="3558"/>
      <c r="C14" s="1494" t="s">
        <v>907</v>
      </c>
      <c r="D14" s="850" t="e">
        <f ca="1">NUMBERSTRING(INT(D13*10000),2)&amp;"元整"</f>
        <v>#REF!</v>
      </c>
      <c r="E14" s="1491"/>
    </row>
    <row r="15" spans="1:5" ht="15">
      <c r="A15" s="1491"/>
      <c r="B15" s="3563"/>
      <c r="C15" s="1495" t="s">
        <v>917</v>
      </c>
      <c r="D15" s="859" t="e">
        <f ca="1">结果表!H108</f>
        <v>#REF!</v>
      </c>
      <c r="E15" s="1491"/>
    </row>
    <row r="16" spans="1:5" ht="15">
      <c r="A16" s="1491"/>
      <c r="B16" s="3564" t="str">
        <f>结果表!E109</f>
        <v>——</v>
      </c>
      <c r="C16" s="1499" t="s">
        <v>918</v>
      </c>
      <c r="D16" s="1500" t="str">
        <f>结果表!H109</f>
        <v>——</v>
      </c>
      <c r="E16" s="1491"/>
    </row>
    <row r="17" spans="1:5" ht="15.75">
      <c r="A17" s="1491"/>
      <c r="B17" s="3565"/>
      <c r="C17" s="1494" t="s">
        <v>919</v>
      </c>
      <c r="D17" s="850" t="e">
        <f>NUMBERSTRING(INT(D16*10000),2)&amp;"元整"</f>
        <v>#VALUE!</v>
      </c>
      <c r="E17" s="1491"/>
    </row>
    <row r="18" spans="1:5" ht="15">
      <c r="A18" s="1491"/>
      <c r="B18" s="3566"/>
      <c r="C18" s="1495" t="s">
        <v>908</v>
      </c>
      <c r="D18" s="859" t="str">
        <f>结果表!H110</f>
        <v>——</v>
      </c>
      <c r="E18" s="1491"/>
    </row>
    <row r="19" spans="1:5" ht="15.75">
      <c r="A19" s="1491"/>
      <c r="B19" s="3557" t="str">
        <f>结果表!E111</f>
        <v>——</v>
      </c>
      <c r="C19" s="1499" t="s">
        <v>906</v>
      </c>
      <c r="D19" s="851" t="str">
        <f>结果表!H111</f>
        <v>——</v>
      </c>
      <c r="E19" s="1491"/>
    </row>
    <row r="20" spans="1:5" ht="15.75">
      <c r="A20" s="1491"/>
      <c r="B20" s="3558"/>
      <c r="C20" s="1494" t="s">
        <v>919</v>
      </c>
      <c r="D20" s="850" t="e">
        <f>NUMBERSTRING(INT(D19*10000),2)&amp;"元整"</f>
        <v>#VALUE!</v>
      </c>
      <c r="E20" s="1491"/>
    </row>
    <row r="21" spans="1:5" ht="15.75" thickBot="1">
      <c r="A21" s="1491"/>
      <c r="B21" s="3559"/>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1" customWidth="1"/>
    <col min="33" max="36" width="9.375" style="2051" customWidth="1"/>
    <col min="37" max="38" width="9.375" style="1996" customWidth="1"/>
    <col min="39" max="16384" width="12" style="1996"/>
  </cols>
  <sheetData>
    <row r="1" spans="1:36" ht="28.5">
      <c r="A1" s="196" t="s">
        <v>1918</v>
      </c>
      <c r="B1" s="197"/>
      <c r="C1" s="201" t="s">
        <v>1919</v>
      </c>
      <c r="D1" s="342">
        <f>SUM(D33:D34,D37:D42)</f>
        <v>0</v>
      </c>
      <c r="E1" s="1993"/>
      <c r="F1" s="1993"/>
      <c r="G1" s="1993"/>
      <c r="H1" s="1993"/>
      <c r="I1" s="1993"/>
      <c r="J1" s="1993"/>
      <c r="K1" s="1119"/>
      <c r="L1" s="1994" t="s">
        <v>1920</v>
      </c>
      <c r="M1" s="863">
        <f>SUMPRODUCT((区片价!B5:B9=I2)*(区片价!C3:G3=E2)*(区片价!C5:G9))</f>
        <v>0</v>
      </c>
      <c r="N1" s="866">
        <f>SUMPRODUCT((因素修正幅度!B5:B9=I2)*(因素修正幅度!C3:G3=E2)*(因素修正幅度!C5:G9))</f>
        <v>0</v>
      </c>
      <c r="O1" s="1995"/>
      <c r="P1" s="1995"/>
      <c r="Q1" s="1119"/>
      <c r="R1" s="1212" t="s">
        <v>1921</v>
      </c>
      <c r="S1" s="1212" t="s">
        <v>1922</v>
      </c>
      <c r="T1" s="1212" t="s">
        <v>1923</v>
      </c>
      <c r="U1" s="1212" t="s">
        <v>1924</v>
      </c>
      <c r="V1" s="1212" t="s">
        <v>1925</v>
      </c>
      <c r="W1" s="1216"/>
      <c r="X1" s="1216"/>
      <c r="Y1" s="1216"/>
      <c r="Z1" s="1216"/>
      <c r="AA1" s="1216"/>
      <c r="AB1" s="1216"/>
      <c r="AC1" s="1217"/>
      <c r="AD1" s="1218"/>
      <c r="AE1" s="1218"/>
      <c r="AF1" s="1218"/>
      <c r="AG1" s="1218"/>
      <c r="AH1" s="1218"/>
      <c r="AI1" s="1218"/>
      <c r="AJ1" s="1219"/>
    </row>
    <row r="2" spans="1:36" ht="15.75">
      <c r="A2" s="201" t="s">
        <v>1926</v>
      </c>
      <c r="B2" s="204" t="e">
        <f>C30</f>
        <v>#DIV/0!</v>
      </c>
      <c r="C2" s="1997" t="s">
        <v>1927</v>
      </c>
      <c r="D2" s="1998" t="s">
        <v>1928</v>
      </c>
      <c r="E2" s="3419"/>
      <c r="F2" s="1998" t="s">
        <v>1929</v>
      </c>
      <c r="G2" s="1999">
        <f>IF(E2="商业",项目基本情况!B37,IF(E2="办公",项目基本情况!C37,IF(E2="住宅",项目基本情况!D37,IF(E2="工业",项目基本情况!E37,项目基本情况!F37))))</f>
        <v>0</v>
      </c>
      <c r="H2" s="1998" t="s">
        <v>1930</v>
      </c>
      <c r="I2" s="1999">
        <f>IF(E2="商业",项目基本情况!B38,IF(E2="办公",项目基本情况!C38,IF(E2="住宅",项目基本情况!D38,IF(E2="工业",项目基本情况!E38,项目基本情况!F38))))</f>
        <v>0</v>
      </c>
      <c r="J2" s="2000"/>
      <c r="K2" s="1119"/>
      <c r="L2" s="2001" t="s">
        <v>1931</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1932</v>
      </c>
      <c r="B3" s="204" t="e">
        <f>ROUND(B2*10000/D1,0)</f>
        <v>#DIV/0!</v>
      </c>
      <c r="C3" s="1997" t="s">
        <v>1933</v>
      </c>
      <c r="D3" s="1998" t="s">
        <v>1934</v>
      </c>
      <c r="E3" s="3417"/>
      <c r="F3" s="2002"/>
      <c r="G3" s="752">
        <f>IF(F3="宗地容积率",'数据-汇总表'!I4,IF(F3="估价对象容积率",'数据-汇总表'!I6,'数据-汇总表'!I7))</f>
        <v>0</v>
      </c>
      <c r="H3" s="170" t="s">
        <v>1935</v>
      </c>
      <c r="I3" s="775"/>
      <c r="J3" s="2000" t="s">
        <v>1936</v>
      </c>
      <c r="K3" s="1119"/>
      <c r="L3" s="2001" t="s">
        <v>1937</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904"/>
      <c r="B4" s="3905"/>
      <c r="C4" s="3905"/>
      <c r="D4" s="3906"/>
      <c r="E4" s="3906"/>
      <c r="F4" s="3906"/>
      <c r="G4" s="3906"/>
      <c r="H4" s="3906"/>
      <c r="I4" s="3906"/>
      <c r="J4" s="3907"/>
      <c r="K4" s="1119"/>
      <c r="L4" s="2001" t="s">
        <v>1938</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2" customFormat="1" ht="15.75" thickBot="1">
      <c r="A5" s="2003" t="s">
        <v>358</v>
      </c>
      <c r="B5" s="2004" t="s">
        <v>1939</v>
      </c>
      <c r="C5" s="753" t="e">
        <f>ROUND(IF(E2="商业",C6*C7*C17+C20,(IF(E2="住宅",C6*C13*C17+C20,IF(E2="办公",C6*C12*C17+C20,C6+C20)))),0)</f>
        <v>#DIV/0!</v>
      </c>
      <c r="D5" s="1339" t="e">
        <f>ROUND(C6*C17+C20,0)</f>
        <v>#DIV/0!</v>
      </c>
      <c r="E5" s="1339"/>
      <c r="F5" s="2005"/>
      <c r="G5" s="2006"/>
      <c r="H5" s="2006"/>
      <c r="I5" s="2006"/>
      <c r="J5" s="2007"/>
      <c r="K5" s="2008"/>
      <c r="L5" s="2001" t="s">
        <v>1940</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09"/>
      <c r="AD5" s="2010"/>
      <c r="AE5" s="2010"/>
      <c r="AF5" s="2010"/>
      <c r="AG5" s="2010"/>
      <c r="AH5" s="2010"/>
      <c r="AI5" s="2010"/>
      <c r="AJ5" s="2011"/>
    </row>
    <row r="6" spans="1:36" ht="15.75" thickBot="1">
      <c r="A6" s="2013" t="s">
        <v>1941</v>
      </c>
      <c r="B6" s="2014" t="s">
        <v>1942</v>
      </c>
      <c r="C6" s="754">
        <f>SUMIF(L1:L12,G2,M1:M12)</f>
        <v>0</v>
      </c>
      <c r="D6" s="2015"/>
      <c r="E6" s="2016"/>
      <c r="F6" s="2016"/>
      <c r="G6" s="2017"/>
      <c r="H6" s="2017"/>
      <c r="I6" s="2017"/>
      <c r="J6" s="2018"/>
      <c r="K6" s="1384"/>
      <c r="L6" s="2001" t="s">
        <v>1943</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09"/>
      <c r="AD6" s="2010"/>
      <c r="AE6" s="2010"/>
      <c r="AF6" s="2010"/>
      <c r="AG6" s="2010"/>
      <c r="AH6" s="2010"/>
      <c r="AI6" s="2010"/>
      <c r="AJ6" s="2011"/>
    </row>
    <row r="7" spans="1:36" ht="24.75" thickBot="1">
      <c r="A7" s="3301" t="s">
        <v>3237</v>
      </c>
      <c r="B7" s="2019" t="s">
        <v>1944</v>
      </c>
      <c r="C7" s="755" t="e">
        <f>IF(C8="不临65条商业街",1,ROUND(1+(1.6*E8+1.2*E9+0.8*E10+0.4*E11)*C9,4))</f>
        <v>#DIV/0!</v>
      </c>
      <c r="D7" s="2020" t="s">
        <v>1945</v>
      </c>
      <c r="E7" s="776"/>
      <c r="F7" s="2021"/>
      <c r="G7" s="2022"/>
      <c r="H7" s="2022"/>
      <c r="I7" s="2022"/>
      <c r="J7" s="2023"/>
      <c r="K7" s="1384"/>
      <c r="L7" s="2001" t="s">
        <v>1946</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1947</v>
      </c>
      <c r="X7" s="1214">
        <f>G2</f>
        <v>0</v>
      </c>
      <c r="Y7" s="1214" t="s">
        <v>1948</v>
      </c>
      <c r="Z7" s="1215">
        <f>G3</f>
        <v>0</v>
      </c>
      <c r="AA7" s="1216"/>
      <c r="AB7" s="1216"/>
      <c r="AC7" s="1217"/>
      <c r="AD7" s="1218"/>
      <c r="AE7" s="1218"/>
      <c r="AF7" s="1218"/>
      <c r="AG7" s="1218"/>
      <c r="AH7" s="1218"/>
      <c r="AI7" s="1218"/>
      <c r="AJ7" s="1219"/>
    </row>
    <row r="8" spans="1:36" ht="15">
      <c r="A8" s="3296"/>
      <c r="B8" s="170" t="s">
        <v>1949</v>
      </c>
      <c r="C8" s="2024"/>
      <c r="D8" s="756" t="s">
        <v>108</v>
      </c>
      <c r="E8" s="757" t="e">
        <f>ROUND(C11/E7,4)</f>
        <v>#DIV/0!</v>
      </c>
      <c r="F8" s="2025" t="s">
        <v>1950</v>
      </c>
      <c r="G8" s="2026"/>
      <c r="H8" s="2026"/>
      <c r="I8" s="2026"/>
      <c r="J8" s="2027"/>
      <c r="K8" s="1119"/>
      <c r="L8" s="2001" t="s">
        <v>1951</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901" t="s">
        <v>1952</v>
      </c>
      <c r="X8" s="3902"/>
      <c r="Y8" s="1220" t="s">
        <v>1953</v>
      </c>
      <c r="Z8" s="1220" t="s">
        <v>1954</v>
      </c>
      <c r="AA8" s="1220" t="s">
        <v>1955</v>
      </c>
      <c r="AB8" s="1220" t="s">
        <v>1956</v>
      </c>
      <c r="AC8" s="1220" t="s">
        <v>1957</v>
      </c>
      <c r="AD8" s="1220" t="s">
        <v>1958</v>
      </c>
      <c r="AE8" s="1220" t="s">
        <v>1959</v>
      </c>
      <c r="AF8" s="1220" t="s">
        <v>1960</v>
      </c>
      <c r="AG8" s="1220" t="s">
        <v>1961</v>
      </c>
      <c r="AH8" s="1220" t="s">
        <v>1962</v>
      </c>
      <c r="AI8" s="1220" t="s">
        <v>1963</v>
      </c>
      <c r="AJ8" s="1220" t="s">
        <v>1964</v>
      </c>
    </row>
    <row r="9" spans="1:36" ht="15">
      <c r="A9" s="3296"/>
      <c r="B9" s="170" t="s">
        <v>1965</v>
      </c>
      <c r="C9" s="758">
        <f>SUMIF(修正!C71:C138,C8,修正!E71:E138)</f>
        <v>0</v>
      </c>
      <c r="D9" s="171" t="s">
        <v>109</v>
      </c>
      <c r="E9" s="171" t="e">
        <f>ROUND(C11/E7,4)</f>
        <v>#DIV/0!</v>
      </c>
      <c r="F9" s="2025" t="s">
        <v>1966</v>
      </c>
      <c r="G9" s="2026"/>
      <c r="H9" s="2026"/>
      <c r="I9" s="2026"/>
      <c r="J9" s="2027"/>
      <c r="K9" s="1119"/>
      <c r="L9" s="2001" t="s">
        <v>1967</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903"/>
      <c r="X9" s="3359" t="s">
        <v>3268</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1968</v>
      </c>
      <c r="C10" s="171">
        <f>SUMIF(修正!C71:C138,C8,修正!F71:F138)</f>
        <v>0</v>
      </c>
      <c r="D10" s="171" t="s">
        <v>110</v>
      </c>
      <c r="E10" s="171" t="e">
        <f>ROUND(C11/E7,4)</f>
        <v>#DIV/0!</v>
      </c>
      <c r="F10" s="2025" t="s">
        <v>1969</v>
      </c>
      <c r="G10" s="2026"/>
      <c r="H10" s="2026"/>
      <c r="I10" s="2026"/>
      <c r="J10" s="2027"/>
      <c r="K10" s="1119"/>
      <c r="L10" s="2001" t="s">
        <v>1970</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90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1971</v>
      </c>
      <c r="C11" s="759">
        <f>C10/4</f>
        <v>0</v>
      </c>
      <c r="D11" s="759" t="s">
        <v>111</v>
      </c>
      <c r="E11" s="759" t="e">
        <f>ROUND(C11/E7,4)</f>
        <v>#DIV/0!</v>
      </c>
      <c r="F11" s="2029" t="s">
        <v>1972</v>
      </c>
      <c r="G11" s="2030"/>
      <c r="H11" s="2030"/>
      <c r="I11" s="2030"/>
      <c r="J11" s="2031"/>
      <c r="K11" s="1119"/>
      <c r="L11" s="2001" t="s">
        <v>1973</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9"/>
      <c r="L12" s="2037" t="s">
        <v>1976</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3242</v>
      </c>
      <c r="B13" s="2032" t="s">
        <v>1974</v>
      </c>
      <c r="C13" s="755">
        <f>ROUND(C16*D16*E16*F16*G16*H16*I16*J16,4)</f>
        <v>0</v>
      </c>
      <c r="D13" s="2033" t="s">
        <v>1975</v>
      </c>
      <c r="E13" s="2034"/>
      <c r="F13" s="2034"/>
      <c r="G13" s="2035"/>
      <c r="H13" s="2035"/>
      <c r="I13" s="2035"/>
      <c r="J13" s="2036"/>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38" t="s">
        <v>1977</v>
      </c>
      <c r="C14" s="2039" t="s">
        <v>1978</v>
      </c>
      <c r="D14" s="1350" t="s">
        <v>1979</v>
      </c>
      <c r="E14" s="27" t="s">
        <v>1980</v>
      </c>
      <c r="F14" s="3309" t="s">
        <v>3243</v>
      </c>
      <c r="G14" s="3309" t="s">
        <v>3243</v>
      </c>
      <c r="H14" s="3309" t="s">
        <v>3243</v>
      </c>
      <c r="I14" s="3309" t="s">
        <v>3243</v>
      </c>
      <c r="J14" s="3309" t="s">
        <v>3243</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0"/>
      <c r="C15" s="2041"/>
      <c r="D15" s="2042"/>
      <c r="E15" s="2043"/>
      <c r="F15" s="3310" t="s">
        <v>3244</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1981</v>
      </c>
      <c r="C16" s="3315"/>
      <c r="D16" s="3315"/>
      <c r="E16" s="3315"/>
      <c r="F16" s="3315">
        <v>1</v>
      </c>
      <c r="G16" s="3315">
        <v>1</v>
      </c>
      <c r="H16" s="3315">
        <v>1</v>
      </c>
      <c r="I16" s="3315">
        <v>1</v>
      </c>
      <c r="J16" s="3316">
        <v>1</v>
      </c>
      <c r="K16" s="1119"/>
      <c r="L16" s="1995"/>
      <c r="M16" s="1995"/>
      <c r="N16" s="1995"/>
      <c r="O16" s="1995"/>
      <c r="P16" s="1995"/>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t="e">
        <f>ROUND(G18/I18,2)</f>
        <v>#DIV/0!</v>
      </c>
      <c r="F17" s="3319" t="s">
        <v>3250</v>
      </c>
      <c r="G17" s="3328" t="e">
        <f>ROUND(E19/G19,2)</f>
        <v>#DIV/0!</v>
      </c>
      <c r="H17" s="3328"/>
      <c r="I17" s="3328"/>
      <c r="J17" s="3329"/>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v>
      </c>
      <c r="J18" s="3331"/>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5"/>
    </row>
    <row r="19" spans="1:37" s="2012" customFormat="1" ht="15" thickBot="1">
      <c r="A19" s="3332"/>
      <c r="B19" s="3333"/>
      <c r="C19" s="3334"/>
      <c r="D19" s="3334" t="s">
        <v>3249</v>
      </c>
      <c r="E19" s="3335"/>
      <c r="F19" s="3336" t="s">
        <v>3252</v>
      </c>
      <c r="G19" s="3335"/>
      <c r="H19" s="3334"/>
      <c r="I19" s="3334"/>
      <c r="J19" s="3337"/>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8"/>
      <c r="AH19" s="2139"/>
      <c r="AI19" s="2789"/>
      <c r="AJ19" s="2789"/>
      <c r="AK19" s="2055"/>
    </row>
    <row r="20" spans="1:37" s="2012" customFormat="1" ht="14.25">
      <c r="A20" s="3908" t="s">
        <v>3254</v>
      </c>
      <c r="B20" s="167" t="s">
        <v>1986</v>
      </c>
      <c r="C20" s="3322" t="e">
        <f>ROUND(IF(F21="与级别开发程度一致",0,(G21-E21)/C21),0)</f>
        <v>#DIV/0!</v>
      </c>
      <c r="D20" s="3338" t="s">
        <v>1990</v>
      </c>
      <c r="E20" s="3339"/>
      <c r="F20" s="3914" t="s">
        <v>1987</v>
      </c>
      <c r="G20" s="3915"/>
      <c r="H20" s="3323"/>
      <c r="I20" s="3323"/>
      <c r="J20" s="3324"/>
      <c r="K20" s="2045"/>
      <c r="L20" s="2045"/>
      <c r="M20" s="2045"/>
      <c r="N20" s="2045"/>
      <c r="O20" s="2046"/>
      <c r="P20" s="1995"/>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2" customFormat="1" ht="15" thickBot="1">
      <c r="A21" s="3909"/>
      <c r="B21" s="2162" t="s">
        <v>1989</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2" customFormat="1" ht="15.75" thickBot="1">
      <c r="A22" s="2156" t="s">
        <v>359</v>
      </c>
      <c r="B22" s="2157" t="s">
        <v>1992</v>
      </c>
      <c r="C22" s="2158">
        <f>SUMIF(修正!C20:C51,E3,修正!E20:E51)</f>
        <v>0</v>
      </c>
      <c r="D22" s="2159"/>
      <c r="E22" s="2160"/>
      <c r="F22" s="2160"/>
      <c r="G22" s="2160"/>
      <c r="H22" s="2160"/>
      <c r="I22" s="2160"/>
      <c r="J22" s="2161"/>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48" t="s">
        <v>360</v>
      </c>
      <c r="B23" s="2049" t="s">
        <v>1993</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1994</v>
      </c>
      <c r="E23" s="761">
        <v>44197</v>
      </c>
      <c r="F23" s="2052" t="s">
        <v>1995</v>
      </c>
      <c r="G23" s="762">
        <f>'数据-取费表'!B2</f>
        <v>44977</v>
      </c>
      <c r="H23" s="3340" t="s">
        <v>3256</v>
      </c>
      <c r="I23" s="3341" t="str">
        <f>IF(H23="季度增幅（自定义）",SUMIF(N25:N28,E2,O25:O28),"")</f>
        <v/>
      </c>
      <c r="J23" s="3443" t="s">
        <v>3255</v>
      </c>
      <c r="K23" s="1125"/>
      <c r="L23" s="2053" t="s">
        <v>1996</v>
      </c>
      <c r="M23" s="1328">
        <f>ROUND(SUMIF(地价!B2:G2,E2,地价!B16:G16),0)</f>
        <v>0</v>
      </c>
      <c r="N23" s="2054" t="s">
        <v>1997</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75" thickBot="1">
      <c r="A24" s="2056" t="s">
        <v>361</v>
      </c>
      <c r="B24" s="2057" t="s">
        <v>1998</v>
      </c>
      <c r="C24" s="764" t="e">
        <f>ROUND(POWER(1+G24,J24-I24)*(POWER(1+G24,I24)-1)/(POWER(1+G24,J24)-1),4)</f>
        <v>#DIV/0!</v>
      </c>
      <c r="D24" s="2058" t="s">
        <v>1999</v>
      </c>
      <c r="E24" s="1335">
        <f>存贷款利率!E22/100</f>
        <v>4.3499999999999997E-2</v>
      </c>
      <c r="F24" s="2058" t="s">
        <v>1991</v>
      </c>
      <c r="G24" s="768">
        <f>SUMIF(M30:Q30,E2,M33:Q33)</f>
        <v>0</v>
      </c>
      <c r="H24" s="2058" t="s">
        <v>2000</v>
      </c>
      <c r="I24" s="769" t="e">
        <f>SUMIF('数据-取费表'!C6:C15,E2,'数据-取费表'!F6:F15)/COUNTIF('数据-取费表'!C6:C15,E2)</f>
        <v>#DIV/0!</v>
      </c>
      <c r="J24" s="770">
        <f>IF(E2="住宅",70,IF(E2="商业",40,50))</f>
        <v>50</v>
      </c>
      <c r="K24" s="1125"/>
      <c r="L24" s="2059" t="s">
        <v>2001</v>
      </c>
      <c r="M24" s="1329">
        <f>ROUND(SUMPRODUCT((地价!A4:A16=YEAR(G23)&amp;"-"&amp;ROUNDUP(MONTH(G23)/3,0))*(地价!B2:G2=E2)*(地价!B4:G16)),0)</f>
        <v>0</v>
      </c>
      <c r="N24" s="2060" t="s">
        <v>2002</v>
      </c>
      <c r="O24" s="2061" t="s">
        <v>2003</v>
      </c>
      <c r="P24" s="2062" t="s">
        <v>2004</v>
      </c>
      <c r="Q24" s="1995"/>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3" t="s">
        <v>362</v>
      </c>
      <c r="B25" s="2064" t="s">
        <v>3335</v>
      </c>
      <c r="C25" s="771">
        <f>IF(B25="容积率修正",IF(G3&lt;10,D26,J26),C27)</f>
        <v>0</v>
      </c>
      <c r="D25" s="2065"/>
      <c r="E25" s="2065"/>
      <c r="F25" s="2065"/>
      <c r="G25" s="2065"/>
      <c r="H25" s="2065"/>
      <c r="I25" s="2065"/>
      <c r="J25" s="2066"/>
      <c r="K25" s="1125"/>
      <c r="L25" s="2785"/>
      <c r="M25" s="2785"/>
      <c r="N25" s="2067" t="s">
        <v>2005</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25">
      <c r="A26" s="1953" t="s">
        <v>2006</v>
      </c>
      <c r="B26" s="2068" t="s">
        <v>2007</v>
      </c>
      <c r="C26" s="3342"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3258</v>
      </c>
      <c r="J26" s="772" t="str">
        <f>IF(G3&gt;=10,D115,"——")</f>
        <v>——</v>
      </c>
      <c r="K26" s="1125"/>
      <c r="L26" s="2785"/>
      <c r="M26" s="2785"/>
      <c r="N26" s="2067" t="s">
        <v>2008</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75" thickBot="1">
      <c r="A27" s="1953" t="s">
        <v>2009</v>
      </c>
      <c r="B27" s="2069" t="s">
        <v>2010</v>
      </c>
      <c r="C27" s="841">
        <f>ROUND(IF(I3&lt;6,SUMPRODUCT((B106:B110=I3)*(C105:N105=G2)*(C106:N110)),SUMIF(C105:N105,G2,C112:N112)),4)</f>
        <v>0</v>
      </c>
      <c r="D27" s="2044"/>
      <c r="E27" s="2044"/>
      <c r="F27" s="2070"/>
      <c r="G27" s="2071"/>
      <c r="H27" s="2072"/>
      <c r="I27" s="2073"/>
      <c r="J27" s="2074"/>
      <c r="K27" s="1119"/>
      <c r="L27" s="1995"/>
      <c r="M27" s="1995"/>
      <c r="N27" s="2067" t="s">
        <v>2011</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75" thickBot="1">
      <c r="A28" s="2056" t="s">
        <v>363</v>
      </c>
      <c r="B28" s="2049" t="s">
        <v>2012</v>
      </c>
      <c r="C28" s="760">
        <f>SUMIF(A47:A101,E2,B47:B101)</f>
        <v>0</v>
      </c>
      <c r="D28" s="2050"/>
      <c r="E28" s="2075"/>
      <c r="F28" s="2075"/>
      <c r="G28" s="2075"/>
      <c r="H28" s="2075"/>
      <c r="I28" s="2075"/>
      <c r="J28" s="2076"/>
      <c r="K28" s="1125"/>
      <c r="L28" s="2785"/>
      <c r="M28" s="2785"/>
      <c r="N28" s="2077" t="s">
        <v>2013</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75" thickBot="1">
      <c r="A29" s="2056" t="s">
        <v>364</v>
      </c>
      <c r="B29" s="2078" t="s">
        <v>2014</v>
      </c>
      <c r="C29" s="765"/>
      <c r="D29" s="2022"/>
      <c r="E29" s="2022"/>
      <c r="F29" s="2079"/>
      <c r="G29" s="2022"/>
      <c r="H29" s="2022"/>
      <c r="I29" s="2022"/>
      <c r="J29" s="2023"/>
      <c r="K29" s="1119"/>
      <c r="L29" s="1995"/>
      <c r="M29" s="1995"/>
      <c r="N29" s="2782" t="s">
        <v>2015</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5">
      <c r="A30" s="2080"/>
      <c r="B30" s="2068" t="s">
        <v>2016</v>
      </c>
      <c r="C30" s="2319" t="e">
        <f>IF(B25="容积率修正",E33+SUM(E37:E42),SUM(V2:V16)+SUM(E37:E42))</f>
        <v>#DIV/0!</v>
      </c>
      <c r="D30" s="2081"/>
      <c r="E30" s="2044"/>
      <c r="F30" s="2082"/>
      <c r="G30" s="2044"/>
      <c r="H30" s="2044"/>
      <c r="I30" s="2044"/>
      <c r="J30" s="2083"/>
      <c r="K30" s="1119"/>
      <c r="L30" s="3348" t="s">
        <v>1928</v>
      </c>
      <c r="M30" s="3349" t="s">
        <v>1982</v>
      </c>
      <c r="N30" s="3349" t="s">
        <v>1983</v>
      </c>
      <c r="O30" s="3349" t="s">
        <v>1984</v>
      </c>
      <c r="P30" s="3349" t="s">
        <v>1985</v>
      </c>
      <c r="Q30" s="3352"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75" thickBot="1">
      <c r="A31" s="2080"/>
      <c r="B31" s="2084" t="s">
        <v>2017</v>
      </c>
      <c r="C31" s="766" t="e">
        <f>E34+SUM(I37:I42)</f>
        <v>#DIV/0!</v>
      </c>
      <c r="D31" s="2085"/>
      <c r="E31" s="2086"/>
      <c r="F31" s="2087"/>
      <c r="G31" s="2086"/>
      <c r="H31" s="2086"/>
      <c r="I31" s="2086"/>
      <c r="J31" s="2088"/>
      <c r="K31" s="1119"/>
      <c r="L31" s="3350" t="s">
        <v>1988</v>
      </c>
      <c r="M31" s="1998">
        <v>0.25</v>
      </c>
      <c r="N31" s="1998">
        <v>0.2</v>
      </c>
      <c r="O31" s="1998">
        <v>0.15</v>
      </c>
      <c r="P31" s="1998">
        <v>0.1</v>
      </c>
      <c r="Q31" s="3345">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75" thickBot="1">
      <c r="A32" s="2089"/>
      <c r="B32" s="2090" t="s">
        <v>2018</v>
      </c>
      <c r="C32" s="2091" t="s">
        <v>2019</v>
      </c>
      <c r="D32" s="2091" t="s">
        <v>2020</v>
      </c>
      <c r="E32" s="2092" t="s">
        <v>2021</v>
      </c>
      <c r="F32" s="2093"/>
      <c r="G32" s="2035"/>
      <c r="H32" s="2035"/>
      <c r="I32" s="2035"/>
      <c r="J32" s="2036"/>
      <c r="K32" s="1119"/>
      <c r="L32" s="3351" t="s">
        <v>1991</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4.25">
      <c r="A33" s="2094"/>
      <c r="B33" s="2095" t="s">
        <v>2022</v>
      </c>
      <c r="C33" s="175" t="e">
        <f>ROUND(C5*C22*C23*C24*C25*C28,0)</f>
        <v>#DIV/0!</v>
      </c>
      <c r="D33" s="2096"/>
      <c r="E33" s="773" t="e">
        <f>ROUND(C33*D33/10000,0)</f>
        <v>#DIV/0!</v>
      </c>
      <c r="F33" s="3343" t="s">
        <v>3260</v>
      </c>
      <c r="G33" s="2097"/>
      <c r="H33" s="2097"/>
      <c r="I33" s="2097"/>
      <c r="J33" s="2098"/>
      <c r="K33" s="1119"/>
      <c r="L33" s="3346" t="s">
        <v>3263</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5" thickBot="1">
      <c r="A34" s="2099"/>
      <c r="B34" s="2100" t="s">
        <v>2023</v>
      </c>
      <c r="C34" s="187" t="e">
        <f>ROUND(IF(E2="工业",C33*M42,IF(B25="楼层修正",SUM(V2:V16)*M41*10000/D34,C33*M41)),0)</f>
        <v>#DIV/0!</v>
      </c>
      <c r="D34" s="2101"/>
      <c r="E34" s="773" t="e">
        <f>ROUND(IF(B25="楼层修正",SUM(V2:V16)*M40,C34*D34/10000),0)</f>
        <v>#DIV/0!</v>
      </c>
      <c r="F34" s="2102" t="s">
        <v>2024</v>
      </c>
      <c r="G34" s="2103"/>
      <c r="H34" s="2103"/>
      <c r="I34" s="2103"/>
      <c r="J34" s="2104"/>
      <c r="K34" s="1119"/>
      <c r="L34" s="3346" t="s">
        <v>3264</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2025</v>
      </c>
      <c r="C35" s="3344" t="s">
        <v>3261</v>
      </c>
      <c r="D35" s="2035"/>
      <c r="E35" s="2107"/>
      <c r="F35" s="2107"/>
      <c r="G35" s="2033" t="s">
        <v>2026</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24.75" thickBot="1">
      <c r="A36" s="2094"/>
      <c r="B36" s="2109"/>
      <c r="C36" s="450" t="s">
        <v>2019</v>
      </c>
      <c r="D36" s="447" t="s">
        <v>2020</v>
      </c>
      <c r="E36" s="447" t="s">
        <v>2021</v>
      </c>
      <c r="F36" s="342" t="s">
        <v>2027</v>
      </c>
      <c r="G36" s="2110" t="s">
        <v>2019</v>
      </c>
      <c r="H36" s="2110" t="s">
        <v>2020</v>
      </c>
      <c r="I36" s="2110" t="s">
        <v>2021</v>
      </c>
      <c r="J36" s="243"/>
      <c r="K36" s="3354" t="s">
        <v>3265</v>
      </c>
      <c r="L36" s="3444">
        <f ca="1">'数据-取费表'!B40</f>
        <v>3.6499999999999998E-2</v>
      </c>
      <c r="M36" s="3355">
        <f ca="1">ROUND($L$36*(1+M31),3)</f>
        <v>4.5999999999999999E-2</v>
      </c>
      <c r="N36" s="3355">
        <f ca="1">ROUND($L$36*(1+N31),3)</f>
        <v>4.3999999999999997E-2</v>
      </c>
      <c r="O36" s="3355">
        <f ca="1">ROUND($L$36*(1+O31),3)</f>
        <v>4.2000000000000003E-2</v>
      </c>
      <c r="P36" s="3355">
        <f ca="1">ROUND($L$36*(1+P31),3)</f>
        <v>0.04</v>
      </c>
      <c r="Q36" s="3355">
        <f ca="1">ROUND($L$36*(1+Q31),3)</f>
        <v>4.2000000000000003E-2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75" thickBot="1">
      <c r="A37" s="3912"/>
      <c r="B37" s="2111" t="s">
        <v>2028</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09"/>
      <c r="K37" s="3356" t="s">
        <v>3266</v>
      </c>
      <c r="L37" s="3354">
        <f ca="1">L36+K38</f>
        <v>4.1499999999999995E-2</v>
      </c>
      <c r="M37" s="3355">
        <f ca="1">ROUND($L$37*(1+M31),3)</f>
        <v>5.1999999999999998E-2</v>
      </c>
      <c r="N37" s="3355">
        <f t="shared" ref="N37:Q37" ca="1" si="3">ROUND($L$37*(1+N31),3)</f>
        <v>0.05</v>
      </c>
      <c r="O37" s="3355">
        <f t="shared" ca="1" si="3"/>
        <v>4.8000000000000001E-2</v>
      </c>
      <c r="P37" s="3355">
        <f t="shared" ca="1" si="3"/>
        <v>4.5999999999999999E-2</v>
      </c>
      <c r="Q37" s="3355">
        <f t="shared" ca="1" si="3"/>
        <v>4.8000000000000001E-2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913"/>
      <c r="B38" s="2039" t="s">
        <v>2029</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913"/>
      <c r="B39" s="2039" t="s">
        <v>3259</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2030</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2031</v>
      </c>
      <c r="M40" s="2115"/>
      <c r="Z40" s="1120"/>
      <c r="AA40" s="1120"/>
      <c r="AB40" s="1120"/>
      <c r="AC40" s="1120"/>
      <c r="AD40" s="1120"/>
      <c r="AE40" s="1120"/>
      <c r="AF40" s="1120"/>
      <c r="AG40" s="1120"/>
      <c r="AH40" s="1120"/>
      <c r="AI40" s="1120"/>
      <c r="AJ40" s="1120"/>
    </row>
    <row r="41" spans="1:37" s="1119" customFormat="1">
      <c r="A41" s="2113"/>
      <c r="B41" s="2039" t="s">
        <v>2032</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7" t="s">
        <v>3267</v>
      </c>
      <c r="M41" s="2116">
        <v>0.25</v>
      </c>
      <c r="Z41" s="1120"/>
      <c r="AA41" s="1120"/>
      <c r="AB41" s="1120"/>
      <c r="AC41" s="1120"/>
      <c r="AD41" s="1120"/>
      <c r="AE41" s="1120"/>
      <c r="AF41" s="1120"/>
      <c r="AG41" s="1120"/>
      <c r="AH41" s="1120"/>
      <c r="AI41" s="1120"/>
      <c r="AJ41" s="1120"/>
    </row>
    <row r="42" spans="1:37" s="1119" customFormat="1" ht="13.5" thickBot="1">
      <c r="A42" s="2099"/>
      <c r="B42" s="2117" t="s">
        <v>2033</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1985</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2" t="s">
        <v>2114</v>
      </c>
      <c r="C44" s="342" t="e">
        <f>ROUND(POWER(1+E44,H44-G44)*(POWER(1+E44,G44)-1)/(POWER(1+E44,H44)-1),4)</f>
        <v>#DIV/0!</v>
      </c>
      <c r="D44" s="171" t="s">
        <v>1991</v>
      </c>
      <c r="E44" s="2151">
        <f>G24</f>
        <v>0</v>
      </c>
      <c r="F44" s="171" t="s">
        <v>2000</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75" thickBot="1">
      <c r="A47" s="2122" t="s">
        <v>2034</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4" t="s">
        <v>2035</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8" t="s">
        <v>2036</v>
      </c>
      <c r="B49" s="1351" t="s">
        <v>2037</v>
      </c>
      <c r="C49" s="1351" t="s">
        <v>2038</v>
      </c>
      <c r="D49" s="1351" t="s">
        <v>2039</v>
      </c>
      <c r="E49" s="743" t="s">
        <v>2040</v>
      </c>
      <c r="F49" s="2129" t="s">
        <v>2041</v>
      </c>
      <c r="G49" s="1351" t="s">
        <v>306</v>
      </c>
      <c r="H49" s="2130" t="s">
        <v>2042</v>
      </c>
      <c r="I49" s="1351" t="s">
        <v>2043</v>
      </c>
      <c r="J49" s="552" t="s">
        <v>1713</v>
      </c>
      <c r="K49" s="552" t="s">
        <v>1714</v>
      </c>
      <c r="L49" s="552" t="s">
        <v>1715</v>
      </c>
      <c r="M49" s="552" t="s">
        <v>1716</v>
      </c>
      <c r="N49" s="552" t="s">
        <v>1717</v>
      </c>
      <c r="AA49" s="1120"/>
      <c r="AB49" s="1120"/>
      <c r="AC49" s="1120"/>
      <c r="AD49" s="1120"/>
      <c r="AE49" s="1120"/>
      <c r="AF49" s="1120"/>
      <c r="AG49" s="1120"/>
      <c r="AH49" s="1120"/>
      <c r="AI49" s="1120"/>
      <c r="AJ49" s="1120"/>
      <c r="AK49" s="1120"/>
    </row>
    <row r="50" spans="1:37" s="1119" customFormat="1" ht="38.25">
      <c r="A50" s="2128" t="s">
        <v>2044</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28" t="s">
        <v>2045</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3269</v>
      </c>
      <c r="B52" s="2132">
        <f>估价对象房地状况!C19</f>
        <v>0</v>
      </c>
      <c r="C52" s="2042"/>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28" t="s">
        <v>2046</v>
      </c>
      <c r="B53" s="2133" t="s">
        <v>2047</v>
      </c>
      <c r="C53" s="2042"/>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2048</v>
      </c>
      <c r="B54" s="2132">
        <f>估价对象房地状况!C24</f>
        <v>0</v>
      </c>
      <c r="C54" s="2042"/>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28" t="s">
        <v>2049</v>
      </c>
      <c r="B55" s="2134" t="s">
        <v>2050</v>
      </c>
      <c r="C55" s="2042"/>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5" t="s">
        <v>2051</v>
      </c>
      <c r="B56" s="1326" t="str">
        <f>估价对象房地状况!C21</f>
        <v>估价对象所在区域公共配套设施齐备情况</v>
      </c>
      <c r="C56" s="2042"/>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5" t="s">
        <v>2052</v>
      </c>
      <c r="B57" s="2132" t="str">
        <f>估价对象房地状况!C22</f>
        <v>估价对象所在区域基础设施水平</v>
      </c>
      <c r="C57" s="2042"/>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6" t="s">
        <v>2053</v>
      </c>
      <c r="B58" s="2137" t="str">
        <f>估价对象房地状况!C20</f>
        <v>区域自然环境：；人文环境；综合评价环境状况一般</v>
      </c>
      <c r="C58" s="2042"/>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4" t="s">
        <v>2054</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8" t="s">
        <v>2036</v>
      </c>
      <c r="B60" s="1351"/>
      <c r="C60" s="1351" t="s">
        <v>2038</v>
      </c>
      <c r="D60" s="1351" t="s">
        <v>2039</v>
      </c>
      <c r="E60" s="743" t="s">
        <v>2040</v>
      </c>
      <c r="F60" s="2129" t="s">
        <v>2055</v>
      </c>
      <c r="G60" s="1351" t="s">
        <v>306</v>
      </c>
      <c r="H60" s="2130" t="s">
        <v>2042</v>
      </c>
      <c r="I60" s="1351" t="s">
        <v>2043</v>
      </c>
      <c r="J60" s="552" t="s">
        <v>1713</v>
      </c>
      <c r="K60" s="552" t="s">
        <v>1714</v>
      </c>
      <c r="L60" s="552" t="s">
        <v>1715</v>
      </c>
      <c r="M60" s="552" t="s">
        <v>1716</v>
      </c>
      <c r="N60" s="552" t="s">
        <v>1717</v>
      </c>
      <c r="AA60" s="1120"/>
      <c r="AB60" s="1120"/>
      <c r="AC60" s="1120"/>
      <c r="AD60" s="1120"/>
      <c r="AE60" s="1120"/>
      <c r="AF60" s="1120"/>
      <c r="AG60" s="1120"/>
      <c r="AH60" s="1120"/>
      <c r="AI60" s="1120"/>
      <c r="AJ60" s="1120"/>
      <c r="AK60" s="1120"/>
    </row>
    <row r="61" spans="1:37" s="1119" customFormat="1" ht="38.25">
      <c r="A61" s="2128" t="s">
        <v>2056</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8" t="s">
        <v>2045</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3269</v>
      </c>
      <c r="B63" s="2132">
        <f>估价对象房地状况!C19</f>
        <v>0</v>
      </c>
      <c r="C63" s="2042"/>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8" t="s">
        <v>2046</v>
      </c>
      <c r="B64" s="2133" t="s">
        <v>2047</v>
      </c>
      <c r="C64" s="2042"/>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2048</v>
      </c>
      <c r="B65" s="2132">
        <f>估价对象房地状况!C24</f>
        <v>0</v>
      </c>
      <c r="C65" s="2042"/>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8" t="s">
        <v>2049</v>
      </c>
      <c r="B66" s="2134" t="s">
        <v>2050</v>
      </c>
      <c r="C66" s="2042"/>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8" t="s">
        <v>2051</v>
      </c>
      <c r="B67" s="1326" t="str">
        <f>估价对象房地状况!C21</f>
        <v>估价对象所在区域公共配套设施齐备情况</v>
      </c>
      <c r="C67" s="2042"/>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8" t="s">
        <v>2052</v>
      </c>
      <c r="B68" s="1326" t="str">
        <f>估价对象房地状况!C22</f>
        <v>估价对象所在区域基础设施水平</v>
      </c>
      <c r="C68" s="2042"/>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6" t="s">
        <v>2053</v>
      </c>
      <c r="B69" s="2138" t="str">
        <f>估价对象房地状况!C20</f>
        <v>区域自然环境：；人文环境；综合评价环境状况一般</v>
      </c>
      <c r="C69" s="2042"/>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4" t="s">
        <v>2057</v>
      </c>
      <c r="B70" s="2125">
        <f>1+E72</f>
        <v>1</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8" t="s">
        <v>2036</v>
      </c>
      <c r="B71" s="1351"/>
      <c r="C71" s="1351" t="s">
        <v>2038</v>
      </c>
      <c r="D71" s="1351" t="s">
        <v>2039</v>
      </c>
      <c r="E71" s="743" t="s">
        <v>2040</v>
      </c>
      <c r="F71" s="2129" t="s">
        <v>2055</v>
      </c>
      <c r="G71" s="1351" t="s">
        <v>306</v>
      </c>
      <c r="H71" s="2130" t="s">
        <v>2042</v>
      </c>
      <c r="I71" s="1351" t="s">
        <v>2043</v>
      </c>
      <c r="J71" s="552" t="s">
        <v>1713</v>
      </c>
      <c r="K71" s="552" t="s">
        <v>1714</v>
      </c>
      <c r="L71" s="552" t="s">
        <v>1715</v>
      </c>
      <c r="M71" s="552" t="s">
        <v>1716</v>
      </c>
      <c r="N71" s="552" t="s">
        <v>1717</v>
      </c>
      <c r="AA71" s="1120"/>
      <c r="AB71" s="1120"/>
      <c r="AC71" s="1120"/>
      <c r="AD71" s="1120"/>
      <c r="AE71" s="1120"/>
      <c r="AF71" s="1120"/>
      <c r="AG71" s="1120"/>
      <c r="AH71" s="1120"/>
      <c r="AI71" s="1120"/>
      <c r="AJ71" s="1120"/>
      <c r="AK71" s="1120"/>
    </row>
    <row r="72" spans="1:37" s="1119" customFormat="1" ht="51">
      <c r="A72" s="2128" t="s">
        <v>2058</v>
      </c>
      <c r="B72" s="2131" t="str">
        <f>估价对象房地状况!C15</f>
        <v>估价对象周边居住用地比例、居住小区规模和社区发展完善程度，综合评价居住社区成熟度一般</v>
      </c>
      <c r="C72" s="2042"/>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8" t="s">
        <v>2045</v>
      </c>
      <c r="B73" s="2132" t="str">
        <f>估价对象房地状况!C18</f>
        <v>估价对象周边道路状况、公共交通通达情况、停车便捷程度，综合评价交通便捷度较好</v>
      </c>
      <c r="C73" s="2042"/>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5" customFormat="1" ht="36">
      <c r="A74" s="3366" t="s">
        <v>3269</v>
      </c>
      <c r="B74" s="2132">
        <f>估价对象房地状况!C19</f>
        <v>0</v>
      </c>
      <c r="C74" s="2042"/>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39"/>
      <c r="AB74" s="1120"/>
      <c r="AC74" s="1120"/>
      <c r="AD74" s="1120"/>
      <c r="AE74" s="1120"/>
      <c r="AF74" s="1120"/>
      <c r="AG74" s="1120"/>
      <c r="AH74" s="2139"/>
      <c r="AI74" s="2139"/>
      <c r="AJ74" s="2139"/>
      <c r="AK74" s="2139"/>
    </row>
    <row r="75" spans="1:37" ht="14.25">
      <c r="A75" s="2128" t="s">
        <v>2059</v>
      </c>
      <c r="B75" s="2132">
        <f>估价对象房地状况!C24</f>
        <v>0</v>
      </c>
      <c r="C75" s="2042"/>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5"/>
      <c r="Z75" s="1996"/>
      <c r="AA75" s="2051"/>
      <c r="AG75" s="1121"/>
      <c r="AK75" s="2051"/>
    </row>
    <row r="76" spans="1:37" ht="25.5">
      <c r="A76" s="2128" t="s">
        <v>2051</v>
      </c>
      <c r="B76" s="1326" t="str">
        <f>估价对象房地状况!C21</f>
        <v>估价对象所在区域公共配套设施齐备情况</v>
      </c>
      <c r="C76" s="2042"/>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6"/>
      <c r="AA76" s="2051"/>
      <c r="AG76" s="1121"/>
      <c r="AK76" s="2051"/>
    </row>
    <row r="77" spans="1:37" ht="25.5">
      <c r="A77" s="2128" t="s">
        <v>2052</v>
      </c>
      <c r="B77" s="1326" t="str">
        <f>估价对象房地状况!C22</f>
        <v>估价对象所在区域基础设施水平</v>
      </c>
      <c r="C77" s="2042"/>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6"/>
      <c r="AA77" s="2051"/>
      <c r="AG77" s="1121"/>
      <c r="AK77" s="2051"/>
    </row>
    <row r="78" spans="1:37" ht="24">
      <c r="A78" s="2128" t="s">
        <v>2049</v>
      </c>
      <c r="B78" s="2134" t="s">
        <v>2050</v>
      </c>
      <c r="C78" s="2042"/>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5"/>
      <c r="P78" s="1995"/>
      <c r="Z78" s="1996"/>
      <c r="AA78" s="2051"/>
      <c r="AG78" s="1121"/>
      <c r="AK78" s="2051"/>
    </row>
    <row r="79" spans="1:37" ht="25.5">
      <c r="A79" s="2128" t="s">
        <v>2053</v>
      </c>
      <c r="B79" s="2131" t="str">
        <f>估价对象房地状况!C20</f>
        <v>区域自然环境：；人文环境；综合评价环境状况一般</v>
      </c>
      <c r="C79" s="2042"/>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6"/>
      <c r="AA79" s="2051"/>
      <c r="AG79" s="1121"/>
      <c r="AK79" s="2051"/>
    </row>
    <row r="80" spans="1:37" ht="24.75" thickBot="1">
      <c r="A80" s="2136" t="s">
        <v>2060</v>
      </c>
      <c r="B80" s="2140"/>
      <c r="C80" s="2042"/>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6"/>
      <c r="AA80" s="2051"/>
      <c r="AG80" s="1121"/>
      <c r="AK80" s="2051"/>
    </row>
    <row r="81" spans="1:37" ht="15">
      <c r="A81" s="2124" t="s">
        <v>2061</v>
      </c>
      <c r="B81" s="2125">
        <f>1+E83</f>
        <v>1</v>
      </c>
      <c r="C81" s="741"/>
      <c r="D81" s="741"/>
      <c r="E81" s="742"/>
      <c r="F81" s="2127"/>
      <c r="G81" s="3"/>
      <c r="H81" s="3"/>
      <c r="I81" s="3"/>
      <c r="J81" s="4"/>
      <c r="K81" s="4"/>
      <c r="L81" s="4"/>
      <c r="M81" s="4"/>
      <c r="N81" s="4"/>
      <c r="Z81" s="1996"/>
      <c r="AA81" s="2051"/>
      <c r="AG81" s="1121"/>
      <c r="AK81" s="2051"/>
    </row>
    <row r="82" spans="1:37" ht="24.75">
      <c r="A82" s="2128" t="s">
        <v>2036</v>
      </c>
      <c r="B82" s="1351"/>
      <c r="C82" s="1351" t="s">
        <v>2038</v>
      </c>
      <c r="D82" s="1351" t="s">
        <v>2039</v>
      </c>
      <c r="E82" s="743" t="s">
        <v>2040</v>
      </c>
      <c r="F82" s="2129" t="s">
        <v>2055</v>
      </c>
      <c r="G82" s="1351" t="s">
        <v>306</v>
      </c>
      <c r="H82" s="2130" t="s">
        <v>2042</v>
      </c>
      <c r="I82" s="1351" t="s">
        <v>2043</v>
      </c>
      <c r="J82" s="552" t="s">
        <v>1713</v>
      </c>
      <c r="K82" s="552" t="s">
        <v>1714</v>
      </c>
      <c r="L82" s="552" t="s">
        <v>1715</v>
      </c>
      <c r="M82" s="552" t="s">
        <v>1716</v>
      </c>
      <c r="N82" s="552" t="s">
        <v>1717</v>
      </c>
      <c r="Z82" s="1996"/>
      <c r="AA82" s="2051"/>
      <c r="AG82" s="1121"/>
      <c r="AK82" s="2051"/>
    </row>
    <row r="83" spans="1:37" ht="38.25">
      <c r="A83" s="2128" t="s">
        <v>2062</v>
      </c>
      <c r="B83" s="2132" t="str">
        <f>估价对象房地状况!G15</f>
        <v>估价对象位于XX开发区，园区建设成熟度XX，产业集聚程度XX</v>
      </c>
      <c r="C83" s="2042"/>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6"/>
      <c r="AA83" s="2051"/>
      <c r="AG83" s="1121"/>
      <c r="AK83" s="2051"/>
    </row>
    <row r="84" spans="1:37" ht="38.25">
      <c r="A84" s="2128" t="s">
        <v>2045</v>
      </c>
      <c r="B84" s="2132" t="str">
        <f>估价对象房地状况!G16</f>
        <v>估价对象周边道路状况、公共交通通达情况、停车便捷程度，综合评价交通便捷度较好</v>
      </c>
      <c r="C84" s="2042"/>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6"/>
      <c r="AA84" s="2051"/>
      <c r="AG84" s="1121"/>
      <c r="AK84" s="2051"/>
    </row>
    <row r="85" spans="1:37" ht="36">
      <c r="A85" s="3366" t="s">
        <v>3270</v>
      </c>
      <c r="B85" s="2132">
        <f>估价对象房地状况!G17</f>
        <v>0</v>
      </c>
      <c r="C85" s="2042"/>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6"/>
      <c r="AA85" s="2051"/>
      <c r="AG85" s="1121"/>
      <c r="AK85" s="2051"/>
    </row>
    <row r="86" spans="1:37" ht="14.25">
      <c r="A86" s="2128" t="s">
        <v>2059</v>
      </c>
      <c r="B86" s="2132">
        <f>估价对象房地状况!G22</f>
        <v>0</v>
      </c>
      <c r="C86" s="2042"/>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6"/>
      <c r="AA86" s="2051"/>
      <c r="AG86" s="1121"/>
      <c r="AK86" s="2051"/>
    </row>
    <row r="87" spans="1:37" ht="25.5">
      <c r="A87" s="2128" t="s">
        <v>2051</v>
      </c>
      <c r="B87" s="1326" t="str">
        <f>估价对象房地状况!G19</f>
        <v>估价对象所在区域公共配套设施齐备情况</v>
      </c>
      <c r="C87" s="2042"/>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28" t="s">
        <v>2052</v>
      </c>
      <c r="B88" s="1326" t="str">
        <f>估价对象房地状况!G20</f>
        <v>估价对象所在区域基础设施水平</v>
      </c>
      <c r="C88" s="2042"/>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28" t="s">
        <v>2049</v>
      </c>
      <c r="B89" s="2134" t="s">
        <v>2063</v>
      </c>
      <c r="C89" s="2042"/>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6" t="s">
        <v>2064</v>
      </c>
      <c r="B90" s="2141" t="str">
        <f>估价对象房地状况!G18</f>
        <v>该园区内是否有污染型企业，绿化情况，卫生条件，整体环境状况判断</v>
      </c>
      <c r="C90" s="2042"/>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2608</v>
      </c>
      <c r="B91" s="3375">
        <f>1+E93</f>
        <v>1</v>
      </c>
      <c r="C91" s="3368"/>
      <c r="D91" s="3369"/>
      <c r="E91" s="1814"/>
      <c r="F91" s="1814"/>
      <c r="G91" s="3370"/>
      <c r="H91" s="3371"/>
      <c r="I91" s="3372"/>
      <c r="J91" s="3373"/>
      <c r="K91" s="3373"/>
      <c r="L91" s="3373"/>
      <c r="M91" s="3373"/>
      <c r="N91" s="3373"/>
    </row>
    <row r="92" spans="1:37" ht="24.75">
      <c r="A92" s="3376" t="s">
        <v>3271</v>
      </c>
      <c r="B92" s="3363"/>
      <c r="C92" s="3363" t="s">
        <v>3280</v>
      </c>
      <c r="D92" s="3363" t="s">
        <v>3281</v>
      </c>
      <c r="E92" s="3345" t="s">
        <v>3282</v>
      </c>
      <c r="F92" s="3378" t="s">
        <v>3283</v>
      </c>
      <c r="G92" s="3363" t="s">
        <v>3284</v>
      </c>
      <c r="H92" s="3385" t="s">
        <v>3287</v>
      </c>
      <c r="I92" s="3363" t="s">
        <v>3288</v>
      </c>
      <c r="J92" s="3386" t="s">
        <v>3289</v>
      </c>
      <c r="K92" s="3386" t="s">
        <v>3290</v>
      </c>
      <c r="L92" s="3386" t="s">
        <v>3291</v>
      </c>
      <c r="M92" s="3386" t="s">
        <v>3292</v>
      </c>
      <c r="N92" s="3386" t="s">
        <v>3293</v>
      </c>
    </row>
    <row r="93" spans="1:37" ht="24">
      <c r="A93" s="3366" t="s">
        <v>3272</v>
      </c>
      <c r="B93" s="1306"/>
      <c r="C93" s="2042"/>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3273</v>
      </c>
      <c r="B94" s="3367" t="str">
        <f>估价对象房地状况!C18</f>
        <v>估价对象周边道路状况、公共交通通达情况、停车便捷程度，综合评价交通便捷度较好</v>
      </c>
      <c r="C94" s="2042"/>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3269</v>
      </c>
      <c r="B95" s="3367">
        <f>估价对象房地状况!C19</f>
        <v>0</v>
      </c>
      <c r="C95" s="2042"/>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3274</v>
      </c>
      <c r="B96" s="3382" t="s">
        <v>3285</v>
      </c>
      <c r="C96" s="2042"/>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3275</v>
      </c>
      <c r="B97" s="3367">
        <f>估价对象房地状况!C24</f>
        <v>0</v>
      </c>
      <c r="C97" s="2042"/>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3276</v>
      </c>
      <c r="B98" s="3383" t="s">
        <v>3286</v>
      </c>
      <c r="C98" s="2042"/>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3277</v>
      </c>
      <c r="B99" s="3367" t="str">
        <f>估价对象房地状况!C21</f>
        <v>估价对象所在区域公共配套设施齐备情况</v>
      </c>
      <c r="C99" s="2042"/>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3278</v>
      </c>
      <c r="B100" s="3367" t="str">
        <f>估价对象房地状况!C22</f>
        <v>估价对象所在区域基础设施水平</v>
      </c>
      <c r="C100" s="2042"/>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3279</v>
      </c>
      <c r="B101" s="3384" t="str">
        <f>估价对象房地状况!C20</f>
        <v>区域自然环境：；人文环境；综合评价环境状况一般</v>
      </c>
      <c r="C101" s="2042"/>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910" t="s">
        <v>3294</v>
      </c>
      <c r="B103" s="3910"/>
      <c r="C103" s="3910"/>
      <c r="D103" s="3910"/>
      <c r="E103" s="3910"/>
      <c r="F103" s="3910"/>
      <c r="G103" s="3910"/>
      <c r="H103" s="3910"/>
      <c r="I103" s="3910"/>
      <c r="J103" s="3910"/>
      <c r="K103" s="3387"/>
      <c r="L103" s="3387"/>
      <c r="M103" s="3387"/>
      <c r="N103" s="3387"/>
    </row>
    <row r="104" spans="1:14">
      <c r="A104" s="3911" t="s">
        <v>3295</v>
      </c>
      <c r="B104" s="3911" t="s">
        <v>3296</v>
      </c>
      <c r="C104" s="3388" t="s">
        <v>3297</v>
      </c>
      <c r="D104" s="3389"/>
      <c r="E104" s="3389"/>
      <c r="F104" s="3389"/>
      <c r="G104" s="3389"/>
      <c r="H104" s="3389"/>
      <c r="I104" s="3389"/>
      <c r="J104" s="3390"/>
      <c r="K104" s="3391"/>
      <c r="L104" s="3391"/>
      <c r="M104" s="3391"/>
      <c r="N104" s="3391"/>
    </row>
    <row r="105" spans="1:14">
      <c r="A105" s="3911"/>
      <c r="B105" s="3911"/>
      <c r="C105" s="3392" t="s">
        <v>3298</v>
      </c>
      <c r="D105" s="3392" t="s">
        <v>3299</v>
      </c>
      <c r="E105" s="3392" t="s">
        <v>3300</v>
      </c>
      <c r="F105" s="3392" t="s">
        <v>3301</v>
      </c>
      <c r="G105" s="3392" t="s">
        <v>3302</v>
      </c>
      <c r="H105" s="3392" t="s">
        <v>3303</v>
      </c>
      <c r="I105" s="3392" t="s">
        <v>3304</v>
      </c>
      <c r="J105" s="3392" t="s">
        <v>3305</v>
      </c>
      <c r="K105" s="3392" t="s">
        <v>3306</v>
      </c>
      <c r="L105" s="3392" t="s">
        <v>3307</v>
      </c>
      <c r="M105" s="3392" t="s">
        <v>3308</v>
      </c>
      <c r="N105" s="3392" t="s">
        <v>3309</v>
      </c>
    </row>
    <row r="106" spans="1:14">
      <c r="A106" s="3897" t="s">
        <v>3310</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9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9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9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9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98"/>
      <c r="B111" s="3392" t="s">
        <v>3268</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9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900" t="s">
        <v>3311</v>
      </c>
      <c r="B113" s="3900"/>
      <c r="C113" s="3900"/>
      <c r="D113" s="3900"/>
      <c r="E113" s="3900"/>
      <c r="F113" s="3900"/>
      <c r="G113" s="3900"/>
      <c r="H113" s="3900"/>
      <c r="I113" s="3900"/>
      <c r="J113" s="390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3312</v>
      </c>
      <c r="B116" s="3413">
        <f>G3</f>
        <v>0</v>
      </c>
      <c r="C116" s="3397" t="s">
        <v>3313</v>
      </c>
      <c r="D116" s="3398">
        <f>SUMPRODUCT((A118:A122=F116)*(B117:M117=H116)*B118:M122)</f>
        <v>0</v>
      </c>
      <c r="E116" s="1998" t="s">
        <v>3314</v>
      </c>
      <c r="F116" s="3399">
        <f>E2</f>
        <v>0</v>
      </c>
      <c r="G116" s="1998" t="s">
        <v>3315</v>
      </c>
      <c r="H116" s="3399">
        <f>G2</f>
        <v>0</v>
      </c>
      <c r="I116" s="1998"/>
      <c r="J116" s="3400"/>
      <c r="K116" s="3400"/>
      <c r="L116" s="3400"/>
      <c r="M116" s="3400"/>
      <c r="N116" s="3395"/>
    </row>
    <row r="117" spans="1:14">
      <c r="A117" s="3401"/>
      <c r="B117" s="3402" t="s">
        <v>3316</v>
      </c>
      <c r="C117" s="3402" t="s">
        <v>3317</v>
      </c>
      <c r="D117" s="3402" t="s">
        <v>3318</v>
      </c>
      <c r="E117" s="3403" t="s">
        <v>3319</v>
      </c>
      <c r="F117" s="3403" t="s">
        <v>3320</v>
      </c>
      <c r="G117" s="3403" t="s">
        <v>3321</v>
      </c>
      <c r="H117" s="3404" t="s">
        <v>3322</v>
      </c>
      <c r="I117" s="3404" t="s">
        <v>3323</v>
      </c>
      <c r="J117" s="3405" t="s">
        <v>3324</v>
      </c>
      <c r="K117" s="3405" t="s">
        <v>3325</v>
      </c>
      <c r="L117" s="3405" t="s">
        <v>3326</v>
      </c>
      <c r="M117" s="3406" t="s">
        <v>3327</v>
      </c>
      <c r="N117" s="3395"/>
    </row>
    <row r="118" spans="1:14">
      <c r="A118" s="3407" t="s">
        <v>3328</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3329</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3330</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3331</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2608</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2590</v>
      </c>
      <c r="B1" s="3069" t="s">
        <v>2591</v>
      </c>
      <c r="C1" s="3069" t="s">
        <v>2592</v>
      </c>
      <c r="D1" s="3069" t="s">
        <v>2593</v>
      </c>
      <c r="E1" s="3069" t="s">
        <v>2594</v>
      </c>
      <c r="F1" s="3069" t="s">
        <v>2595</v>
      </c>
      <c r="G1" s="3069" t="s">
        <v>2596</v>
      </c>
      <c r="H1" s="3069" t="s">
        <v>2597</v>
      </c>
      <c r="I1" s="3069" t="s">
        <v>2598</v>
      </c>
      <c r="J1" s="3069" t="s">
        <v>2599</v>
      </c>
      <c r="K1" s="3069" t="s">
        <v>2600</v>
      </c>
      <c r="L1" s="3069" t="s">
        <v>2601</v>
      </c>
      <c r="M1" s="3070" t="s">
        <v>2602</v>
      </c>
    </row>
    <row r="2" spans="1:13" ht="19.5" customHeight="1">
      <c r="A2" s="3072" t="s">
        <v>2603</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2604</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2605</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2606</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2607</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2608</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2609</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2610</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2611</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2612</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2613</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2614</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2615</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2616</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2617</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2618</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2619</v>
      </c>
      <c r="B18" s="3094"/>
      <c r="C18" s="3095"/>
      <c r="D18" s="3095"/>
      <c r="E18" s="3094"/>
      <c r="F18" s="3095"/>
      <c r="G18" s="3095"/>
    </row>
    <row r="19" spans="1:13" ht="19.5" customHeight="1" thickBot="1">
      <c r="A19" s="3092" t="s">
        <v>2620</v>
      </c>
      <c r="B19" s="3097" t="s">
        <v>2621</v>
      </c>
      <c r="C19" s="3097" t="s">
        <v>2622</v>
      </c>
      <c r="D19" s="3098"/>
      <c r="E19" s="3092" t="s">
        <v>2623</v>
      </c>
      <c r="F19" s="3099"/>
      <c r="G19" s="3099"/>
    </row>
    <row r="20" spans="1:13" ht="19.5" customHeight="1">
      <c r="A20" s="3923" t="s">
        <v>2603</v>
      </c>
      <c r="B20" s="3916" t="s">
        <v>2624</v>
      </c>
      <c r="C20" s="3100" t="s">
        <v>2435</v>
      </c>
      <c r="D20" s="3101"/>
      <c r="E20" s="3102">
        <v>1</v>
      </c>
      <c r="F20" s="3103" t="s">
        <v>2436</v>
      </c>
      <c r="G20" s="3103"/>
    </row>
    <row r="21" spans="1:13" ht="19.5" customHeight="1">
      <c r="A21" s="3924"/>
      <c r="B21" s="3917"/>
      <c r="C21" s="3104" t="s">
        <v>2437</v>
      </c>
      <c r="D21" s="3105"/>
      <c r="E21" s="3106">
        <v>1</v>
      </c>
      <c r="F21" s="3103" t="s">
        <v>2438</v>
      </c>
      <c r="G21" s="3103"/>
    </row>
    <row r="22" spans="1:13" ht="19.5" customHeight="1">
      <c r="A22" s="3924"/>
      <c r="B22" s="3917"/>
      <c r="C22" s="3104" t="s">
        <v>2439</v>
      </c>
      <c r="D22" s="3105"/>
      <c r="E22" s="3106">
        <v>0.9</v>
      </c>
      <c r="F22" s="3103" t="s">
        <v>2440</v>
      </c>
      <c r="G22" s="3103"/>
    </row>
    <row r="23" spans="1:13" ht="19.5" customHeight="1">
      <c r="A23" s="3924"/>
      <c r="B23" s="3917"/>
      <c r="C23" s="3104" t="s">
        <v>2441</v>
      </c>
      <c r="D23" s="3105"/>
      <c r="E23" s="3106">
        <v>0.9</v>
      </c>
      <c r="F23" s="3103" t="s">
        <v>2442</v>
      </c>
      <c r="G23" s="3103"/>
    </row>
    <row r="24" spans="1:13" ht="19.5" customHeight="1">
      <c r="A24" s="3924"/>
      <c r="B24" s="3917"/>
      <c r="C24" s="3104" t="s">
        <v>2443</v>
      </c>
      <c r="D24" s="3105"/>
      <c r="E24" s="3106">
        <v>0.8</v>
      </c>
      <c r="F24" s="3103" t="s">
        <v>2444</v>
      </c>
      <c r="G24" s="3103"/>
    </row>
    <row r="25" spans="1:13" ht="19.5" customHeight="1" thickBot="1">
      <c r="A25" s="3925"/>
      <c r="B25" s="3918"/>
      <c r="C25" s="3107" t="s">
        <v>2445</v>
      </c>
      <c r="D25" s="3108"/>
      <c r="E25" s="3109">
        <v>0.8</v>
      </c>
      <c r="F25" s="3103" t="s">
        <v>2446</v>
      </c>
      <c r="G25" s="3103"/>
    </row>
    <row r="26" spans="1:13" ht="19.5" customHeight="1" thickBot="1">
      <c r="A26" s="3110" t="s">
        <v>2625</v>
      </c>
      <c r="B26" s="3111" t="s">
        <v>2624</v>
      </c>
      <c r="C26" s="3112" t="s">
        <v>2626</v>
      </c>
      <c r="D26" s="3113"/>
      <c r="E26" s="3114">
        <v>1</v>
      </c>
      <c r="F26" s="3103" t="s">
        <v>2447</v>
      </c>
      <c r="G26" s="3103"/>
    </row>
    <row r="27" spans="1:13" ht="19.5" customHeight="1">
      <c r="A27" s="3919" t="s">
        <v>2627</v>
      </c>
      <c r="B27" s="3916" t="s">
        <v>2608</v>
      </c>
      <c r="C27" s="3100" t="s">
        <v>2448</v>
      </c>
      <c r="D27" s="3101"/>
      <c r="E27" s="3102">
        <v>1</v>
      </c>
      <c r="F27" s="3103" t="s">
        <v>2449</v>
      </c>
      <c r="G27" s="3103"/>
    </row>
    <row r="28" spans="1:13" ht="19.5" customHeight="1">
      <c r="A28" s="3920"/>
      <c r="B28" s="3917"/>
      <c r="C28" s="3104" t="s">
        <v>2450</v>
      </c>
      <c r="D28" s="3105"/>
      <c r="E28" s="3106">
        <v>1</v>
      </c>
      <c r="F28" s="3103" t="s">
        <v>2451</v>
      </c>
      <c r="G28" s="3103"/>
    </row>
    <row r="29" spans="1:13" ht="19.5" customHeight="1">
      <c r="A29" s="3920"/>
      <c r="B29" s="3917"/>
      <c r="C29" s="3104" t="s">
        <v>2452</v>
      </c>
      <c r="D29" s="3105"/>
      <c r="E29" s="3106">
        <v>0.8</v>
      </c>
      <c r="F29" s="3103" t="s">
        <v>2453</v>
      </c>
      <c r="G29" s="3103"/>
    </row>
    <row r="30" spans="1:13" ht="19.5" customHeight="1">
      <c r="A30" s="3920"/>
      <c r="B30" s="3917"/>
      <c r="C30" s="3104" t="s">
        <v>2454</v>
      </c>
      <c r="D30" s="3105"/>
      <c r="E30" s="3106">
        <v>0.8</v>
      </c>
      <c r="F30" s="3103" t="s">
        <v>2455</v>
      </c>
      <c r="G30" s="3103"/>
    </row>
    <row r="31" spans="1:13" ht="19.5" customHeight="1">
      <c r="A31" s="3920"/>
      <c r="B31" s="3917"/>
      <c r="C31" s="3104" t="s">
        <v>2456</v>
      </c>
      <c r="D31" s="3105"/>
      <c r="E31" s="3106">
        <v>0.8</v>
      </c>
      <c r="F31" s="3103" t="s">
        <v>2457</v>
      </c>
      <c r="G31" s="3103"/>
    </row>
    <row r="32" spans="1:13" ht="19.5" customHeight="1">
      <c r="A32" s="3920"/>
      <c r="B32" s="3917"/>
      <c r="C32" s="3104" t="s">
        <v>2458</v>
      </c>
      <c r="D32" s="3105"/>
      <c r="E32" s="3106">
        <v>0.7</v>
      </c>
      <c r="F32" s="3103" t="s">
        <v>2459</v>
      </c>
      <c r="G32" s="3103"/>
    </row>
    <row r="33" spans="1:7" ht="19.5" customHeight="1">
      <c r="A33" s="3920"/>
      <c r="B33" s="3917"/>
      <c r="C33" s="3104" t="s">
        <v>2460</v>
      </c>
      <c r="D33" s="3105"/>
      <c r="E33" s="3106">
        <v>0.8</v>
      </c>
      <c r="F33" s="3103" t="s">
        <v>2461</v>
      </c>
      <c r="G33" s="3103"/>
    </row>
    <row r="34" spans="1:7" ht="19.5" customHeight="1">
      <c r="A34" s="3920"/>
      <c r="B34" s="3917"/>
      <c r="C34" s="3104" t="s">
        <v>2462</v>
      </c>
      <c r="D34" s="3105"/>
      <c r="E34" s="3106">
        <v>0.6</v>
      </c>
      <c r="F34" s="3103" t="s">
        <v>2463</v>
      </c>
      <c r="G34" s="3103"/>
    </row>
    <row r="35" spans="1:7" ht="19.5" customHeight="1">
      <c r="A35" s="3920"/>
      <c r="B35" s="3917"/>
      <c r="C35" s="3104" t="s">
        <v>2464</v>
      </c>
      <c r="D35" s="3105"/>
      <c r="E35" s="3106">
        <v>0.2</v>
      </c>
      <c r="F35" s="3103" t="s">
        <v>2465</v>
      </c>
      <c r="G35" s="3103"/>
    </row>
    <row r="36" spans="1:7" ht="19.5" customHeight="1">
      <c r="A36" s="3920"/>
      <c r="B36" s="3917"/>
      <c r="C36" s="3104" t="s">
        <v>2466</v>
      </c>
      <c r="D36" s="3105"/>
      <c r="E36" s="3106">
        <v>0.2</v>
      </c>
      <c r="F36" s="3103" t="s">
        <v>2467</v>
      </c>
      <c r="G36" s="3103"/>
    </row>
    <row r="37" spans="1:7" ht="19.5" customHeight="1">
      <c r="A37" s="3920"/>
      <c r="B37" s="3922" t="s">
        <v>2628</v>
      </c>
      <c r="C37" s="3104" t="s">
        <v>2468</v>
      </c>
      <c r="D37" s="3105"/>
      <c r="E37" s="3106">
        <v>0.6</v>
      </c>
      <c r="F37" s="3103" t="s">
        <v>2469</v>
      </c>
      <c r="G37" s="3103"/>
    </row>
    <row r="38" spans="1:7" ht="19.5" customHeight="1">
      <c r="A38" s="3920"/>
      <c r="B38" s="3917"/>
      <c r="C38" s="3104" t="s">
        <v>2470</v>
      </c>
      <c r="D38" s="3105"/>
      <c r="E38" s="3106">
        <v>0.6</v>
      </c>
      <c r="F38" s="3103" t="s">
        <v>2471</v>
      </c>
      <c r="G38" s="3103"/>
    </row>
    <row r="39" spans="1:7" ht="19.5" customHeight="1" thickBot="1">
      <c r="A39" s="3921"/>
      <c r="B39" s="3918"/>
      <c r="C39" s="3107" t="s">
        <v>2472</v>
      </c>
      <c r="D39" s="3108"/>
      <c r="E39" s="3109">
        <v>0.6</v>
      </c>
      <c r="F39" s="3103" t="s">
        <v>2473</v>
      </c>
      <c r="G39" s="3103"/>
    </row>
    <row r="40" spans="1:7" ht="19.5" customHeight="1" thickBot="1">
      <c r="A40" s="3110" t="s">
        <v>2605</v>
      </c>
      <c r="B40" s="3111" t="s">
        <v>2605</v>
      </c>
      <c r="C40" s="3112" t="s">
        <v>2629</v>
      </c>
      <c r="D40" s="3113"/>
      <c r="E40" s="3114">
        <v>1</v>
      </c>
      <c r="F40" s="3103" t="s">
        <v>2474</v>
      </c>
      <c r="G40" s="3103"/>
    </row>
    <row r="41" spans="1:7" ht="19.5" customHeight="1">
      <c r="A41" s="3923" t="s">
        <v>2606</v>
      </c>
      <c r="B41" s="3916" t="s">
        <v>2630</v>
      </c>
      <c r="C41" s="3100" t="s">
        <v>2475</v>
      </c>
      <c r="D41" s="3101"/>
      <c r="E41" s="3102">
        <v>1</v>
      </c>
      <c r="F41" s="3103" t="s">
        <v>2476</v>
      </c>
      <c r="G41" s="3103"/>
    </row>
    <row r="42" spans="1:7" ht="19.5" customHeight="1">
      <c r="A42" s="3924"/>
      <c r="B42" s="3917"/>
      <c r="C42" s="3104" t="s">
        <v>2477</v>
      </c>
      <c r="D42" s="3105"/>
      <c r="E42" s="3106">
        <v>1</v>
      </c>
      <c r="F42" s="3103" t="s">
        <v>2478</v>
      </c>
      <c r="G42" s="3103"/>
    </row>
    <row r="43" spans="1:7" ht="19.5" customHeight="1">
      <c r="A43" s="3924"/>
      <c r="B43" s="3926"/>
      <c r="C43" s="3104" t="s">
        <v>2479</v>
      </c>
      <c r="D43" s="3105"/>
      <c r="E43" s="3106">
        <v>1.5</v>
      </c>
      <c r="F43" s="3103" t="s">
        <v>2480</v>
      </c>
      <c r="G43" s="3103"/>
    </row>
    <row r="44" spans="1:7" ht="19.5" customHeight="1">
      <c r="A44" s="3924"/>
      <c r="B44" s="3115" t="s">
        <v>2631</v>
      </c>
      <c r="C44" s="3104" t="s">
        <v>2632</v>
      </c>
      <c r="D44" s="3105"/>
      <c r="E44" s="3106">
        <v>2</v>
      </c>
      <c r="F44" s="3103" t="s">
        <v>2481</v>
      </c>
      <c r="G44" s="3103"/>
    </row>
    <row r="45" spans="1:7" ht="19.5" customHeight="1">
      <c r="A45" s="3924"/>
      <c r="B45" s="3922" t="s">
        <v>2633</v>
      </c>
      <c r="C45" s="3104" t="s">
        <v>2482</v>
      </c>
      <c r="D45" s="3105"/>
      <c r="E45" s="3106">
        <v>1</v>
      </c>
      <c r="F45" s="3103" t="s">
        <v>2483</v>
      </c>
      <c r="G45" s="3103"/>
    </row>
    <row r="46" spans="1:7" ht="19.5" customHeight="1">
      <c r="A46" s="3924"/>
      <c r="B46" s="3917"/>
      <c r="C46" s="3104" t="s">
        <v>2484</v>
      </c>
      <c r="D46" s="3105"/>
      <c r="E46" s="3106">
        <v>1</v>
      </c>
      <c r="F46" s="3103" t="s">
        <v>2485</v>
      </c>
      <c r="G46" s="3103"/>
    </row>
    <row r="47" spans="1:7" ht="19.5" customHeight="1">
      <c r="A47" s="3924"/>
      <c r="B47" s="3917"/>
      <c r="C47" s="3104" t="s">
        <v>2486</v>
      </c>
      <c r="D47" s="3105"/>
      <c r="E47" s="3106">
        <v>1</v>
      </c>
      <c r="F47" s="3103" t="s">
        <v>2487</v>
      </c>
      <c r="G47" s="3103"/>
    </row>
    <row r="48" spans="1:7" ht="19.5" customHeight="1">
      <c r="A48" s="3924"/>
      <c r="B48" s="3917"/>
      <c r="C48" s="3104" t="s">
        <v>2488</v>
      </c>
      <c r="D48" s="3105"/>
      <c r="E48" s="3106">
        <v>1</v>
      </c>
      <c r="F48" s="3103" t="s">
        <v>2489</v>
      </c>
      <c r="G48" s="3103"/>
    </row>
    <row r="49" spans="1:7" ht="19.5" customHeight="1">
      <c r="A49" s="3924"/>
      <c r="B49" s="3917"/>
      <c r="C49" s="3104" t="s">
        <v>2490</v>
      </c>
      <c r="D49" s="3105"/>
      <c r="E49" s="3106">
        <v>1</v>
      </c>
      <c r="F49" s="3103" t="s">
        <v>2491</v>
      </c>
      <c r="G49" s="3103"/>
    </row>
    <row r="50" spans="1:7" ht="19.5" customHeight="1">
      <c r="A50" s="3924"/>
      <c r="B50" s="3917"/>
      <c r="C50" s="3104" t="s">
        <v>2492</v>
      </c>
      <c r="D50" s="3105"/>
      <c r="E50" s="3106">
        <v>1</v>
      </c>
      <c r="F50" s="3103" t="s">
        <v>2493</v>
      </c>
      <c r="G50" s="3103"/>
    </row>
    <row r="51" spans="1:7" ht="19.5" customHeight="1" thickBot="1">
      <c r="A51" s="3925"/>
      <c r="B51" s="3918"/>
      <c r="C51" s="3107" t="s">
        <v>2494</v>
      </c>
      <c r="D51" s="3108"/>
      <c r="E51" s="3109">
        <v>1</v>
      </c>
      <c r="F51" s="3103" t="s">
        <v>2495</v>
      </c>
      <c r="G51" s="3103"/>
    </row>
    <row r="52" spans="1:7" ht="19.5" customHeight="1">
      <c r="A52" s="3116"/>
      <c r="B52" s="3116"/>
      <c r="C52" s="3116"/>
      <c r="D52" s="3116"/>
      <c r="E52" s="3116"/>
      <c r="F52" s="3116"/>
      <c r="G52" s="3116"/>
    </row>
    <row r="54" spans="1:7" ht="19.5" customHeight="1">
      <c r="A54" s="3117"/>
      <c r="B54" s="3089" t="s">
        <v>2634</v>
      </c>
      <c r="C54" s="3089" t="s">
        <v>2634</v>
      </c>
      <c r="D54" s="3089" t="s">
        <v>2634</v>
      </c>
      <c r="E54" s="3092" t="s">
        <v>2634</v>
      </c>
      <c r="F54" s="3092" t="s">
        <v>2635</v>
      </c>
      <c r="G54" s="3092" t="s">
        <v>2636</v>
      </c>
    </row>
    <row r="55" spans="1:7" ht="19.5" customHeight="1">
      <c r="A55" s="3118"/>
      <c r="B55" s="3092" t="s">
        <v>2603</v>
      </c>
      <c r="C55" s="3092" t="s">
        <v>2603</v>
      </c>
      <c r="D55" s="3092" t="s">
        <v>2603</v>
      </c>
      <c r="E55" s="3089" t="s">
        <v>2604</v>
      </c>
      <c r="F55" s="3089" t="s">
        <v>2606</v>
      </c>
      <c r="G55" s="3089" t="s">
        <v>2637</v>
      </c>
    </row>
    <row r="56" spans="1:7" ht="19.5" customHeight="1">
      <c r="A56" s="3119"/>
      <c r="B56" s="3089">
        <v>1</v>
      </c>
      <c r="C56" s="3089">
        <v>2</v>
      </c>
      <c r="D56" s="3089">
        <v>3</v>
      </c>
      <c r="E56" s="3120" t="s">
        <v>2638</v>
      </c>
      <c r="F56" s="3120" t="s">
        <v>2638</v>
      </c>
      <c r="G56" s="3120" t="s">
        <v>2638</v>
      </c>
    </row>
    <row r="57" spans="1:7" ht="19.5" customHeight="1">
      <c r="A57" s="3121" t="s">
        <v>2591</v>
      </c>
      <c r="B57" s="3089">
        <v>0.7</v>
      </c>
      <c r="C57" s="3089">
        <v>0.4</v>
      </c>
      <c r="D57" s="3089">
        <v>0.3</v>
      </c>
      <c r="E57" s="3120">
        <v>0.3</v>
      </c>
      <c r="F57" s="3089">
        <v>0.3</v>
      </c>
      <c r="G57" s="3089">
        <v>0.2</v>
      </c>
    </row>
    <row r="58" spans="1:7" ht="19.5" customHeight="1">
      <c r="A58" s="3121" t="s">
        <v>2592</v>
      </c>
      <c r="B58" s="3089">
        <v>0.7</v>
      </c>
      <c r="C58" s="3089">
        <v>0.4</v>
      </c>
      <c r="D58" s="3089">
        <v>0.3</v>
      </c>
      <c r="E58" s="3089">
        <v>0.3</v>
      </c>
      <c r="F58" s="3089">
        <v>0.3</v>
      </c>
      <c r="G58" s="3089">
        <v>0.2</v>
      </c>
    </row>
    <row r="59" spans="1:7" ht="19.5" customHeight="1">
      <c r="A59" s="3121" t="s">
        <v>2593</v>
      </c>
      <c r="B59" s="3089">
        <v>0.6</v>
      </c>
      <c r="C59" s="3089">
        <v>0.3</v>
      </c>
      <c r="D59" s="3089">
        <v>0.25</v>
      </c>
      <c r="E59" s="3089">
        <v>0.25</v>
      </c>
      <c r="F59" s="3089">
        <v>0.25</v>
      </c>
      <c r="G59" s="3089">
        <v>0.15</v>
      </c>
    </row>
    <row r="60" spans="1:7" ht="19.5" customHeight="1">
      <c r="A60" s="3121" t="s">
        <v>2594</v>
      </c>
      <c r="B60" s="3089">
        <v>0.6</v>
      </c>
      <c r="C60" s="3089">
        <v>0.3</v>
      </c>
      <c r="D60" s="3089">
        <v>0.25</v>
      </c>
      <c r="E60" s="3089">
        <v>0.25</v>
      </c>
      <c r="F60" s="3089">
        <v>0.25</v>
      </c>
      <c r="G60" s="3089">
        <v>0.15</v>
      </c>
    </row>
    <row r="61" spans="1:7" ht="19.5" customHeight="1">
      <c r="A61" s="3121" t="s">
        <v>2595</v>
      </c>
      <c r="B61" s="3089">
        <v>0.6</v>
      </c>
      <c r="C61" s="3089">
        <v>0.3</v>
      </c>
      <c r="D61" s="3089">
        <v>0.25</v>
      </c>
      <c r="E61" s="3089">
        <v>0.25</v>
      </c>
      <c r="F61" s="3089">
        <v>0.25</v>
      </c>
      <c r="G61" s="3089">
        <v>0.15</v>
      </c>
    </row>
    <row r="62" spans="1:7" ht="19.5" customHeight="1">
      <c r="A62" s="3121" t="s">
        <v>2596</v>
      </c>
      <c r="B62" s="3089">
        <v>0.6</v>
      </c>
      <c r="C62" s="3089">
        <v>0.3</v>
      </c>
      <c r="D62" s="3089">
        <v>0.25</v>
      </c>
      <c r="E62" s="3089">
        <v>0.25</v>
      </c>
      <c r="F62" s="3089">
        <v>0.25</v>
      </c>
      <c r="G62" s="3089">
        <v>0.15</v>
      </c>
    </row>
    <row r="63" spans="1:7" ht="19.5" customHeight="1">
      <c r="A63" s="3121" t="s">
        <v>2597</v>
      </c>
      <c r="B63" s="3089">
        <v>0.6</v>
      </c>
      <c r="C63" s="3089">
        <v>0.3</v>
      </c>
      <c r="D63" s="3089">
        <v>0.25</v>
      </c>
      <c r="E63" s="3089">
        <v>0.25</v>
      </c>
      <c r="F63" s="3089">
        <v>0.25</v>
      </c>
      <c r="G63" s="3089">
        <v>0.15</v>
      </c>
    </row>
    <row r="64" spans="1:7" ht="19.5" customHeight="1">
      <c r="A64" s="3121" t="s">
        <v>2598</v>
      </c>
      <c r="B64" s="3089">
        <v>0.5</v>
      </c>
      <c r="C64" s="3089">
        <v>0.2</v>
      </c>
      <c r="D64" s="3089">
        <v>0.2</v>
      </c>
      <c r="E64" s="3089">
        <v>0.2</v>
      </c>
      <c r="F64" s="3089">
        <v>0.2</v>
      </c>
      <c r="G64" s="3089">
        <v>0.1</v>
      </c>
    </row>
    <row r="65" spans="1:7" ht="19.5" customHeight="1">
      <c r="A65" s="3121" t="s">
        <v>2599</v>
      </c>
      <c r="B65" s="3089">
        <v>0.5</v>
      </c>
      <c r="C65" s="3089">
        <v>0.2</v>
      </c>
      <c r="D65" s="3089">
        <v>0.2</v>
      </c>
      <c r="E65" s="3089">
        <v>0.2</v>
      </c>
      <c r="F65" s="3089">
        <v>0.2</v>
      </c>
      <c r="G65" s="3089">
        <v>0.1</v>
      </c>
    </row>
    <row r="66" spans="1:7" ht="19.5" customHeight="1">
      <c r="A66" s="3121" t="s">
        <v>2600</v>
      </c>
      <c r="B66" s="3089">
        <v>0.5</v>
      </c>
      <c r="C66" s="3089">
        <v>0.2</v>
      </c>
      <c r="D66" s="3089">
        <v>0.2</v>
      </c>
      <c r="E66" s="3089">
        <v>0.2</v>
      </c>
      <c r="F66" s="3089">
        <v>0.2</v>
      </c>
      <c r="G66" s="3089">
        <v>0.1</v>
      </c>
    </row>
    <row r="67" spans="1:7" ht="19.5" customHeight="1">
      <c r="A67" s="3121" t="s">
        <v>2601</v>
      </c>
      <c r="B67" s="3089">
        <v>0.5</v>
      </c>
      <c r="C67" s="3089">
        <v>0.2</v>
      </c>
      <c r="D67" s="3089">
        <v>0.2</v>
      </c>
      <c r="E67" s="3089">
        <v>0.2</v>
      </c>
      <c r="F67" s="3089">
        <v>0.2</v>
      </c>
      <c r="G67" s="3089">
        <v>0.1</v>
      </c>
    </row>
    <row r="68" spans="1:7" ht="19.5" customHeight="1">
      <c r="A68" s="3121" t="s">
        <v>2602</v>
      </c>
      <c r="B68" s="3089">
        <v>0.5</v>
      </c>
      <c r="C68" s="3089">
        <v>0.2</v>
      </c>
      <c r="D68" s="3089">
        <v>0.2</v>
      </c>
      <c r="E68" s="3089">
        <v>0.2</v>
      </c>
      <c r="F68" s="3089">
        <v>0.2</v>
      </c>
      <c r="G68" s="3089">
        <v>0.1</v>
      </c>
    </row>
    <row r="70" spans="1:7" ht="19.5" customHeight="1">
      <c r="A70" s="3122"/>
      <c r="B70" s="3123"/>
      <c r="C70" s="3123"/>
      <c r="D70" s="3123" t="s">
        <v>2639</v>
      </c>
      <c r="E70" s="3123"/>
      <c r="F70" s="3123"/>
    </row>
    <row r="71" spans="1:7" ht="19.5" customHeight="1">
      <c r="A71" s="3115" t="s">
        <v>2640</v>
      </c>
      <c r="B71" s="3115" t="s">
        <v>2641</v>
      </c>
      <c r="C71" s="3115" t="s">
        <v>2642</v>
      </c>
      <c r="D71" s="3115" t="s">
        <v>2643</v>
      </c>
      <c r="E71" s="3115" t="s">
        <v>2644</v>
      </c>
      <c r="F71" s="3115" t="s">
        <v>2645</v>
      </c>
    </row>
    <row r="72" spans="1:7" ht="13.5">
      <c r="A72" s="3115"/>
      <c r="B72" s="3115"/>
      <c r="C72" s="3115" t="s">
        <v>2646</v>
      </c>
      <c r="D72" s="3115"/>
      <c r="E72" s="3115" t="s">
        <v>2617</v>
      </c>
      <c r="F72" s="3115" t="s">
        <v>2617</v>
      </c>
    </row>
    <row r="73" spans="1:7" ht="13.5">
      <c r="A73" s="3115">
        <v>1</v>
      </c>
      <c r="B73" s="3922" t="s">
        <v>2647</v>
      </c>
      <c r="C73" s="3089" t="s">
        <v>2648</v>
      </c>
      <c r="D73" s="3089" t="s">
        <v>2649</v>
      </c>
      <c r="E73" s="3115">
        <v>0.2</v>
      </c>
      <c r="F73" s="3115">
        <v>25</v>
      </c>
    </row>
    <row r="74" spans="1:7" ht="24">
      <c r="A74" s="3115">
        <v>2</v>
      </c>
      <c r="B74" s="3917"/>
      <c r="C74" s="3089" t="s">
        <v>2650</v>
      </c>
      <c r="D74" s="3089" t="s">
        <v>2651</v>
      </c>
      <c r="E74" s="3115">
        <v>0.2</v>
      </c>
      <c r="F74" s="3115">
        <v>25</v>
      </c>
    </row>
    <row r="75" spans="1:7" ht="24">
      <c r="A75" s="3115">
        <v>3</v>
      </c>
      <c r="B75" s="3917"/>
      <c r="C75" s="3089" t="s">
        <v>2652</v>
      </c>
      <c r="D75" s="3089" t="s">
        <v>2653</v>
      </c>
      <c r="E75" s="3115">
        <v>0.2</v>
      </c>
      <c r="F75" s="3115">
        <v>25</v>
      </c>
    </row>
    <row r="76" spans="1:7" ht="13.5">
      <c r="A76" s="3115">
        <v>4</v>
      </c>
      <c r="B76" s="3917"/>
      <c r="C76" s="3089" t="s">
        <v>2654</v>
      </c>
      <c r="D76" s="3089" t="s">
        <v>2655</v>
      </c>
      <c r="E76" s="3115">
        <v>0.15</v>
      </c>
      <c r="F76" s="3115">
        <v>20</v>
      </c>
    </row>
    <row r="77" spans="1:7" ht="24">
      <c r="A77" s="3115">
        <v>5</v>
      </c>
      <c r="B77" s="3917"/>
      <c r="C77" s="3089" t="s">
        <v>2656</v>
      </c>
      <c r="D77" s="3089" t="s">
        <v>2657</v>
      </c>
      <c r="E77" s="3115">
        <v>0.15</v>
      </c>
      <c r="F77" s="3115">
        <v>20</v>
      </c>
    </row>
    <row r="78" spans="1:7" ht="24">
      <c r="A78" s="3115">
        <v>6</v>
      </c>
      <c r="B78" s="3917"/>
      <c r="C78" s="3089" t="s">
        <v>2658</v>
      </c>
      <c r="D78" s="3089" t="s">
        <v>2659</v>
      </c>
      <c r="E78" s="3115">
        <v>0.15</v>
      </c>
      <c r="F78" s="3115">
        <v>20</v>
      </c>
    </row>
    <row r="79" spans="1:7" ht="24">
      <c r="A79" s="3115">
        <v>7</v>
      </c>
      <c r="B79" s="3917"/>
      <c r="C79" s="3089" t="s">
        <v>2660</v>
      </c>
      <c r="D79" s="3089" t="s">
        <v>2661</v>
      </c>
      <c r="E79" s="3115">
        <v>0.15</v>
      </c>
      <c r="F79" s="3115">
        <v>20</v>
      </c>
    </row>
    <row r="80" spans="1:7" ht="24">
      <c r="A80" s="3115">
        <v>8</v>
      </c>
      <c r="B80" s="3917"/>
      <c r="C80" s="3089" t="s">
        <v>2662</v>
      </c>
      <c r="D80" s="3089" t="s">
        <v>2663</v>
      </c>
      <c r="E80" s="3115">
        <v>0.1</v>
      </c>
      <c r="F80" s="3115">
        <v>15</v>
      </c>
    </row>
    <row r="81" spans="1:6" ht="24">
      <c r="A81" s="3115">
        <v>9</v>
      </c>
      <c r="B81" s="3917"/>
      <c r="C81" s="3089" t="s">
        <v>2664</v>
      </c>
      <c r="D81" s="3089" t="s">
        <v>2665</v>
      </c>
      <c r="E81" s="3115">
        <v>0.1</v>
      </c>
      <c r="F81" s="3115">
        <v>15</v>
      </c>
    </row>
    <row r="82" spans="1:6" ht="24">
      <c r="A82" s="3115">
        <v>10</v>
      </c>
      <c r="B82" s="3917"/>
      <c r="C82" s="3089" t="s">
        <v>2666</v>
      </c>
      <c r="D82" s="3089" t="s">
        <v>2667</v>
      </c>
      <c r="E82" s="3115">
        <v>0.1</v>
      </c>
      <c r="F82" s="3115">
        <v>15</v>
      </c>
    </row>
    <row r="83" spans="1:6" ht="24">
      <c r="A83" s="3115">
        <v>11</v>
      </c>
      <c r="B83" s="3917"/>
      <c r="C83" s="3089" t="s">
        <v>2668</v>
      </c>
      <c r="D83" s="3089" t="s">
        <v>2669</v>
      </c>
      <c r="E83" s="3115">
        <v>0.1</v>
      </c>
      <c r="F83" s="3115">
        <v>15</v>
      </c>
    </row>
    <row r="84" spans="1:6" ht="24">
      <c r="A84" s="3115">
        <v>12</v>
      </c>
      <c r="B84" s="3917"/>
      <c r="C84" s="3089" t="s">
        <v>2670</v>
      </c>
      <c r="D84" s="3089" t="s">
        <v>2671</v>
      </c>
      <c r="E84" s="3115">
        <v>0.1</v>
      </c>
      <c r="F84" s="3115">
        <v>15</v>
      </c>
    </row>
    <row r="85" spans="1:6" ht="13.5">
      <c r="A85" s="3115">
        <v>13</v>
      </c>
      <c r="B85" s="3917"/>
      <c r="C85" s="3089" t="s">
        <v>2672</v>
      </c>
      <c r="D85" s="3089" t="s">
        <v>2673</v>
      </c>
      <c r="E85" s="3115">
        <v>0.1</v>
      </c>
      <c r="F85" s="3115">
        <v>15</v>
      </c>
    </row>
    <row r="86" spans="1:6" ht="13.5">
      <c r="A86" s="3115">
        <v>14</v>
      </c>
      <c r="B86" s="3917"/>
      <c r="C86" s="3089" t="s">
        <v>2674</v>
      </c>
      <c r="D86" s="3089" t="s">
        <v>2675</v>
      </c>
      <c r="E86" s="3115">
        <v>0.1</v>
      </c>
      <c r="F86" s="3115">
        <v>15</v>
      </c>
    </row>
    <row r="87" spans="1:6" ht="13.5">
      <c r="A87" s="3115">
        <v>15</v>
      </c>
      <c r="B87" s="3917"/>
      <c r="C87" s="3089" t="s">
        <v>2676</v>
      </c>
      <c r="D87" s="3089" t="s">
        <v>2677</v>
      </c>
      <c r="E87" s="3115">
        <v>0.1</v>
      </c>
      <c r="F87" s="3115">
        <v>15</v>
      </c>
    </row>
    <row r="88" spans="1:6" ht="24">
      <c r="A88" s="3115">
        <v>16</v>
      </c>
      <c r="B88" s="3917"/>
      <c r="C88" s="3089" t="s">
        <v>2678</v>
      </c>
      <c r="D88" s="3089" t="s">
        <v>2679</v>
      </c>
      <c r="E88" s="3115">
        <v>0.1</v>
      </c>
      <c r="F88" s="3115">
        <v>15</v>
      </c>
    </row>
    <row r="89" spans="1:6" ht="24">
      <c r="A89" s="3115">
        <v>17</v>
      </c>
      <c r="B89" s="3926"/>
      <c r="C89" s="3089" t="s">
        <v>2680</v>
      </c>
      <c r="D89" s="3089" t="s">
        <v>2681</v>
      </c>
      <c r="E89" s="3115">
        <v>0.1</v>
      </c>
      <c r="F89" s="3115">
        <v>15</v>
      </c>
    </row>
    <row r="90" spans="1:6" ht="13.5">
      <c r="A90" s="3115">
        <v>18</v>
      </c>
      <c r="B90" s="3922" t="s">
        <v>2682</v>
      </c>
      <c r="C90" s="3089" t="s">
        <v>2683</v>
      </c>
      <c r="D90" s="3089" t="s">
        <v>2684</v>
      </c>
      <c r="E90" s="3115">
        <v>0.2</v>
      </c>
      <c r="F90" s="3115">
        <v>25</v>
      </c>
    </row>
    <row r="91" spans="1:6" ht="24">
      <c r="A91" s="3115">
        <v>19</v>
      </c>
      <c r="B91" s="3917"/>
      <c r="C91" s="3089" t="s">
        <v>2685</v>
      </c>
      <c r="D91" s="3089" t="s">
        <v>2686</v>
      </c>
      <c r="E91" s="3115">
        <v>0.2</v>
      </c>
      <c r="F91" s="3115">
        <v>25</v>
      </c>
    </row>
    <row r="92" spans="1:6" ht="13.5">
      <c r="A92" s="3115">
        <v>20</v>
      </c>
      <c r="B92" s="3917"/>
      <c r="C92" s="3089" t="s">
        <v>2687</v>
      </c>
      <c r="D92" s="3089" t="s">
        <v>2688</v>
      </c>
      <c r="E92" s="3115">
        <v>0.15</v>
      </c>
      <c r="F92" s="3115">
        <v>20</v>
      </c>
    </row>
    <row r="93" spans="1:6" ht="13.5">
      <c r="A93" s="3115">
        <v>21</v>
      </c>
      <c r="B93" s="3917"/>
      <c r="C93" s="3089" t="s">
        <v>2689</v>
      </c>
      <c r="D93" s="3089" t="s">
        <v>2690</v>
      </c>
      <c r="E93" s="3115">
        <v>0.15</v>
      </c>
      <c r="F93" s="3115">
        <v>20</v>
      </c>
    </row>
    <row r="94" spans="1:6" ht="13.5">
      <c r="A94" s="3115">
        <v>22</v>
      </c>
      <c r="B94" s="3917"/>
      <c r="C94" s="3089" t="s">
        <v>2691</v>
      </c>
      <c r="D94" s="3089" t="s">
        <v>2692</v>
      </c>
      <c r="E94" s="3115">
        <v>0.15</v>
      </c>
      <c r="F94" s="3115">
        <v>20</v>
      </c>
    </row>
    <row r="95" spans="1:6" ht="36">
      <c r="A95" s="3115">
        <v>23</v>
      </c>
      <c r="B95" s="3917"/>
      <c r="C95" s="3089" t="s">
        <v>2693</v>
      </c>
      <c r="D95" s="3089" t="s">
        <v>2694</v>
      </c>
      <c r="E95" s="3115">
        <v>0.15</v>
      </c>
      <c r="F95" s="3115">
        <v>20</v>
      </c>
    </row>
    <row r="96" spans="1:6" ht="13.5">
      <c r="A96" s="3115">
        <v>24</v>
      </c>
      <c r="B96" s="3917"/>
      <c r="C96" s="3089" t="s">
        <v>2695</v>
      </c>
      <c r="D96" s="3089" t="s">
        <v>2696</v>
      </c>
      <c r="E96" s="3115">
        <v>0.1</v>
      </c>
      <c r="F96" s="3115">
        <v>15</v>
      </c>
    </row>
    <row r="97" spans="1:6" ht="13.5">
      <c r="A97" s="3115">
        <v>25</v>
      </c>
      <c r="B97" s="3917"/>
      <c r="C97" s="3089" t="s">
        <v>2697</v>
      </c>
      <c r="D97" s="3089" t="s">
        <v>2698</v>
      </c>
      <c r="E97" s="3115">
        <v>0.1</v>
      </c>
      <c r="F97" s="3115">
        <v>15</v>
      </c>
    </row>
    <row r="98" spans="1:6" ht="24">
      <c r="A98" s="3115">
        <v>26</v>
      </c>
      <c r="B98" s="3917"/>
      <c r="C98" s="3089" t="s">
        <v>2699</v>
      </c>
      <c r="D98" s="3089" t="s">
        <v>2700</v>
      </c>
      <c r="E98" s="3115">
        <v>0.1</v>
      </c>
      <c r="F98" s="3115">
        <v>15</v>
      </c>
    </row>
    <row r="99" spans="1:6" ht="24">
      <c r="A99" s="3115">
        <v>27</v>
      </c>
      <c r="B99" s="3917"/>
      <c r="C99" s="3089" t="s">
        <v>2701</v>
      </c>
      <c r="D99" s="3089" t="s">
        <v>2702</v>
      </c>
      <c r="E99" s="3115">
        <v>0.1</v>
      </c>
      <c r="F99" s="3115">
        <v>15</v>
      </c>
    </row>
    <row r="100" spans="1:6" ht="13.5">
      <c r="A100" s="3115">
        <v>28</v>
      </c>
      <c r="B100" s="3917"/>
      <c r="C100" s="3089" t="s">
        <v>2703</v>
      </c>
      <c r="D100" s="3089" t="s">
        <v>2704</v>
      </c>
      <c r="E100" s="3115">
        <v>0.1</v>
      </c>
      <c r="F100" s="3115">
        <v>15</v>
      </c>
    </row>
    <row r="101" spans="1:6" ht="13.5">
      <c r="A101" s="3115">
        <v>29</v>
      </c>
      <c r="B101" s="3917"/>
      <c r="C101" s="3089" t="s">
        <v>2705</v>
      </c>
      <c r="D101" s="3089" t="s">
        <v>2706</v>
      </c>
      <c r="E101" s="3115">
        <v>0.1</v>
      </c>
      <c r="F101" s="3115">
        <v>15</v>
      </c>
    </row>
    <row r="102" spans="1:6" ht="13.5">
      <c r="A102" s="3115">
        <v>30</v>
      </c>
      <c r="B102" s="3917"/>
      <c r="C102" s="3089" t="s">
        <v>2707</v>
      </c>
      <c r="D102" s="3089" t="s">
        <v>2708</v>
      </c>
      <c r="E102" s="3115">
        <v>0.1</v>
      </c>
      <c r="F102" s="3115">
        <v>15</v>
      </c>
    </row>
    <row r="103" spans="1:6" ht="24">
      <c r="A103" s="3115">
        <v>31</v>
      </c>
      <c r="B103" s="3917"/>
      <c r="C103" s="3089" t="s">
        <v>2709</v>
      </c>
      <c r="D103" s="3089" t="s">
        <v>2710</v>
      </c>
      <c r="E103" s="3115">
        <v>0.1</v>
      </c>
      <c r="F103" s="3115">
        <v>15</v>
      </c>
    </row>
    <row r="104" spans="1:6" ht="24">
      <c r="A104" s="3115">
        <v>32</v>
      </c>
      <c r="B104" s="3917"/>
      <c r="C104" s="3089" t="s">
        <v>2711</v>
      </c>
      <c r="D104" s="3089" t="s">
        <v>2712</v>
      </c>
      <c r="E104" s="3115">
        <v>0.1</v>
      </c>
      <c r="F104" s="3115">
        <v>15</v>
      </c>
    </row>
    <row r="105" spans="1:6" ht="24">
      <c r="A105" s="3115">
        <v>33</v>
      </c>
      <c r="B105" s="3917"/>
      <c r="C105" s="3089" t="s">
        <v>2713</v>
      </c>
      <c r="D105" s="3089" t="s">
        <v>2714</v>
      </c>
      <c r="E105" s="3115">
        <v>0.1</v>
      </c>
      <c r="F105" s="3115">
        <v>15</v>
      </c>
    </row>
    <row r="106" spans="1:6" ht="24">
      <c r="A106" s="3115">
        <v>34</v>
      </c>
      <c r="B106" s="3926"/>
      <c r="C106" s="3089" t="s">
        <v>2715</v>
      </c>
      <c r="D106" s="3089" t="s">
        <v>2716</v>
      </c>
      <c r="E106" s="3115">
        <v>0.1</v>
      </c>
      <c r="F106" s="3115">
        <v>15</v>
      </c>
    </row>
    <row r="107" spans="1:6" ht="24">
      <c r="A107" s="3115">
        <v>35</v>
      </c>
      <c r="B107" s="3922" t="s">
        <v>2717</v>
      </c>
      <c r="C107" s="3115" t="s">
        <v>2718</v>
      </c>
      <c r="D107" s="3089" t="s">
        <v>2719</v>
      </c>
      <c r="E107" s="3115">
        <v>0.15</v>
      </c>
      <c r="F107" s="3115">
        <v>20</v>
      </c>
    </row>
    <row r="108" spans="1:6" ht="13.5">
      <c r="A108" s="3115">
        <v>36</v>
      </c>
      <c r="B108" s="3917"/>
      <c r="C108" s="3115" t="s">
        <v>2720</v>
      </c>
      <c r="D108" s="3089" t="s">
        <v>2721</v>
      </c>
      <c r="E108" s="3115">
        <v>0.15</v>
      </c>
      <c r="F108" s="3115">
        <v>20</v>
      </c>
    </row>
    <row r="109" spans="1:6" ht="13.5">
      <c r="A109" s="3115">
        <v>37</v>
      </c>
      <c r="B109" s="3917"/>
      <c r="C109" s="3115" t="s">
        <v>2722</v>
      </c>
      <c r="D109" s="3089" t="s">
        <v>2723</v>
      </c>
      <c r="E109" s="3115">
        <v>0.15</v>
      </c>
      <c r="F109" s="3115">
        <v>20</v>
      </c>
    </row>
    <row r="110" spans="1:6" ht="13.5">
      <c r="A110" s="3115">
        <v>38</v>
      </c>
      <c r="B110" s="3917"/>
      <c r="C110" s="3115" t="s">
        <v>2724</v>
      </c>
      <c r="D110" s="3089" t="s">
        <v>2725</v>
      </c>
      <c r="E110" s="3115">
        <v>0.1</v>
      </c>
      <c r="F110" s="3115">
        <v>15</v>
      </c>
    </row>
    <row r="111" spans="1:6" ht="24">
      <c r="A111" s="3115">
        <v>39</v>
      </c>
      <c r="B111" s="3917"/>
      <c r="C111" s="3115" t="s">
        <v>2726</v>
      </c>
      <c r="D111" s="3089" t="s">
        <v>2727</v>
      </c>
      <c r="E111" s="3115">
        <v>0.1</v>
      </c>
      <c r="F111" s="3115">
        <v>15</v>
      </c>
    </row>
    <row r="112" spans="1:6" ht="24">
      <c r="A112" s="3115">
        <v>40</v>
      </c>
      <c r="B112" s="3926"/>
      <c r="C112" s="3115" t="s">
        <v>2728</v>
      </c>
      <c r="D112" s="3089" t="s">
        <v>2729</v>
      </c>
      <c r="E112" s="3115">
        <v>0.1</v>
      </c>
      <c r="F112" s="3115">
        <v>15</v>
      </c>
    </row>
    <row r="113" spans="1:6" ht="13.5">
      <c r="A113" s="3115">
        <v>41</v>
      </c>
      <c r="B113" s="3927" t="s">
        <v>2730</v>
      </c>
      <c r="C113" s="3115" t="s">
        <v>2731</v>
      </c>
      <c r="D113" s="3089" t="s">
        <v>2732</v>
      </c>
      <c r="E113" s="3115">
        <v>0.1</v>
      </c>
      <c r="F113" s="3115">
        <v>15</v>
      </c>
    </row>
    <row r="114" spans="1:6" ht="13.5">
      <c r="A114" s="3115">
        <v>42</v>
      </c>
      <c r="B114" s="3927"/>
      <c r="C114" s="3115" t="s">
        <v>2733</v>
      </c>
      <c r="D114" s="3089" t="s">
        <v>2734</v>
      </c>
      <c r="E114" s="3115">
        <v>0.1</v>
      </c>
      <c r="F114" s="3115">
        <v>15</v>
      </c>
    </row>
    <row r="115" spans="1:6" ht="24">
      <c r="A115" s="3115">
        <v>43</v>
      </c>
      <c r="B115" s="3927"/>
      <c r="C115" s="3115" t="s">
        <v>2735</v>
      </c>
      <c r="D115" s="3089" t="s">
        <v>2736</v>
      </c>
      <c r="E115" s="3115">
        <v>0.1</v>
      </c>
      <c r="F115" s="3115">
        <v>15</v>
      </c>
    </row>
    <row r="116" spans="1:6" ht="13.5">
      <c r="A116" s="3115">
        <v>44</v>
      </c>
      <c r="B116" s="3922" t="s">
        <v>2737</v>
      </c>
      <c r="C116" s="3115" t="s">
        <v>2738</v>
      </c>
      <c r="D116" s="3089" t="s">
        <v>2739</v>
      </c>
      <c r="E116" s="3115">
        <v>0.1</v>
      </c>
      <c r="F116" s="3115">
        <v>15</v>
      </c>
    </row>
    <row r="117" spans="1:6" ht="24">
      <c r="A117" s="3115">
        <v>45</v>
      </c>
      <c r="B117" s="3926"/>
      <c r="C117" s="3089" t="s">
        <v>2740</v>
      </c>
      <c r="D117" s="3089" t="s">
        <v>2741</v>
      </c>
      <c r="E117" s="3115">
        <v>0.1</v>
      </c>
      <c r="F117" s="3115">
        <v>15</v>
      </c>
    </row>
    <row r="118" spans="1:6" ht="24">
      <c r="A118" s="3115">
        <v>46</v>
      </c>
      <c r="B118" s="3922" t="s">
        <v>2742</v>
      </c>
      <c r="C118" s="3115" t="s">
        <v>2743</v>
      </c>
      <c r="D118" s="3089" t="s">
        <v>2744</v>
      </c>
      <c r="E118" s="3115">
        <v>0.1</v>
      </c>
      <c r="F118" s="3115">
        <v>15</v>
      </c>
    </row>
    <row r="119" spans="1:6" ht="24">
      <c r="A119" s="3115">
        <v>47</v>
      </c>
      <c r="B119" s="3926"/>
      <c r="C119" s="3115" t="s">
        <v>2745</v>
      </c>
      <c r="D119" s="3089" t="s">
        <v>2746</v>
      </c>
      <c r="E119" s="3115">
        <v>0.1</v>
      </c>
      <c r="F119" s="3115">
        <v>15</v>
      </c>
    </row>
    <row r="120" spans="1:6" ht="13.5">
      <c r="A120" s="3115">
        <v>48</v>
      </c>
      <c r="B120" s="3922" t="s">
        <v>2747</v>
      </c>
      <c r="C120" s="3115" t="s">
        <v>2748</v>
      </c>
      <c r="D120" s="3089" t="s">
        <v>2749</v>
      </c>
      <c r="E120" s="3115">
        <v>0.1</v>
      </c>
      <c r="F120" s="3115">
        <v>15</v>
      </c>
    </row>
    <row r="121" spans="1:6" ht="13.5">
      <c r="A121" s="3115">
        <v>49</v>
      </c>
      <c r="B121" s="3926"/>
      <c r="C121" s="3115" t="s">
        <v>2750</v>
      </c>
      <c r="D121" s="3089" t="s">
        <v>2751</v>
      </c>
      <c r="E121" s="3115">
        <v>0.1</v>
      </c>
      <c r="F121" s="3115">
        <v>15</v>
      </c>
    </row>
    <row r="122" spans="1:6" ht="24">
      <c r="A122" s="3115">
        <v>50</v>
      </c>
      <c r="B122" s="3927" t="s">
        <v>2752</v>
      </c>
      <c r="C122" s="3115" t="s">
        <v>2753</v>
      </c>
      <c r="D122" s="3089" t="s">
        <v>2754</v>
      </c>
      <c r="E122" s="3115">
        <v>0.1</v>
      </c>
      <c r="F122" s="3115">
        <v>15</v>
      </c>
    </row>
    <row r="123" spans="1:6" ht="24">
      <c r="A123" s="3115">
        <v>51</v>
      </c>
      <c r="B123" s="3927"/>
      <c r="C123" s="3115" t="s">
        <v>2755</v>
      </c>
      <c r="D123" s="3089" t="s">
        <v>2756</v>
      </c>
      <c r="E123" s="3115">
        <v>0.1</v>
      </c>
      <c r="F123" s="3115">
        <v>15</v>
      </c>
    </row>
    <row r="124" spans="1:6" ht="24">
      <c r="A124" s="3115">
        <v>52</v>
      </c>
      <c r="B124" s="3927" t="s">
        <v>2757</v>
      </c>
      <c r="C124" s="3115" t="s">
        <v>2758</v>
      </c>
      <c r="D124" s="3089" t="s">
        <v>2759</v>
      </c>
      <c r="E124" s="3115">
        <v>0.1</v>
      </c>
      <c r="F124" s="3115">
        <v>15</v>
      </c>
    </row>
    <row r="125" spans="1:6" ht="24">
      <c r="A125" s="3115">
        <v>53</v>
      </c>
      <c r="B125" s="3927"/>
      <c r="C125" s="3115" t="s">
        <v>2760</v>
      </c>
      <c r="D125" s="3089" t="s">
        <v>2761</v>
      </c>
      <c r="E125" s="3115">
        <v>0.1</v>
      </c>
      <c r="F125" s="3115">
        <v>15</v>
      </c>
    </row>
    <row r="126" spans="1:6" ht="13.5">
      <c r="A126" s="3115">
        <v>54</v>
      </c>
      <c r="B126" s="3115" t="s">
        <v>2762</v>
      </c>
      <c r="C126" s="3115" t="s">
        <v>2763</v>
      </c>
      <c r="D126" s="3089" t="s">
        <v>2764</v>
      </c>
      <c r="E126" s="3115">
        <v>0.1</v>
      </c>
      <c r="F126" s="3115">
        <v>15</v>
      </c>
    </row>
    <row r="127" spans="1:6" ht="13.5">
      <c r="A127" s="3115">
        <v>55</v>
      </c>
      <c r="B127" s="3927" t="s">
        <v>2765</v>
      </c>
      <c r="C127" s="3115" t="s">
        <v>2766</v>
      </c>
      <c r="D127" s="3089" t="s">
        <v>2767</v>
      </c>
      <c r="E127" s="3115">
        <v>0.1</v>
      </c>
      <c r="F127" s="3115">
        <v>15</v>
      </c>
    </row>
    <row r="128" spans="1:6" ht="13.5">
      <c r="A128" s="3115">
        <v>56</v>
      </c>
      <c r="B128" s="3927"/>
      <c r="C128" s="3115" t="s">
        <v>2768</v>
      </c>
      <c r="D128" s="3089" t="s">
        <v>2769</v>
      </c>
      <c r="E128" s="3115">
        <v>0.1</v>
      </c>
      <c r="F128" s="3115">
        <v>15</v>
      </c>
    </row>
    <row r="129" spans="1:6" ht="24">
      <c r="A129" s="3115">
        <v>57</v>
      </c>
      <c r="B129" s="3927"/>
      <c r="C129" s="3115" t="s">
        <v>2770</v>
      </c>
      <c r="D129" s="3089" t="s">
        <v>2771</v>
      </c>
      <c r="E129" s="3115">
        <v>0.1</v>
      </c>
      <c r="F129" s="3115">
        <v>15</v>
      </c>
    </row>
    <row r="130" spans="1:6" ht="24">
      <c r="A130" s="3115">
        <v>58</v>
      </c>
      <c r="B130" s="3927" t="s">
        <v>2772</v>
      </c>
      <c r="C130" s="3115" t="s">
        <v>2773</v>
      </c>
      <c r="D130" s="3089" t="s">
        <v>2774</v>
      </c>
      <c r="E130" s="3115">
        <v>0.1</v>
      </c>
      <c r="F130" s="3115">
        <v>15</v>
      </c>
    </row>
    <row r="131" spans="1:6" ht="13.5">
      <c r="A131" s="3115">
        <v>59</v>
      </c>
      <c r="B131" s="3927"/>
      <c r="C131" s="3115" t="s">
        <v>2775</v>
      </c>
      <c r="D131" s="3089" t="s">
        <v>2776</v>
      </c>
      <c r="E131" s="3115">
        <v>0.1</v>
      </c>
      <c r="F131" s="3115">
        <v>15</v>
      </c>
    </row>
    <row r="132" spans="1:6" ht="13.5">
      <c r="A132" s="3115">
        <v>60</v>
      </c>
      <c r="B132" s="3922" t="s">
        <v>2777</v>
      </c>
      <c r="C132" s="3115" t="s">
        <v>2778</v>
      </c>
      <c r="D132" s="3089" t="s">
        <v>2779</v>
      </c>
      <c r="E132" s="3115">
        <v>0.1</v>
      </c>
      <c r="F132" s="3115">
        <v>15</v>
      </c>
    </row>
    <row r="133" spans="1:6" ht="13.5">
      <c r="A133" s="3115">
        <v>61</v>
      </c>
      <c r="B133" s="3926"/>
      <c r="C133" s="3115" t="s">
        <v>2780</v>
      </c>
      <c r="D133" s="3089" t="s">
        <v>2781</v>
      </c>
      <c r="E133" s="3115">
        <v>0.1</v>
      </c>
      <c r="F133" s="3115">
        <v>15</v>
      </c>
    </row>
    <row r="134" spans="1:6" ht="24">
      <c r="A134" s="3115">
        <v>62</v>
      </c>
      <c r="B134" s="3115" t="s">
        <v>2782</v>
      </c>
      <c r="C134" s="3115" t="s">
        <v>2783</v>
      </c>
      <c r="D134" s="3089" t="s">
        <v>2784</v>
      </c>
      <c r="E134" s="3115">
        <v>0.1</v>
      </c>
      <c r="F134" s="3115">
        <v>15</v>
      </c>
    </row>
    <row r="135" spans="1:6" ht="13.5">
      <c r="A135" s="3115">
        <v>63</v>
      </c>
      <c r="B135" s="3927" t="s">
        <v>2785</v>
      </c>
      <c r="C135" s="3115" t="s">
        <v>2786</v>
      </c>
      <c r="D135" s="3089" t="s">
        <v>2787</v>
      </c>
      <c r="E135" s="3115">
        <v>0.1</v>
      </c>
      <c r="F135" s="3115">
        <v>15</v>
      </c>
    </row>
    <row r="136" spans="1:6" ht="13.5">
      <c r="A136" s="3115">
        <v>64</v>
      </c>
      <c r="B136" s="3927"/>
      <c r="C136" s="3115" t="s">
        <v>2788</v>
      </c>
      <c r="D136" s="3089" t="s">
        <v>2789</v>
      </c>
      <c r="E136" s="3115">
        <v>0.1</v>
      </c>
      <c r="F136" s="3115">
        <v>15</v>
      </c>
    </row>
    <row r="137" spans="1:6" ht="13.5">
      <c r="A137" s="3115">
        <v>65</v>
      </c>
      <c r="B137" s="3115" t="s">
        <v>2790</v>
      </c>
      <c r="C137" s="3115" t="s">
        <v>2791</v>
      </c>
      <c r="D137" s="3089" t="s">
        <v>2792</v>
      </c>
      <c r="E137" s="3115">
        <v>0.1</v>
      </c>
      <c r="F137" s="3115">
        <v>15</v>
      </c>
    </row>
    <row r="138" spans="1:6" ht="13.5">
      <c r="A138" s="3115"/>
      <c r="B138" s="3115"/>
      <c r="C138" s="3115"/>
      <c r="D138" s="3115"/>
      <c r="E138" s="3115" t="s">
        <v>2793</v>
      </c>
      <c r="F138" s="311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2794</v>
      </c>
      <c r="B1" s="3124"/>
      <c r="C1" s="3124"/>
      <c r="D1" s="3124"/>
      <c r="E1" s="3124"/>
      <c r="F1" s="3124"/>
      <c r="G1" s="3124"/>
      <c r="H1" s="3124"/>
      <c r="I1" s="3124"/>
      <c r="J1" s="3124"/>
      <c r="K1" s="3124"/>
      <c r="L1" s="3124"/>
      <c r="M1" s="3124"/>
      <c r="N1" s="749"/>
    </row>
    <row r="2" spans="1:20">
      <c r="A2" s="3125" t="s">
        <v>2795</v>
      </c>
      <c r="B2" s="3126" t="s">
        <v>2591</v>
      </c>
      <c r="C2" s="3126" t="s">
        <v>2592</v>
      </c>
      <c r="D2" s="3126" t="s">
        <v>2593</v>
      </c>
      <c r="E2" s="3126" t="s">
        <v>2594</v>
      </c>
      <c r="F2" s="3126" t="s">
        <v>2595</v>
      </c>
      <c r="G2" s="3126" t="s">
        <v>2596</v>
      </c>
      <c r="H2" s="3127" t="s">
        <v>2597</v>
      </c>
      <c r="I2" s="3127" t="s">
        <v>2598</v>
      </c>
      <c r="J2" s="3128" t="s">
        <v>2599</v>
      </c>
      <c r="K2" s="3128" t="s">
        <v>2600</v>
      </c>
      <c r="L2" s="3128" t="s">
        <v>2601</v>
      </c>
      <c r="M2" s="3129" t="s">
        <v>2602</v>
      </c>
      <c r="Q2" s="3139" t="s">
        <v>2800</v>
      </c>
      <c r="R2" s="3139" t="s">
        <v>2801</v>
      </c>
      <c r="S2" s="3139" t="s">
        <v>2802</v>
      </c>
      <c r="T2" s="3139" t="s">
        <v>2803</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2796</v>
      </c>
      <c r="B93" s="3124"/>
      <c r="C93" s="3124"/>
      <c r="D93" s="3124"/>
      <c r="E93" s="3124"/>
      <c r="F93" s="3124"/>
      <c r="G93" s="3124"/>
      <c r="H93" s="3124"/>
      <c r="I93" s="3124"/>
      <c r="J93" s="3124"/>
      <c r="K93" s="3124"/>
      <c r="L93" s="3124"/>
      <c r="M93" s="3124"/>
    </row>
    <row r="94" spans="1:20">
      <c r="A94" s="3125" t="s">
        <v>2795</v>
      </c>
      <c r="B94" s="3126" t="s">
        <v>2591</v>
      </c>
      <c r="C94" s="3126" t="s">
        <v>2592</v>
      </c>
      <c r="D94" s="3126" t="s">
        <v>2593</v>
      </c>
      <c r="E94" s="3126" t="s">
        <v>2594</v>
      </c>
      <c r="F94" s="3126" t="s">
        <v>2595</v>
      </c>
      <c r="G94" s="3126" t="s">
        <v>2596</v>
      </c>
      <c r="H94" s="3127" t="s">
        <v>2597</v>
      </c>
      <c r="I94" s="3127" t="s">
        <v>2598</v>
      </c>
      <c r="J94" s="3128" t="s">
        <v>2599</v>
      </c>
      <c r="K94" s="3128" t="s">
        <v>2600</v>
      </c>
      <c r="L94" s="3128" t="s">
        <v>2601</v>
      </c>
      <c r="M94" s="3129" t="s">
        <v>2602</v>
      </c>
      <c r="N94" s="750">
        <f>SUMPRODUCT((A95:A184=ROUNDDOWN(基准地价修正!G3,1))*(B94:M94=基准地价修正!G2)*(B95:M184))</f>
        <v>0</v>
      </c>
      <c r="Q94" s="3139" t="s">
        <v>2800</v>
      </c>
      <c r="R94" s="3139" t="s">
        <v>2801</v>
      </c>
      <c r="S94" s="3139" t="s">
        <v>2802</v>
      </c>
      <c r="T94" s="3139" t="s">
        <v>2803</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2797</v>
      </c>
      <c r="B185" s="3124"/>
      <c r="C185" s="3124"/>
      <c r="D185" s="3124"/>
      <c r="E185" s="3124"/>
      <c r="F185" s="3124"/>
      <c r="G185" s="3124"/>
      <c r="H185" s="3124"/>
      <c r="I185" s="3124"/>
      <c r="J185" s="3124"/>
      <c r="K185" s="3124"/>
      <c r="L185" s="3124"/>
      <c r="M185" s="3124"/>
    </row>
    <row r="186" spans="1:20">
      <c r="A186" s="3125" t="s">
        <v>2795</v>
      </c>
      <c r="B186" s="3126" t="s">
        <v>2591</v>
      </c>
      <c r="C186" s="3126" t="s">
        <v>2592</v>
      </c>
      <c r="D186" s="3126" t="s">
        <v>2593</v>
      </c>
      <c r="E186" s="3126" t="s">
        <v>2594</v>
      </c>
      <c r="F186" s="3126" t="s">
        <v>2595</v>
      </c>
      <c r="G186" s="3126" t="s">
        <v>2596</v>
      </c>
      <c r="H186" s="3127" t="s">
        <v>2597</v>
      </c>
      <c r="I186" s="3127" t="s">
        <v>2598</v>
      </c>
      <c r="J186" s="3128" t="s">
        <v>2599</v>
      </c>
      <c r="K186" s="3128" t="s">
        <v>2600</v>
      </c>
      <c r="L186" s="3128" t="s">
        <v>2601</v>
      </c>
      <c r="M186" s="3129" t="s">
        <v>2602</v>
      </c>
      <c r="Q186" s="3139" t="s">
        <v>2800</v>
      </c>
      <c r="R186" s="3139" t="s">
        <v>2801</v>
      </c>
      <c r="S186" s="3139" t="s">
        <v>2802</v>
      </c>
      <c r="T186" s="3139" t="s">
        <v>2803</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2798</v>
      </c>
      <c r="B277" s="3124"/>
      <c r="C277" s="3124"/>
      <c r="D277" s="3124"/>
      <c r="E277" s="3124"/>
      <c r="F277" s="3124"/>
      <c r="G277" s="3124"/>
      <c r="H277" s="3124"/>
      <c r="I277" s="3124"/>
      <c r="J277" s="3124"/>
      <c r="K277" s="3124"/>
      <c r="L277" s="3124"/>
      <c r="M277" s="3124"/>
    </row>
    <row r="278" spans="1:21">
      <c r="A278" s="3125" t="s">
        <v>2795</v>
      </c>
      <c r="B278" s="3126" t="s">
        <v>2591</v>
      </c>
      <c r="C278" s="3126" t="s">
        <v>2592</v>
      </c>
      <c r="D278" s="3126" t="s">
        <v>2593</v>
      </c>
      <c r="E278" s="3126" t="s">
        <v>2594</v>
      </c>
      <c r="F278" s="3126" t="s">
        <v>2595</v>
      </c>
      <c r="G278" s="3126" t="s">
        <v>2596</v>
      </c>
      <c r="H278" s="3127" t="s">
        <v>2597</v>
      </c>
      <c r="I278" s="3127" t="s">
        <v>2598</v>
      </c>
      <c r="J278" s="3128" t="s">
        <v>2599</v>
      </c>
      <c r="K278" s="3128" t="s">
        <v>2600</v>
      </c>
      <c r="L278" s="3128" t="s">
        <v>2601</v>
      </c>
      <c r="M278" s="3129" t="s">
        <v>2602</v>
      </c>
      <c r="Q278" s="3139" t="s">
        <v>2800</v>
      </c>
      <c r="R278" s="3139" t="s">
        <v>2801</v>
      </c>
      <c r="S278" s="3139" t="s">
        <v>2804</v>
      </c>
      <c r="T278" s="3139" t="s">
        <v>2805</v>
      </c>
      <c r="U278" s="3139" t="s">
        <v>2803</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2799</v>
      </c>
      <c r="B369" s="3137"/>
      <c r="C369" s="3137"/>
      <c r="D369" s="3137"/>
      <c r="E369" s="3137"/>
      <c r="F369" s="3137"/>
      <c r="G369" s="3137"/>
      <c r="H369" s="3137"/>
      <c r="I369" s="3137"/>
      <c r="J369" s="3137"/>
      <c r="K369" s="3137"/>
      <c r="L369" s="3137"/>
      <c r="M369" s="3137"/>
    </row>
    <row r="370" spans="1:20">
      <c r="A370" s="3125" t="s">
        <v>2795</v>
      </c>
      <c r="B370" s="3126" t="s">
        <v>2591</v>
      </c>
      <c r="C370" s="3126" t="s">
        <v>2592</v>
      </c>
      <c r="D370" s="3126" t="s">
        <v>2593</v>
      </c>
      <c r="E370" s="3126" t="s">
        <v>2594</v>
      </c>
      <c r="F370" s="3126" t="s">
        <v>2595</v>
      </c>
      <c r="G370" s="3126" t="s">
        <v>2596</v>
      </c>
      <c r="H370" s="3127" t="s">
        <v>2597</v>
      </c>
      <c r="I370" s="3127" t="s">
        <v>2598</v>
      </c>
      <c r="J370" s="3128" t="s">
        <v>2599</v>
      </c>
      <c r="K370" s="3128" t="s">
        <v>2600</v>
      </c>
      <c r="L370" s="3128" t="s">
        <v>2601</v>
      </c>
      <c r="M370" s="3129" t="s">
        <v>2602</v>
      </c>
      <c r="N370" s="750">
        <f>SUMPRODUCT((A371:A460=ROUNDDOWN(基准地价修正!G3,1))*(B370:M370=基准地价修正!G2)*(B371:M460))</f>
        <v>0</v>
      </c>
      <c r="Q370" s="3139" t="s">
        <v>2800</v>
      </c>
      <c r="R370" s="3139" t="s">
        <v>2801</v>
      </c>
      <c r="S370" s="3139" t="s">
        <v>2802</v>
      </c>
      <c r="T370" s="3139" t="s">
        <v>2803</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52</v>
      </c>
      <c r="B1" s="197"/>
      <c r="C1" s="198"/>
      <c r="D1" s="198"/>
      <c r="E1" s="198"/>
      <c r="F1" s="198"/>
      <c r="G1" s="199"/>
    </row>
    <row r="2" spans="1:7" s="200" customFormat="1" ht="18" customHeight="1">
      <c r="A2" s="201" t="s">
        <v>53</v>
      </c>
      <c r="B2" s="202" t="e">
        <f ca="1">C52</f>
        <v>#DIV/0!</v>
      </c>
      <c r="C2" s="2" t="s">
        <v>102</v>
      </c>
      <c r="D2" s="199"/>
      <c r="E2" s="199"/>
      <c r="F2" s="199"/>
      <c r="G2" s="199"/>
    </row>
    <row r="3" spans="1:7" s="200" customFormat="1" ht="18" customHeight="1" thickBot="1">
      <c r="A3" s="203" t="s">
        <v>54</v>
      </c>
      <c r="B3" s="204" t="e">
        <f ca="1">ROUND(B2*10000/'数据-汇总表'!E3,0)</f>
        <v>#DIV/0!</v>
      </c>
      <c r="C3" s="2" t="s">
        <v>103</v>
      </c>
      <c r="D3" s="199"/>
      <c r="E3" s="199"/>
      <c r="F3" s="199"/>
      <c r="G3" s="199"/>
    </row>
    <row r="4" spans="1:7" s="208" customFormat="1" ht="15.75">
      <c r="A4" s="205" t="s">
        <v>55</v>
      </c>
      <c r="B4" s="206"/>
      <c r="C4" s="206"/>
      <c r="D4" s="206"/>
      <c r="E4" s="206"/>
      <c r="F4" s="206"/>
      <c r="G4" s="207"/>
    </row>
    <row r="5" spans="1:7" s="214" customFormat="1" ht="13.5" customHeight="1">
      <c r="A5" s="255" t="s">
        <v>412</v>
      </c>
      <c r="B5" s="210" t="s">
        <v>56</v>
      </c>
      <c r="C5" s="211">
        <f>C6+C7+C8</f>
        <v>20610</v>
      </c>
      <c r="D5" s="211" t="s">
        <v>57</v>
      </c>
      <c r="E5" s="212" t="s">
        <v>58</v>
      </c>
      <c r="F5" s="212" t="s">
        <v>59</v>
      </c>
      <c r="G5" s="213"/>
    </row>
    <row r="6" spans="1:7" s="214" customFormat="1" ht="13.5" customHeight="1">
      <c r="A6" s="778" t="s">
        <v>342</v>
      </c>
      <c r="B6" s="215" t="s">
        <v>60</v>
      </c>
      <c r="C6" s="216">
        <v>20000</v>
      </c>
      <c r="D6" s="217"/>
      <c r="E6" s="218"/>
      <c r="F6" s="218"/>
      <c r="G6" s="219"/>
    </row>
    <row r="7" spans="1:7" s="214" customFormat="1" ht="13.5" customHeight="1">
      <c r="A7" s="778" t="s">
        <v>343</v>
      </c>
      <c r="B7" s="215" t="s">
        <v>26</v>
      </c>
      <c r="C7" s="220">
        <f>ROUND(C6*F7,0)</f>
        <v>610</v>
      </c>
      <c r="D7" s="220"/>
      <c r="E7" s="218"/>
      <c r="F7" s="221">
        <f>'数据-取费表'!B48+'数据-取费表'!B49</f>
        <v>3.0499999999999999E-2</v>
      </c>
      <c r="G7" s="219"/>
    </row>
    <row r="8" spans="1:7" s="223" customFormat="1">
      <c r="A8" s="778" t="s">
        <v>344</v>
      </c>
      <c r="B8" s="215" t="s">
        <v>61</v>
      </c>
      <c r="C8" s="220" t="str">
        <f>IF(G8="已包含在土地购买价格中","0",'数据-取费表'!B29)</f>
        <v>0</v>
      </c>
      <c r="D8" s="222"/>
      <c r="E8" s="220"/>
      <c r="F8" s="221"/>
      <c r="G8" s="1" t="s">
        <v>447</v>
      </c>
    </row>
    <row r="9" spans="1:7" s="214" customFormat="1" ht="13.5" customHeight="1">
      <c r="A9" s="779" t="s">
        <v>351</v>
      </c>
      <c r="B9" s="224" t="s">
        <v>62</v>
      </c>
      <c r="C9" s="225">
        <f>ROUND(D9*E9/10000,0)</f>
        <v>1</v>
      </c>
      <c r="D9" s="845">
        <f>'数据-汇总表'!E5</f>
        <v>85.3</v>
      </c>
      <c r="E9" s="225">
        <f>'数据-取费表'!B27</f>
        <v>160</v>
      </c>
      <c r="F9" s="221"/>
      <c r="G9" s="226"/>
    </row>
    <row r="10" spans="1:7" s="214" customFormat="1" ht="13.5" customHeight="1">
      <c r="A10" s="779" t="s">
        <v>352</v>
      </c>
      <c r="B10" s="224" t="s">
        <v>63</v>
      </c>
      <c r="C10" s="225">
        <f>ROUND(D10*E10/10000,0)</f>
        <v>0</v>
      </c>
      <c r="D10" s="845">
        <f>'数据-汇总表'!E6</f>
        <v>0</v>
      </c>
      <c r="E10" s="225">
        <f>'数据-取费表'!B28</f>
        <v>200</v>
      </c>
      <c r="F10" s="221"/>
      <c r="G10" s="226"/>
    </row>
    <row r="11" spans="1:7" s="214" customFormat="1" ht="13.5" hidden="1" customHeight="1">
      <c r="A11" s="227" t="s">
        <v>4</v>
      </c>
      <c r="B11" s="215" t="s">
        <v>64</v>
      </c>
      <c r="C11" s="211"/>
      <c r="D11" s="847"/>
      <c r="E11" s="218"/>
      <c r="F11" s="218"/>
      <c r="G11" s="219"/>
    </row>
    <row r="12" spans="1:7" s="214" customFormat="1" ht="13.5" hidden="1" customHeight="1">
      <c r="A12" s="227" t="s">
        <v>5</v>
      </c>
      <c r="B12" s="215" t="s">
        <v>65</v>
      </c>
      <c r="C12" s="211">
        <v>0</v>
      </c>
      <c r="D12" s="847"/>
      <c r="E12" s="228"/>
      <c r="F12" s="221">
        <v>3.0499999999999999E-2</v>
      </c>
      <c r="G12" s="219"/>
    </row>
    <row r="13" spans="1:7" s="214" customFormat="1" ht="13.5" hidden="1" customHeight="1">
      <c r="A13" s="227" t="s">
        <v>6</v>
      </c>
      <c r="B13" s="215" t="s">
        <v>66</v>
      </c>
      <c r="C13" s="211"/>
      <c r="D13" s="847"/>
      <c r="E13" s="218"/>
      <c r="F13" s="218"/>
      <c r="G13" s="219"/>
    </row>
    <row r="14" spans="1:7" s="214" customFormat="1" ht="13.5" hidden="1" customHeight="1">
      <c r="A14" s="227" t="s">
        <v>7</v>
      </c>
      <c r="B14" s="215" t="s">
        <v>61</v>
      </c>
      <c r="C14" s="211"/>
      <c r="D14" s="847"/>
      <c r="E14" s="218"/>
      <c r="F14" s="218"/>
      <c r="G14" s="219" t="s">
        <v>67</v>
      </c>
    </row>
    <row r="15" spans="1:7" s="214" customFormat="1" ht="13.5" hidden="1" customHeight="1">
      <c r="A15" s="227" t="s">
        <v>8</v>
      </c>
      <c r="B15" s="215" t="s">
        <v>68</v>
      </c>
      <c r="C15" s="220"/>
      <c r="D15" s="847"/>
      <c r="E15" s="218"/>
      <c r="F15" s="218"/>
      <c r="G15" s="219" t="s">
        <v>69</v>
      </c>
    </row>
    <row r="16" spans="1:7" s="214" customFormat="1" ht="13.5" hidden="1" customHeight="1">
      <c r="A16" s="227" t="s">
        <v>9</v>
      </c>
      <c r="B16" s="215" t="s">
        <v>61</v>
      </c>
      <c r="C16" s="220"/>
      <c r="D16" s="847"/>
      <c r="E16" s="218"/>
      <c r="F16" s="218"/>
      <c r="G16" s="219"/>
    </row>
    <row r="17" spans="1:7" s="214" customFormat="1" ht="13.5" hidden="1" customHeight="1">
      <c r="A17" s="227" t="s">
        <v>10</v>
      </c>
      <c r="B17" s="215" t="s">
        <v>70</v>
      </c>
      <c r="C17" s="229"/>
      <c r="D17" s="848"/>
      <c r="E17" s="229"/>
      <c r="F17" s="229"/>
      <c r="G17" s="219" t="s">
        <v>69</v>
      </c>
    </row>
    <row r="18" spans="1:7" s="214" customFormat="1" ht="13.5" hidden="1" customHeight="1">
      <c r="A18" s="227" t="s">
        <v>11</v>
      </c>
      <c r="B18" s="215" t="s">
        <v>71</v>
      </c>
      <c r="C18" s="220">
        <v>0</v>
      </c>
      <c r="D18" s="847"/>
      <c r="E18" s="218"/>
      <c r="F18" s="221">
        <v>3.0499999999999999E-2</v>
      </c>
      <c r="G18" s="219" t="s">
        <v>72</v>
      </c>
    </row>
    <row r="19" spans="1:7" s="223" customFormat="1" ht="13.5" customHeight="1">
      <c r="A19" s="777" t="s">
        <v>413</v>
      </c>
      <c r="B19" s="210" t="s">
        <v>80</v>
      </c>
      <c r="C19" s="211">
        <f>IF(G19="已包含在土地取得成本中","0",ROUND(D19*E19/10000,0))</f>
        <v>2</v>
      </c>
      <c r="D19" s="849">
        <f>'数据-汇总表'!E3</f>
        <v>85.3</v>
      </c>
      <c r="E19" s="211">
        <f>'数据-取费表'!B31</f>
        <v>200</v>
      </c>
      <c r="F19" s="231"/>
      <c r="G19" s="1" t="s">
        <v>432</v>
      </c>
    </row>
    <row r="20" spans="1:7" s="214" customFormat="1" ht="13.5" customHeight="1">
      <c r="A20" s="777" t="s">
        <v>415</v>
      </c>
      <c r="B20" s="210" t="s">
        <v>73</v>
      </c>
      <c r="C20" s="232">
        <f>ROUND((C5+C19)*F20,0)</f>
        <v>412</v>
      </c>
      <c r="D20" s="232"/>
      <c r="E20" s="232"/>
      <c r="F20" s="233">
        <f>'数据-取费表'!B37</f>
        <v>0.02</v>
      </c>
      <c r="G20" s="1067" t="s">
        <v>426</v>
      </c>
    </row>
    <row r="21" spans="1:7" s="214" customFormat="1" ht="13.5" customHeight="1">
      <c r="A21" s="777" t="s">
        <v>417</v>
      </c>
      <c r="B21" s="210" t="s">
        <v>74</v>
      </c>
      <c r="C21" s="235">
        <f>F21</f>
        <v>0.02</v>
      </c>
      <c r="D21" s="236" t="s">
        <v>95</v>
      </c>
      <c r="E21" s="232"/>
      <c r="F21" s="233">
        <f>'数据-取费表'!B38</f>
        <v>0.02</v>
      </c>
      <c r="G21" s="234" t="s">
        <v>75</v>
      </c>
    </row>
    <row r="22" spans="1:7" s="214" customFormat="1" ht="13.5" customHeight="1">
      <c r="A22" s="777" t="s">
        <v>337</v>
      </c>
      <c r="B22" s="210" t="s">
        <v>76</v>
      </c>
      <c r="C22" s="1104">
        <f ca="1">ROUND(SUM(C23:C25),0)</f>
        <v>1547</v>
      </c>
      <c r="D22" s="235">
        <f ca="1">C26</f>
        <v>6.9999999999999999E-4</v>
      </c>
      <c r="E22" s="236" t="s">
        <v>95</v>
      </c>
      <c r="F22" s="237">
        <f ca="1">'数据-取费表'!B40</f>
        <v>3.6499999999999998E-2</v>
      </c>
      <c r="G22" s="1067" t="str">
        <f>IF('数据-取费表'!B22&lt;=1,"单利计息","复利计息")</f>
        <v>复利计息</v>
      </c>
    </row>
    <row r="23" spans="1:7" s="214" customFormat="1" ht="13.5" customHeight="1">
      <c r="A23" s="780" t="s">
        <v>345</v>
      </c>
      <c r="B23" s="215" t="s">
        <v>419</v>
      </c>
      <c r="C23" s="1105">
        <f ca="1">ROUND(IF('数据-取费表'!B22&lt;=1,C5*F22*'数据-取费表'!B23,C5*(POWER((1+F22),'数据-取费表'!B23)-1)),0)</f>
        <v>1532</v>
      </c>
      <c r="D23" s="238"/>
      <c r="E23" s="238"/>
      <c r="F23" s="239"/>
      <c r="G23" s="240" t="s">
        <v>77</v>
      </c>
    </row>
    <row r="24" spans="1:7" s="214" customFormat="1" ht="13.5" customHeight="1">
      <c r="A24" s="780" t="s">
        <v>343</v>
      </c>
      <c r="B24" s="215" t="s">
        <v>414</v>
      </c>
      <c r="C24" s="1105">
        <f ca="1">ROUND(IF('数据-取费表'!B22&lt;=1,C19*F22*('数据-取费表'!B19/2+'数据-取费表'!B21),C19*(POWER((1+F22),('数据-取费表'!B19/2+'数据-取费表'!B21))-1)),0)</f>
        <v>0</v>
      </c>
      <c r="D24" s="238"/>
      <c r="E24" s="238"/>
      <c r="F24" s="239"/>
      <c r="G24" s="240" t="s">
        <v>78</v>
      </c>
    </row>
    <row r="25" spans="1:7" s="214" customFormat="1" ht="24">
      <c r="A25" s="780" t="s">
        <v>344</v>
      </c>
      <c r="B25" s="215" t="s">
        <v>416</v>
      </c>
      <c r="C25" s="1105">
        <f ca="1">ROUND(IF('数据-取费表'!B22&lt;=1,C20*F22*'数据-取费表'!B23/2,C20*(POWER((1+F22),'数据-取费表'!B23/2)-1)),0)</f>
        <v>15</v>
      </c>
      <c r="D25" s="238"/>
      <c r="E25" s="241"/>
      <c r="F25" s="239"/>
      <c r="G25" s="242" t="s">
        <v>79</v>
      </c>
    </row>
    <row r="26" spans="1:7" s="214" customFormat="1">
      <c r="A26" s="780" t="s">
        <v>346</v>
      </c>
      <c r="B26" s="215" t="s">
        <v>418</v>
      </c>
      <c r="C26" s="238">
        <f ca="1">ROUND(IF('数据-取费表'!B22&lt;=1,F21*F22*'数据-取费表'!B23/2,F21*(POWER((1+F22),'数据-取费表'!B23/2)-1)),4)</f>
        <v>6.9999999999999999E-4</v>
      </c>
      <c r="D26" s="238"/>
      <c r="E26" s="241"/>
      <c r="F26" s="239"/>
      <c r="G26" s="243"/>
    </row>
    <row r="27" spans="1:7" s="214" customFormat="1" ht="24.75">
      <c r="A27" s="777" t="s">
        <v>338</v>
      </c>
      <c r="B27" s="244" t="s">
        <v>81</v>
      </c>
      <c r="C27" s="245" t="e">
        <f>C28</f>
        <v>#DIV/0!</v>
      </c>
      <c r="D27" s="235" t="e">
        <f>C29</f>
        <v>#DIV/0!</v>
      </c>
      <c r="E27" s="236" t="s">
        <v>95</v>
      </c>
      <c r="F27" s="246" t="e">
        <f>'数据-取费表'!Q16</f>
        <v>#DIV/0!</v>
      </c>
      <c r="G27" s="247" t="s">
        <v>427</v>
      </c>
    </row>
    <row r="28" spans="1:7" s="214" customFormat="1" ht="13.5" customHeight="1">
      <c r="A28" s="780" t="s">
        <v>345</v>
      </c>
      <c r="B28" s="248" t="s">
        <v>420</v>
      </c>
      <c r="C28" s="249" t="e">
        <f>ROUND((C5+C19+C20)*F27*'数据-取费表'!B21/'数据-取费表'!B20,0)</f>
        <v>#DIV/0!</v>
      </c>
      <c r="D28" s="235"/>
      <c r="E28" s="236"/>
      <c r="F28" s="246"/>
      <c r="G28" s="247"/>
    </row>
    <row r="29" spans="1:7" s="214" customFormat="1" ht="13.5" customHeight="1">
      <c r="A29" s="780" t="s">
        <v>343</v>
      </c>
      <c r="B29" s="248" t="s">
        <v>421</v>
      </c>
      <c r="C29" s="238" t="e">
        <f>ROUND(C21*F27*'数据-取费表'!B21/'数据-取费表'!B20,4)</f>
        <v>#DIV/0!</v>
      </c>
      <c r="D29" s="235"/>
      <c r="E29" s="236"/>
      <c r="F29" s="246"/>
      <c r="G29" s="247"/>
    </row>
    <row r="30" spans="1:7" s="214" customFormat="1" ht="13.5" customHeight="1">
      <c r="A30" s="777" t="s">
        <v>339</v>
      </c>
      <c r="B30" s="210" t="s">
        <v>27</v>
      </c>
      <c r="C30" s="235">
        <f>F30</f>
        <v>5.6000000000000001E-2</v>
      </c>
      <c r="D30" s="236" t="s">
        <v>96</v>
      </c>
      <c r="E30" s="241"/>
      <c r="F30" s="237">
        <f>'数据-取费表'!B41</f>
        <v>5.6000000000000001E-2</v>
      </c>
      <c r="G30" s="234" t="s">
        <v>82</v>
      </c>
    </row>
    <row r="31" spans="1:7" ht="16.5" customHeight="1">
      <c r="A31" s="209">
        <v>1</v>
      </c>
      <c r="B31" s="210" t="s">
        <v>97</v>
      </c>
      <c r="C31" s="211" t="e">
        <f ca="1">ROUND((C5+C19+C20+C22+C27)/(1-C21-D22-D27-C30/(1+'数据-取费表'!B42)),0)</f>
        <v>#DIV/0!</v>
      </c>
      <c r="D31" s="230"/>
      <c r="E31" s="211"/>
      <c r="F31" s="250"/>
      <c r="G31" s="234" t="s">
        <v>428</v>
      </c>
    </row>
    <row r="32" spans="1:7" s="208" customFormat="1" ht="15.75">
      <c r="A32" s="252" t="s">
        <v>83</v>
      </c>
      <c r="B32" s="253"/>
      <c r="C32" s="253"/>
      <c r="D32" s="253"/>
      <c r="E32" s="253"/>
      <c r="F32" s="253"/>
      <c r="G32" s="254"/>
    </row>
    <row r="33" spans="1:7" s="214" customFormat="1" ht="13.5" customHeight="1">
      <c r="A33" s="255" t="s">
        <v>333</v>
      </c>
      <c r="B33" s="210" t="s">
        <v>84</v>
      </c>
      <c r="C33" s="256">
        <f>SUM(C34:C38)</f>
        <v>2</v>
      </c>
      <c r="D33" s="232"/>
      <c r="E33" s="212"/>
      <c r="F33" s="241"/>
      <c r="G33" s="234"/>
    </row>
    <row r="34" spans="1:7" s="258" customFormat="1" ht="13.5" customHeight="1">
      <c r="A34" s="780" t="s">
        <v>345</v>
      </c>
      <c r="B34" s="215" t="s">
        <v>28</v>
      </c>
      <c r="C34" s="220">
        <f>IF(F34=100%,'数据-取费表'!M16-SUMIF('数据-取费表'!C:C,"公共配套",'数据-取费表'!M:M),'数据-取费表'!O16-SUMIF('数据-取费表'!C:C,"公共配套",'数据-取费表'!O:O))</f>
        <v>0</v>
      </c>
      <c r="D34" s="217"/>
      <c r="E34" s="220"/>
      <c r="F34" s="257">
        <f>IF('数据-取费表'!B24=0,1,'数据-取费表'!N16)</f>
        <v>1</v>
      </c>
      <c r="G34" s="219" t="s">
        <v>85</v>
      </c>
    </row>
    <row r="35" spans="1:7" ht="13.5" customHeight="1">
      <c r="A35" s="780" t="s">
        <v>347</v>
      </c>
      <c r="B35" s="215" t="s">
        <v>29</v>
      </c>
      <c r="C35" s="220">
        <f>ROUND(C34*F35,0)</f>
        <v>0</v>
      </c>
      <c r="D35" s="220"/>
      <c r="E35" s="220"/>
      <c r="F35" s="259">
        <f>'数据-取费表'!B33</f>
        <v>0.03</v>
      </c>
      <c r="G35" s="219" t="s">
        <v>86</v>
      </c>
    </row>
    <row r="36" spans="1:7" ht="24">
      <c r="A36" s="780" t="s">
        <v>348</v>
      </c>
      <c r="B36" s="215" t="s">
        <v>30</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0.1</v>
      </c>
      <c r="G36" s="260" t="s">
        <v>31</v>
      </c>
    </row>
    <row r="37" spans="1:7" s="258" customFormat="1" ht="13.5" customHeight="1">
      <c r="A37" s="780" t="s">
        <v>349</v>
      </c>
      <c r="B37" s="215" t="s">
        <v>87</v>
      </c>
      <c r="C37" s="249">
        <f>ROUND(E37*D37*F34/10000,0)</f>
        <v>2</v>
      </c>
      <c r="D37" s="217">
        <f>'数据-汇总表'!E3</f>
        <v>85.3</v>
      </c>
      <c r="E37" s="249">
        <f>'数据-取费表'!B35</f>
        <v>200</v>
      </c>
      <c r="F37" s="259"/>
      <c r="G37" s="261" t="s">
        <v>88</v>
      </c>
    </row>
    <row r="38" spans="1:7" ht="13.5" customHeight="1">
      <c r="A38" s="780" t="s">
        <v>350</v>
      </c>
      <c r="B38" s="215" t="s">
        <v>32</v>
      </c>
      <c r="C38" s="220">
        <f>ROUND(C34*F38,0)</f>
        <v>0</v>
      </c>
      <c r="D38" s="220"/>
      <c r="E38" s="220"/>
      <c r="F38" s="259">
        <f>'数据-取费表'!B36</f>
        <v>1.4999999999999999E-2</v>
      </c>
      <c r="G38" s="219" t="s">
        <v>86</v>
      </c>
    </row>
    <row r="39" spans="1:7" s="214" customFormat="1" ht="13.5" customHeight="1">
      <c r="A39" s="777" t="s">
        <v>334</v>
      </c>
      <c r="B39" s="210" t="s">
        <v>73</v>
      </c>
      <c r="C39" s="232">
        <f>ROUND(C33*F20,0)</f>
        <v>0</v>
      </c>
      <c r="D39" s="232"/>
      <c r="E39" s="232"/>
      <c r="F39" s="233"/>
      <c r="G39" s="1067" t="s">
        <v>429</v>
      </c>
    </row>
    <row r="40" spans="1:7" s="214" customFormat="1" ht="13.5" customHeight="1">
      <c r="A40" s="777" t="s">
        <v>335</v>
      </c>
      <c r="B40" s="210" t="s">
        <v>74</v>
      </c>
      <c r="C40" s="262">
        <f>F21</f>
        <v>0.02</v>
      </c>
      <c r="D40" s="236" t="s">
        <v>98</v>
      </c>
      <c r="E40" s="232"/>
      <c r="F40" s="233"/>
      <c r="G40" s="234" t="s">
        <v>89</v>
      </c>
    </row>
    <row r="41" spans="1:7" s="214" customFormat="1" ht="13.5" customHeight="1">
      <c r="A41" s="777" t="s">
        <v>336</v>
      </c>
      <c r="B41" s="210" t="s">
        <v>76</v>
      </c>
      <c r="C41" s="232">
        <f ca="1">ROUND(SUM(C42:C43),0)</f>
        <v>0</v>
      </c>
      <c r="D41" s="235">
        <f ca="1">C44</f>
        <v>6.9999999999999999E-4</v>
      </c>
      <c r="E41" s="236" t="s">
        <v>98</v>
      </c>
      <c r="F41" s="237"/>
      <c r="G41" s="1067" t="str">
        <f>IF('数据-取费表'!B22&lt;=1,"单利计息","复利计息")</f>
        <v>复利计息</v>
      </c>
    </row>
    <row r="42" spans="1:7" ht="13.5" customHeight="1">
      <c r="A42" s="780" t="s">
        <v>345</v>
      </c>
      <c r="B42" s="215" t="s">
        <v>419</v>
      </c>
      <c r="C42" s="238">
        <f ca="1">ROUND(IF('数据-取费表'!B22&lt;=1,C33*F22*'数据-取费表'!B21/2,C33*(POWER((1+F22),'数据-取费表'!B21/2)-1)),0)</f>
        <v>0</v>
      </c>
      <c r="D42" s="238"/>
      <c r="E42" s="238"/>
      <c r="F42" s="239"/>
      <c r="G42" s="3739" t="s">
        <v>90</v>
      </c>
    </row>
    <row r="43" spans="1:7" ht="13.5" customHeight="1">
      <c r="A43" s="780" t="s">
        <v>343</v>
      </c>
      <c r="B43" s="215" t="s">
        <v>422</v>
      </c>
      <c r="C43" s="238">
        <f ca="1">ROUND(IF('数据-取费表'!B22&lt;=1,C39*F22*'数据-取费表'!B21/2,C39*(POWER((1+F22),'数据-取费表'!B21/2)-1)),0)</f>
        <v>0</v>
      </c>
      <c r="D43" s="238"/>
      <c r="E43" s="238"/>
      <c r="F43" s="239"/>
      <c r="G43" s="3740"/>
    </row>
    <row r="44" spans="1:7" ht="13.5" customHeight="1">
      <c r="A44" s="780" t="s">
        <v>344</v>
      </c>
      <c r="B44" s="215" t="s">
        <v>424</v>
      </c>
      <c r="C44" s="238">
        <f ca="1">ROUND(IF('数据-取费表'!B22&lt;=1,C40*F22*'数据-取费表'!B21/2,C40*(POWER((1+F22),'数据-取费表'!B21/2)-1)),4)</f>
        <v>6.9999999999999999E-4</v>
      </c>
      <c r="D44" s="238"/>
      <c r="E44" s="238"/>
      <c r="F44" s="239"/>
      <c r="G44" s="3741"/>
    </row>
    <row r="45" spans="1:7" s="214" customFormat="1" ht="13.5" customHeight="1">
      <c r="A45" s="777" t="s">
        <v>337</v>
      </c>
      <c r="B45" s="244" t="s">
        <v>81</v>
      </c>
      <c r="C45" s="245" t="e">
        <f>C46</f>
        <v>#DIV/0!</v>
      </c>
      <c r="D45" s="235" t="e">
        <f>C47</f>
        <v>#DIV/0!</v>
      </c>
      <c r="E45" s="236" t="s">
        <v>98</v>
      </c>
      <c r="F45" s="246"/>
      <c r="G45" s="247" t="s">
        <v>430</v>
      </c>
    </row>
    <row r="46" spans="1:7" s="214" customFormat="1" ht="13.5" customHeight="1">
      <c r="A46" s="780" t="s">
        <v>345</v>
      </c>
      <c r="B46" s="248" t="s">
        <v>423</v>
      </c>
      <c r="C46" s="249" t="e">
        <f>ROUND((C33+C39)*F27,0)</f>
        <v>#DIV/0!</v>
      </c>
      <c r="D46" s="263"/>
      <c r="E46" s="236"/>
      <c r="F46" s="246"/>
      <c r="G46" s="247"/>
    </row>
    <row r="47" spans="1:7" s="214" customFormat="1" ht="13.5" customHeight="1">
      <c r="A47" s="780" t="s">
        <v>343</v>
      </c>
      <c r="B47" s="248" t="s">
        <v>425</v>
      </c>
      <c r="C47" s="238" t="e">
        <f>ROUND(C40*F27,4)</f>
        <v>#DIV/0!</v>
      </c>
      <c r="D47" s="263"/>
      <c r="E47" s="236"/>
      <c r="F47" s="246"/>
      <c r="G47" s="247"/>
    </row>
    <row r="48" spans="1:7" s="214" customFormat="1" ht="13.5" customHeight="1">
      <c r="A48" s="777" t="s">
        <v>338</v>
      </c>
      <c r="B48" s="210" t="s">
        <v>91</v>
      </c>
      <c r="C48" s="262">
        <f>F30</f>
        <v>5.6000000000000001E-2</v>
      </c>
      <c r="D48" s="236" t="s">
        <v>99</v>
      </c>
      <c r="E48" s="232"/>
      <c r="F48" s="237"/>
      <c r="G48" s="234" t="s">
        <v>92</v>
      </c>
    </row>
    <row r="49" spans="1:7" ht="16.5" customHeight="1">
      <c r="A49" s="777" t="s">
        <v>339</v>
      </c>
      <c r="B49" s="210" t="s">
        <v>100</v>
      </c>
      <c r="C49" s="232" t="e">
        <f ca="1">ROUND((C33+C39+C41+C45)/(1-C40-D41-D45-C48/(1+'数据-取费表'!B42)),0)</f>
        <v>#DIV/0!</v>
      </c>
      <c r="D49" s="232"/>
      <c r="E49" s="232"/>
      <c r="F49" s="264"/>
      <c r="G49" s="234" t="s">
        <v>431</v>
      </c>
    </row>
    <row r="50" spans="1:7" s="258" customFormat="1" ht="24">
      <c r="A50" s="777" t="s">
        <v>340</v>
      </c>
      <c r="B50" s="210" t="s">
        <v>93</v>
      </c>
      <c r="C50" s="232"/>
      <c r="D50" s="232"/>
      <c r="E50" s="232"/>
      <c r="F50" s="264" t="e">
        <f>IF('数据-取费表'!B24=0,'数据-取费表'!N16,1)</f>
        <v>#DIV/0!</v>
      </c>
      <c r="G50" s="247" t="s">
        <v>94</v>
      </c>
    </row>
    <row r="51" spans="1:7" ht="16.5" customHeight="1">
      <c r="A51" s="777" t="s">
        <v>341</v>
      </c>
      <c r="B51" s="210" t="s">
        <v>101</v>
      </c>
      <c r="C51" s="232" t="e">
        <f ca="1">ROUND(C49*F50,0)</f>
        <v>#DIV/0!</v>
      </c>
      <c r="D51" s="232"/>
      <c r="E51" s="232"/>
      <c r="F51" s="264"/>
      <c r="G51" s="234" t="s">
        <v>33</v>
      </c>
    </row>
    <row r="52" spans="1:7" s="208" customFormat="1" ht="16.5" thickBot="1">
      <c r="A52" s="265" t="s">
        <v>34</v>
      </c>
      <c r="B52" s="266"/>
      <c r="C52" s="267" t="e">
        <f ca="1">C31+C51</f>
        <v>#DIV/0!</v>
      </c>
      <c r="D52" s="266"/>
      <c r="E52" s="266"/>
      <c r="F52" s="266"/>
      <c r="G52" s="268"/>
    </row>
    <row r="55" spans="1:7" ht="15">
      <c r="B55" s="270" t="s">
        <v>35</v>
      </c>
      <c r="C55" s="271"/>
    </row>
    <row r="56" spans="1:7">
      <c r="B56" s="273" t="s">
        <v>36</v>
      </c>
      <c r="C56" s="274" t="e">
        <f ca="1">ROUND(C51/C52,3)</f>
        <v>#DIV/0!</v>
      </c>
    </row>
    <row r="57" spans="1:7">
      <c r="B57" s="273" t="s">
        <v>37</v>
      </c>
      <c r="C57" s="275" t="e">
        <f ca="1">1-C56</f>
        <v>#DIV/0!</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930" t="s">
        <v>2839</v>
      </c>
      <c r="B1" s="3930"/>
      <c r="C1" s="3930"/>
      <c r="D1" s="3930"/>
      <c r="E1" s="3930"/>
      <c r="F1" s="3930"/>
      <c r="G1" s="3931"/>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928" t="s">
        <v>2866</v>
      </c>
      <c r="B3" s="3227"/>
      <c r="C3" s="3228" t="s">
        <v>2807</v>
      </c>
      <c r="D3" s="3228" t="s">
        <v>2867</v>
      </c>
      <c r="E3" s="3228" t="s">
        <v>2809</v>
      </c>
      <c r="F3" s="3228" t="s">
        <v>2868</v>
      </c>
      <c r="G3" s="3228" t="s">
        <v>2627</v>
      </c>
      <c r="H3" s="3229"/>
      <c r="I3" s="3230" t="s">
        <v>2869</v>
      </c>
      <c r="J3" s="3231" t="s">
        <v>124</v>
      </c>
      <c r="K3" s="3231" t="s">
        <v>125</v>
      </c>
      <c r="L3" s="3230" t="s">
        <v>126</v>
      </c>
      <c r="M3" s="3230" t="s">
        <v>127</v>
      </c>
      <c r="N3" s="3230" t="s">
        <v>128</v>
      </c>
      <c r="O3" s="3230" t="s">
        <v>129</v>
      </c>
      <c r="P3" s="3230" t="s">
        <v>130</v>
      </c>
      <c r="Q3" s="3230" t="s">
        <v>131</v>
      </c>
      <c r="R3" s="3230" t="s">
        <v>132</v>
      </c>
      <c r="S3" s="3230" t="s">
        <v>2870</v>
      </c>
      <c r="T3" s="3230" t="s">
        <v>2871</v>
      </c>
    </row>
    <row r="4" spans="1:20" s="3232" customFormat="1" ht="12" thickBot="1">
      <c r="A4" s="3929"/>
      <c r="B4" s="3233" t="s">
        <v>2872</v>
      </c>
      <c r="C4" s="3233" t="s">
        <v>2873</v>
      </c>
      <c r="D4" s="3233" t="s">
        <v>2873</v>
      </c>
      <c r="E4" s="3233" t="s">
        <v>2873</v>
      </c>
      <c r="F4" s="3234" t="s">
        <v>2873</v>
      </c>
      <c r="G4" s="3234" t="s">
        <v>2873</v>
      </c>
      <c r="H4" s="3229"/>
      <c r="I4" s="3231" t="s">
        <v>133</v>
      </c>
      <c r="J4" s="3231" t="s">
        <v>107</v>
      </c>
      <c r="K4" s="3231" t="s">
        <v>134</v>
      </c>
      <c r="L4" s="3230" t="s">
        <v>135</v>
      </c>
      <c r="M4" s="3230" t="s">
        <v>136</v>
      </c>
      <c r="N4" s="3230" t="s">
        <v>137</v>
      </c>
      <c r="O4" s="3230" t="s">
        <v>138</v>
      </c>
      <c r="P4" s="3230" t="s">
        <v>139</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141</v>
      </c>
      <c r="J5" s="3231" t="s">
        <v>142</v>
      </c>
      <c r="K5" s="3231" t="s">
        <v>143</v>
      </c>
      <c r="L5" s="3230" t="s">
        <v>144</v>
      </c>
      <c r="M5" s="3230" t="s">
        <v>145</v>
      </c>
      <c r="N5" s="3230" t="s">
        <v>146</v>
      </c>
      <c r="O5" s="3230" t="s">
        <v>147</v>
      </c>
      <c r="P5" s="3230" t="s">
        <v>148</v>
      </c>
      <c r="Q5" s="3230" t="s">
        <v>2878</v>
      </c>
      <c r="R5" s="3230" t="s">
        <v>2879</v>
      </c>
      <c r="S5" s="3230" t="s">
        <v>149</v>
      </c>
      <c r="T5" s="3230" t="s">
        <v>2880</v>
      </c>
    </row>
    <row r="6" spans="1:20" ht="12" thickBot="1">
      <c r="A6" s="3230" t="s">
        <v>140</v>
      </c>
      <c r="B6" s="3230" t="s">
        <v>2869</v>
      </c>
      <c r="C6" s="3230">
        <v>36990</v>
      </c>
      <c r="D6" s="3230">
        <v>36850</v>
      </c>
      <c r="E6" s="3230">
        <v>36700</v>
      </c>
      <c r="F6" s="3230">
        <v>14590</v>
      </c>
      <c r="G6" s="3230">
        <v>27450</v>
      </c>
      <c r="H6" s="3229"/>
      <c r="I6" s="3236" t="s">
        <v>150</v>
      </c>
      <c r="J6" s="3231" t="s">
        <v>151</v>
      </c>
      <c r="K6" s="3231" t="s">
        <v>152</v>
      </c>
      <c r="L6" s="3230" t="s">
        <v>153</v>
      </c>
      <c r="M6" s="3230" t="s">
        <v>154</v>
      </c>
      <c r="N6" s="3230" t="s">
        <v>155</v>
      </c>
      <c r="O6" s="3230" t="s">
        <v>156</v>
      </c>
      <c r="P6" s="3230" t="s">
        <v>2881</v>
      </c>
      <c r="Q6" s="3230" t="s">
        <v>2882</v>
      </c>
      <c r="R6" s="3230" t="s">
        <v>157</v>
      </c>
      <c r="S6" s="3230" t="s">
        <v>2883</v>
      </c>
      <c r="T6" s="3230" t="s">
        <v>2884</v>
      </c>
    </row>
    <row r="7" spans="1:20">
      <c r="A7" s="3230" t="s">
        <v>140</v>
      </c>
      <c r="B7" s="3231" t="s">
        <v>133</v>
      </c>
      <c r="C7" s="3230">
        <v>34850</v>
      </c>
      <c r="D7" s="3230">
        <v>34690</v>
      </c>
      <c r="E7" s="3230">
        <v>34550</v>
      </c>
      <c r="F7" s="3230">
        <v>14360</v>
      </c>
      <c r="G7" s="3230">
        <v>25620</v>
      </c>
      <c r="H7" s="3229"/>
      <c r="J7" s="3231" t="s">
        <v>158</v>
      </c>
      <c r="K7" s="3231" t="s">
        <v>159</v>
      </c>
      <c r="L7" s="3230" t="s">
        <v>160</v>
      </c>
      <c r="M7" s="3230" t="s">
        <v>161</v>
      </c>
      <c r="N7" s="3230" t="s">
        <v>162</v>
      </c>
      <c r="O7" s="3230" t="s">
        <v>163</v>
      </c>
      <c r="P7" s="3230" t="s">
        <v>2885</v>
      </c>
      <c r="Q7" s="3230" t="s">
        <v>2886</v>
      </c>
      <c r="R7" s="3230" t="s">
        <v>2887</v>
      </c>
      <c r="S7" s="3230" t="s">
        <v>2888</v>
      </c>
      <c r="T7" s="3230" t="s">
        <v>2889</v>
      </c>
    </row>
    <row r="8" spans="1:20" ht="12" thickBot="1">
      <c r="A8" s="3230" t="s">
        <v>140</v>
      </c>
      <c r="B8" s="3230" t="s">
        <v>141</v>
      </c>
      <c r="C8" s="3230">
        <v>32630</v>
      </c>
      <c r="D8" s="3230">
        <v>32510</v>
      </c>
      <c r="E8" s="3230">
        <v>32420</v>
      </c>
      <c r="F8" s="3230">
        <v>13300</v>
      </c>
      <c r="G8" s="3230">
        <v>24010</v>
      </c>
      <c r="H8" s="3229"/>
      <c r="J8" s="3231" t="s">
        <v>164</v>
      </c>
      <c r="K8" s="3231" t="s">
        <v>165</v>
      </c>
      <c r="L8" s="3230" t="s">
        <v>166</v>
      </c>
      <c r="M8" s="3230" t="s">
        <v>167</v>
      </c>
      <c r="N8" s="3230" t="s">
        <v>168</v>
      </c>
      <c r="O8" s="3230" t="s">
        <v>169</v>
      </c>
      <c r="P8" s="3230" t="s">
        <v>2890</v>
      </c>
      <c r="Q8" s="3230" t="s">
        <v>170</v>
      </c>
      <c r="R8" s="3230" t="s">
        <v>2891</v>
      </c>
      <c r="S8" s="3230" t="s">
        <v>2892</v>
      </c>
      <c r="T8" s="3237" t="s">
        <v>2893</v>
      </c>
    </row>
    <row r="9" spans="1:20" ht="12" thickBot="1">
      <c r="A9" s="3238" t="s">
        <v>140</v>
      </c>
      <c r="B9" s="3236" t="s">
        <v>150</v>
      </c>
      <c r="C9" s="3237">
        <v>36370</v>
      </c>
      <c r="D9" s="3237">
        <v>36210</v>
      </c>
      <c r="E9" s="3237">
        <v>36050</v>
      </c>
      <c r="F9" s="3237"/>
      <c r="G9" s="3237">
        <v>26740</v>
      </c>
      <c r="H9" s="3229"/>
      <c r="J9" s="3231" t="s">
        <v>171</v>
      </c>
      <c r="K9" s="3231" t="s">
        <v>172</v>
      </c>
      <c r="L9" s="3230" t="s">
        <v>173</v>
      </c>
      <c r="M9" s="3230" t="s">
        <v>174</v>
      </c>
      <c r="N9" s="3230" t="s">
        <v>175</v>
      </c>
      <c r="O9" s="3230" t="s">
        <v>176</v>
      </c>
      <c r="P9" s="3230" t="s">
        <v>2894</v>
      </c>
      <c r="Q9" s="3230" t="s">
        <v>178</v>
      </c>
      <c r="R9" s="3230" t="s">
        <v>179</v>
      </c>
      <c r="S9" s="3230" t="s">
        <v>196</v>
      </c>
    </row>
    <row r="10" spans="1:20">
      <c r="A10" s="3235" t="s">
        <v>180</v>
      </c>
      <c r="B10" s="3226" t="s">
        <v>2855</v>
      </c>
      <c r="C10" s="3230">
        <v>32350</v>
      </c>
      <c r="D10" s="3230">
        <v>31430</v>
      </c>
      <c r="E10" s="3230">
        <v>31320</v>
      </c>
      <c r="F10" s="3230">
        <v>10850</v>
      </c>
      <c r="G10" s="3230">
        <v>22860</v>
      </c>
      <c r="H10" s="3229"/>
      <c r="J10" s="3231" t="s">
        <v>181</v>
      </c>
      <c r="K10" s="3231" t="s">
        <v>182</v>
      </c>
      <c r="L10" s="3230" t="s">
        <v>183</v>
      </c>
      <c r="M10" s="3230" t="s">
        <v>184</v>
      </c>
      <c r="N10" s="3230" t="s">
        <v>185</v>
      </c>
      <c r="O10" s="3230" t="s">
        <v>186</v>
      </c>
      <c r="P10" s="3230" t="s">
        <v>177</v>
      </c>
      <c r="Q10" s="3230" t="s">
        <v>188</v>
      </c>
      <c r="R10" s="3230" t="s">
        <v>189</v>
      </c>
      <c r="S10" s="3230" t="s">
        <v>2895</v>
      </c>
    </row>
    <row r="11" spans="1:20">
      <c r="A11" s="3230" t="s">
        <v>180</v>
      </c>
      <c r="B11" s="3231" t="s">
        <v>124</v>
      </c>
      <c r="C11" s="3230">
        <v>31590</v>
      </c>
      <c r="D11" s="3230">
        <v>29490</v>
      </c>
      <c r="E11" s="3230">
        <v>28700</v>
      </c>
      <c r="F11" s="3230">
        <v>10410</v>
      </c>
      <c r="G11" s="3230">
        <v>21460</v>
      </c>
      <c r="H11" s="3229"/>
      <c r="J11" s="3231" t="s">
        <v>190</v>
      </c>
      <c r="K11" s="3231" t="s">
        <v>191</v>
      </c>
      <c r="L11" s="3230" t="s">
        <v>192</v>
      </c>
      <c r="M11" s="3230" t="s">
        <v>193</v>
      </c>
      <c r="N11" s="3230" t="s">
        <v>194</v>
      </c>
      <c r="O11" s="3230" t="s">
        <v>2896</v>
      </c>
      <c r="P11" s="3230" t="s">
        <v>187</v>
      </c>
      <c r="Q11" s="3230" t="s">
        <v>195</v>
      </c>
      <c r="R11" s="3230" t="s">
        <v>2897</v>
      </c>
      <c r="S11" s="3230" t="s">
        <v>2898</v>
      </c>
    </row>
    <row r="12" spans="1:20">
      <c r="A12" s="3230" t="s">
        <v>180</v>
      </c>
      <c r="B12" s="3231" t="s">
        <v>107</v>
      </c>
      <c r="C12" s="3230">
        <v>29640</v>
      </c>
      <c r="D12" s="3230">
        <v>27550</v>
      </c>
      <c r="E12" s="3230">
        <v>28010</v>
      </c>
      <c r="F12" s="3230">
        <v>8730</v>
      </c>
      <c r="G12" s="3230">
        <v>20050</v>
      </c>
      <c r="H12" s="3229"/>
      <c r="J12" s="3231" t="s">
        <v>197</v>
      </c>
      <c r="K12" s="3231" t="s">
        <v>198</v>
      </c>
      <c r="L12" s="3230" t="s">
        <v>199</v>
      </c>
      <c r="M12" s="3230" t="s">
        <v>200</v>
      </c>
      <c r="N12" s="3230" t="s">
        <v>201</v>
      </c>
      <c r="O12" s="3230" t="s">
        <v>2899</v>
      </c>
      <c r="P12" s="3230" t="s">
        <v>2900</v>
      </c>
      <c r="Q12" s="3230" t="s">
        <v>2901</v>
      </c>
      <c r="R12" s="3230" t="s">
        <v>2902</v>
      </c>
      <c r="S12" s="3230" t="s">
        <v>2903</v>
      </c>
    </row>
    <row r="13" spans="1:20">
      <c r="A13" s="3230" t="s">
        <v>180</v>
      </c>
      <c r="B13" s="3231" t="s">
        <v>142</v>
      </c>
      <c r="C13" s="3230">
        <v>29680</v>
      </c>
      <c r="D13" s="3230">
        <v>27660</v>
      </c>
      <c r="E13" s="3230">
        <v>28210</v>
      </c>
      <c r="F13" s="3230">
        <v>9590</v>
      </c>
      <c r="G13" s="3230">
        <v>20120</v>
      </c>
      <c r="H13" s="3229"/>
      <c r="J13" s="3231" t="s">
        <v>204</v>
      </c>
      <c r="K13" s="3231" t="s">
        <v>205</v>
      </c>
      <c r="L13" s="3230" t="s">
        <v>206</v>
      </c>
      <c r="M13" s="3230" t="s">
        <v>207</v>
      </c>
      <c r="N13" s="3230" t="s">
        <v>208</v>
      </c>
      <c r="O13" s="3230" t="s">
        <v>2904</v>
      </c>
      <c r="P13" s="3230" t="s">
        <v>202</v>
      </c>
      <c r="Q13" s="3230" t="s">
        <v>215</v>
      </c>
      <c r="R13" s="3230" t="s">
        <v>216</v>
      </c>
      <c r="S13" s="3230" t="s">
        <v>210</v>
      </c>
    </row>
    <row r="14" spans="1:20">
      <c r="A14" s="3230" t="s">
        <v>180</v>
      </c>
      <c r="B14" s="3231" t="s">
        <v>151</v>
      </c>
      <c r="C14" s="3230">
        <v>30520</v>
      </c>
      <c r="D14" s="3230">
        <v>29510</v>
      </c>
      <c r="E14" s="3230">
        <v>29400</v>
      </c>
      <c r="F14" s="3230">
        <v>9630</v>
      </c>
      <c r="G14" s="3230">
        <v>21480</v>
      </c>
      <c r="H14" s="3229"/>
      <c r="J14" s="3231" t="s">
        <v>2905</v>
      </c>
      <c r="K14" s="3231" t="s">
        <v>211</v>
      </c>
      <c r="L14" s="3230" t="s">
        <v>212</v>
      </c>
      <c r="M14" s="3230" t="s">
        <v>213</v>
      </c>
      <c r="N14" s="3230" t="s">
        <v>214</v>
      </c>
      <c r="O14" s="3230" t="s">
        <v>236</v>
      </c>
      <c r="P14" s="3230" t="s">
        <v>209</v>
      </c>
      <c r="Q14" s="3230" t="s">
        <v>2906</v>
      </c>
      <c r="R14" s="3230" t="s">
        <v>224</v>
      </c>
      <c r="S14" s="3230" t="s">
        <v>217</v>
      </c>
    </row>
    <row r="15" spans="1:20">
      <c r="A15" s="3230" t="s">
        <v>180</v>
      </c>
      <c r="B15" s="3231" t="s">
        <v>158</v>
      </c>
      <c r="C15" s="3230">
        <v>29090</v>
      </c>
      <c r="D15" s="3230">
        <v>27590</v>
      </c>
      <c r="E15" s="3230">
        <v>28120</v>
      </c>
      <c r="F15" s="3230">
        <v>9110</v>
      </c>
      <c r="G15" s="3230">
        <v>20070</v>
      </c>
      <c r="H15" s="3229"/>
      <c r="J15" s="3231" t="s">
        <v>218</v>
      </c>
      <c r="K15" s="3231" t="s">
        <v>219</v>
      </c>
      <c r="L15" s="3230" t="s">
        <v>220</v>
      </c>
      <c r="M15" s="3230" t="s">
        <v>221</v>
      </c>
      <c r="N15" s="3230" t="s">
        <v>222</v>
      </c>
      <c r="O15" s="3230" t="s">
        <v>2907</v>
      </c>
      <c r="P15" s="3230" t="s">
        <v>2908</v>
      </c>
      <c r="Q15" s="3230" t="s">
        <v>238</v>
      </c>
      <c r="R15" s="3230" t="s">
        <v>2909</v>
      </c>
      <c r="S15" s="3230" t="s">
        <v>225</v>
      </c>
    </row>
    <row r="16" spans="1:20">
      <c r="A16" s="3230" t="s">
        <v>180</v>
      </c>
      <c r="B16" s="3231" t="s">
        <v>164</v>
      </c>
      <c r="C16" s="3230">
        <v>26790</v>
      </c>
      <c r="D16" s="3230">
        <v>30370</v>
      </c>
      <c r="E16" s="3230">
        <v>30240</v>
      </c>
      <c r="F16" s="3230">
        <v>11590</v>
      </c>
      <c r="G16" s="3230">
        <v>22090</v>
      </c>
      <c r="H16" s="3229"/>
      <c r="J16" s="3231" t="s">
        <v>226</v>
      </c>
      <c r="K16" s="3231" t="s">
        <v>227</v>
      </c>
      <c r="L16" s="3230" t="s">
        <v>228</v>
      </c>
      <c r="M16" s="3230" t="s">
        <v>229</v>
      </c>
      <c r="N16" s="3230" t="s">
        <v>230</v>
      </c>
      <c r="O16" s="3230" t="s">
        <v>2910</v>
      </c>
      <c r="P16" s="3230" t="s">
        <v>223</v>
      </c>
      <c r="Q16" s="3230" t="s">
        <v>246</v>
      </c>
      <c r="R16" s="3230" t="s">
        <v>203</v>
      </c>
      <c r="S16" s="3230" t="s">
        <v>2911</v>
      </c>
    </row>
    <row r="17" spans="1:19" ht="14.25" customHeight="1">
      <c r="A17" s="3230" t="s">
        <v>180</v>
      </c>
      <c r="B17" s="3231" t="s">
        <v>171</v>
      </c>
      <c r="C17" s="3230">
        <v>29180</v>
      </c>
      <c r="D17" s="3230">
        <v>27620</v>
      </c>
      <c r="E17" s="3230">
        <v>28180</v>
      </c>
      <c r="F17" s="3230">
        <v>10790</v>
      </c>
      <c r="G17" s="3230">
        <v>20090</v>
      </c>
      <c r="H17" s="3229"/>
      <c r="J17" s="3231" t="s">
        <v>231</v>
      </c>
      <c r="K17" s="3231" t="s">
        <v>232</v>
      </c>
      <c r="L17" s="3230" t="s">
        <v>233</v>
      </c>
      <c r="M17" s="3230" t="s">
        <v>234</v>
      </c>
      <c r="N17" s="3230" t="s">
        <v>235</v>
      </c>
      <c r="O17" s="3230" t="s">
        <v>2912</v>
      </c>
      <c r="P17" s="3230" t="s">
        <v>2913</v>
      </c>
      <c r="Q17" s="3230" t="s">
        <v>252</v>
      </c>
      <c r="R17" s="3230" t="s">
        <v>2914</v>
      </c>
      <c r="S17" s="3230" t="s">
        <v>254</v>
      </c>
    </row>
    <row r="18" spans="1:19" ht="14.25" customHeight="1">
      <c r="A18" s="3230" t="s">
        <v>180</v>
      </c>
      <c r="B18" s="3231" t="s">
        <v>181</v>
      </c>
      <c r="C18" s="3230">
        <v>26840</v>
      </c>
      <c r="D18" s="3230">
        <v>28930</v>
      </c>
      <c r="E18" s="3230">
        <v>28820</v>
      </c>
      <c r="F18" s="3230"/>
      <c r="G18" s="3230">
        <v>21050</v>
      </c>
      <c r="H18" s="3229"/>
      <c r="J18" s="3231" t="s">
        <v>240</v>
      </c>
      <c r="K18" s="3231" t="s">
        <v>241</v>
      </c>
      <c r="L18" s="3230" t="s">
        <v>242</v>
      </c>
      <c r="M18" s="3230" t="s">
        <v>243</v>
      </c>
      <c r="N18" s="3230" t="s">
        <v>244</v>
      </c>
      <c r="O18" s="3230" t="s">
        <v>2915</v>
      </c>
      <c r="P18" s="3230" t="s">
        <v>237</v>
      </c>
      <c r="Q18" s="3230" t="s">
        <v>2916</v>
      </c>
      <c r="R18" s="3230" t="s">
        <v>253</v>
      </c>
      <c r="S18" s="3230" t="s">
        <v>262</v>
      </c>
    </row>
    <row r="19" spans="1:19" ht="14.25" customHeight="1">
      <c r="A19" s="3230" t="s">
        <v>180</v>
      </c>
      <c r="B19" s="3231" t="s">
        <v>190</v>
      </c>
      <c r="C19" s="3230">
        <v>27750</v>
      </c>
      <c r="D19" s="3230">
        <v>26680</v>
      </c>
      <c r="E19" s="3230">
        <v>26590</v>
      </c>
      <c r="F19" s="3230"/>
      <c r="G19" s="3230">
        <v>19420</v>
      </c>
      <c r="H19" s="3229"/>
      <c r="J19" s="3231" t="s">
        <v>247</v>
      </c>
      <c r="K19" s="3231" t="s">
        <v>248</v>
      </c>
      <c r="L19" s="3230" t="s">
        <v>249</v>
      </c>
      <c r="M19" s="3230" t="s">
        <v>250</v>
      </c>
      <c r="N19" s="3230" t="s">
        <v>251</v>
      </c>
      <c r="O19" s="3230" t="s">
        <v>2917</v>
      </c>
      <c r="P19" s="3230" t="s">
        <v>245</v>
      </c>
      <c r="Q19" s="3230" t="s">
        <v>2918</v>
      </c>
      <c r="R19" s="3230" t="s">
        <v>261</v>
      </c>
      <c r="S19" s="3230" t="s">
        <v>2919</v>
      </c>
    </row>
    <row r="20" spans="1:19" ht="14.25" customHeight="1">
      <c r="A20" s="3230" t="s">
        <v>180</v>
      </c>
      <c r="B20" s="3231" t="s">
        <v>197</v>
      </c>
      <c r="C20" s="3230">
        <v>27050</v>
      </c>
      <c r="D20" s="3230">
        <v>29010</v>
      </c>
      <c r="E20" s="3230">
        <v>28910</v>
      </c>
      <c r="F20" s="3230"/>
      <c r="G20" s="3230">
        <v>21110</v>
      </c>
      <c r="J20" s="3231" t="s">
        <v>255</v>
      </c>
      <c r="K20" s="3231" t="s">
        <v>256</v>
      </c>
      <c r="L20" s="3230" t="s">
        <v>257</v>
      </c>
      <c r="M20" s="3230" t="s">
        <v>258</v>
      </c>
      <c r="N20" s="3230" t="s">
        <v>259</v>
      </c>
      <c r="O20" s="3230" t="s">
        <v>2920</v>
      </c>
      <c r="P20" s="3230" t="s">
        <v>2921</v>
      </c>
      <c r="Q20" s="3230" t="s">
        <v>286</v>
      </c>
      <c r="R20" s="3230" t="s">
        <v>2922</v>
      </c>
      <c r="S20" s="3230" t="s">
        <v>273</v>
      </c>
    </row>
    <row r="21" spans="1:19" ht="14.25" customHeight="1" thickBot="1">
      <c r="A21" s="3230" t="s">
        <v>180</v>
      </c>
      <c r="B21" s="3231" t="s">
        <v>204</v>
      </c>
      <c r="C21" s="3230">
        <v>32370</v>
      </c>
      <c r="D21" s="3230">
        <v>26730</v>
      </c>
      <c r="E21" s="3230">
        <v>26640</v>
      </c>
      <c r="F21" s="3230"/>
      <c r="G21" s="3230">
        <v>19440</v>
      </c>
      <c r="J21" s="3237" t="s">
        <v>2923</v>
      </c>
      <c r="K21" s="3231" t="s">
        <v>263</v>
      </c>
      <c r="L21" s="3230" t="s">
        <v>264</v>
      </c>
      <c r="M21" s="3230" t="s">
        <v>265</v>
      </c>
      <c r="N21" s="3230" t="s">
        <v>266</v>
      </c>
      <c r="O21" s="3230" t="s">
        <v>260</v>
      </c>
      <c r="P21" s="3230" t="s">
        <v>279</v>
      </c>
      <c r="Q21" s="3230" t="s">
        <v>289</v>
      </c>
      <c r="R21" s="3230" t="s">
        <v>2924</v>
      </c>
      <c r="S21" s="3237" t="s">
        <v>2925</v>
      </c>
    </row>
    <row r="22" spans="1:19" ht="14.25" customHeight="1">
      <c r="A22" s="3230" t="s">
        <v>180</v>
      </c>
      <c r="B22" s="3231" t="s">
        <v>2905</v>
      </c>
      <c r="C22" s="3230">
        <v>29830</v>
      </c>
      <c r="D22" s="3230">
        <v>27600</v>
      </c>
      <c r="E22" s="3230">
        <v>28150</v>
      </c>
      <c r="F22" s="3230"/>
      <c r="G22" s="3230">
        <v>20080</v>
      </c>
      <c r="K22" s="3231" t="s">
        <v>2926</v>
      </c>
      <c r="L22" s="3230" t="s">
        <v>268</v>
      </c>
      <c r="M22" s="3230" t="s">
        <v>269</v>
      </c>
      <c r="N22" s="3230" t="s">
        <v>270</v>
      </c>
      <c r="O22" s="3230" t="s">
        <v>2927</v>
      </c>
      <c r="P22" s="3230" t="s">
        <v>282</v>
      </c>
      <c r="Q22" s="3230" t="s">
        <v>291</v>
      </c>
      <c r="R22" s="3230" t="s">
        <v>239</v>
      </c>
    </row>
    <row r="23" spans="1:19" ht="14.25" customHeight="1">
      <c r="A23" s="3230" t="s">
        <v>180</v>
      </c>
      <c r="B23" s="3231" t="s">
        <v>218</v>
      </c>
      <c r="C23" s="3230">
        <v>27800</v>
      </c>
      <c r="D23" s="3230">
        <v>26900</v>
      </c>
      <c r="E23" s="3230">
        <v>27170</v>
      </c>
      <c r="F23" s="3230"/>
      <c r="G23" s="3230">
        <v>19570</v>
      </c>
      <c r="K23" s="3231" t="s">
        <v>2928</v>
      </c>
      <c r="L23" s="3230" t="s">
        <v>274</v>
      </c>
      <c r="M23" s="3230" t="s">
        <v>275</v>
      </c>
      <c r="N23" s="3230" t="s">
        <v>2929</v>
      </c>
      <c r="O23" s="3230" t="s">
        <v>2930</v>
      </c>
      <c r="P23" s="3230" t="s">
        <v>285</v>
      </c>
      <c r="Q23" s="3230" t="s">
        <v>294</v>
      </c>
      <c r="R23" s="3230" t="s">
        <v>2931</v>
      </c>
    </row>
    <row r="24" spans="1:19" ht="14.25" customHeight="1">
      <c r="A24" s="3230" t="s">
        <v>180</v>
      </c>
      <c r="B24" s="3231" t="s">
        <v>226</v>
      </c>
      <c r="C24" s="3230">
        <v>27930</v>
      </c>
      <c r="D24" s="3230">
        <v>32260</v>
      </c>
      <c r="E24" s="3230">
        <v>32120</v>
      </c>
      <c r="F24" s="3230"/>
      <c r="G24" s="3230">
        <v>23470</v>
      </c>
      <c r="K24" s="3231" t="s">
        <v>2932</v>
      </c>
      <c r="L24" s="3230" t="s">
        <v>277</v>
      </c>
      <c r="M24" s="3230" t="s">
        <v>278</v>
      </c>
      <c r="N24" s="3230" t="s">
        <v>2933</v>
      </c>
      <c r="O24" s="3230" t="s">
        <v>281</v>
      </c>
      <c r="P24" s="3230" t="s">
        <v>2934</v>
      </c>
      <c r="Q24" s="3239" t="s">
        <v>2935</v>
      </c>
      <c r="R24" s="3230" t="s">
        <v>2936</v>
      </c>
    </row>
    <row r="25" spans="1:19" ht="14.25" customHeight="1">
      <c r="A25" s="3230" t="s">
        <v>180</v>
      </c>
      <c r="B25" s="3231" t="s">
        <v>231</v>
      </c>
      <c r="C25" s="3230">
        <v>32230</v>
      </c>
      <c r="D25" s="3230">
        <v>29640</v>
      </c>
      <c r="E25" s="3230">
        <v>29510</v>
      </c>
      <c r="F25" s="3230"/>
      <c r="G25" s="3230">
        <v>21560</v>
      </c>
      <c r="K25" s="3231" t="s">
        <v>2937</v>
      </c>
      <c r="L25" s="3230" t="s">
        <v>2938</v>
      </c>
      <c r="M25" s="3230" t="s">
        <v>280</v>
      </c>
      <c r="N25" s="3230" t="s">
        <v>288</v>
      </c>
      <c r="O25" s="3230" t="s">
        <v>284</v>
      </c>
      <c r="P25" s="3230" t="s">
        <v>271</v>
      </c>
      <c r="Q25" s="3239" t="s">
        <v>267</v>
      </c>
      <c r="R25" s="3230" t="s">
        <v>2939</v>
      </c>
    </row>
    <row r="26" spans="1:19" ht="14.25" customHeight="1" thickBot="1">
      <c r="A26" s="3230" t="s">
        <v>180</v>
      </c>
      <c r="B26" s="3231" t="s">
        <v>240</v>
      </c>
      <c r="C26" s="3230">
        <v>31690</v>
      </c>
      <c r="D26" s="3230">
        <v>27650</v>
      </c>
      <c r="E26" s="3230">
        <v>28200</v>
      </c>
      <c r="F26" s="3230"/>
      <c r="G26" s="3230">
        <v>20110</v>
      </c>
      <c r="K26" s="3236" t="s">
        <v>2940</v>
      </c>
      <c r="L26" s="3230" t="s">
        <v>2941</v>
      </c>
      <c r="M26" s="3230" t="s">
        <v>283</v>
      </c>
      <c r="N26" s="3230" t="s">
        <v>290</v>
      </c>
      <c r="O26" s="3230" t="s">
        <v>2942</v>
      </c>
      <c r="P26" s="3230" t="s">
        <v>2943</v>
      </c>
      <c r="Q26" s="3239" t="s">
        <v>272</v>
      </c>
      <c r="R26" s="3230" t="s">
        <v>2944</v>
      </c>
    </row>
    <row r="27" spans="1:19" ht="14.25" customHeight="1">
      <c r="A27" s="3230" t="s">
        <v>180</v>
      </c>
      <c r="B27" s="3231" t="s">
        <v>247</v>
      </c>
      <c r="C27" s="3230">
        <v>29610</v>
      </c>
      <c r="D27" s="3230">
        <v>27770</v>
      </c>
      <c r="E27" s="3230">
        <v>28300</v>
      </c>
      <c r="F27" s="3230"/>
      <c r="G27" s="3230">
        <v>20210</v>
      </c>
      <c r="L27" s="3230" t="s">
        <v>2945</v>
      </c>
      <c r="M27" s="3230" t="s">
        <v>287</v>
      </c>
      <c r="N27" s="3230" t="s">
        <v>293</v>
      </c>
      <c r="O27" s="3230" t="s">
        <v>2946</v>
      </c>
      <c r="P27" s="3230" t="s">
        <v>2947</v>
      </c>
      <c r="Q27" s="3230" t="s">
        <v>2948</v>
      </c>
      <c r="R27" s="3230" t="s">
        <v>2949</v>
      </c>
    </row>
    <row r="28" spans="1:19" ht="14.25" customHeight="1">
      <c r="A28" s="3230" t="s">
        <v>180</v>
      </c>
      <c r="B28" s="3231" t="s">
        <v>255</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180</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276</v>
      </c>
    </row>
    <row r="30" spans="1:19" ht="14.25" customHeight="1">
      <c r="A30" s="3235" t="s">
        <v>292</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292</v>
      </c>
      <c r="B31" s="3231" t="s">
        <v>125</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292</v>
      </c>
      <c r="B32" s="3231" t="s">
        <v>134</v>
      </c>
      <c r="C32" s="3230">
        <v>27210</v>
      </c>
      <c r="D32" s="3230">
        <v>23240</v>
      </c>
      <c r="E32" s="3230">
        <v>23260</v>
      </c>
      <c r="F32" s="3230">
        <v>7130</v>
      </c>
      <c r="G32" s="3243">
        <v>16270</v>
      </c>
      <c r="L32" s="3230" t="s">
        <v>2977</v>
      </c>
      <c r="M32" s="3230" t="s">
        <v>2978</v>
      </c>
      <c r="N32" s="3230" t="s">
        <v>296</v>
      </c>
      <c r="O32" s="3230" t="s">
        <v>2979</v>
      </c>
      <c r="P32" s="3230" t="s">
        <v>295</v>
      </c>
      <c r="Q32" s="3230" t="s">
        <v>2980</v>
      </c>
      <c r="R32" s="3237" t="s">
        <v>2981</v>
      </c>
    </row>
    <row r="33" spans="1:17" ht="14.25" customHeight="1" thickBot="1">
      <c r="A33" s="3230" t="s">
        <v>292</v>
      </c>
      <c r="B33" s="3231" t="s">
        <v>143</v>
      </c>
      <c r="C33" s="3230">
        <v>27300</v>
      </c>
      <c r="D33" s="3230">
        <v>22980</v>
      </c>
      <c r="E33" s="3230">
        <v>24260</v>
      </c>
      <c r="F33" s="3230">
        <v>5860</v>
      </c>
      <c r="G33" s="3243">
        <v>16090</v>
      </c>
      <c r="L33" s="3237" t="s">
        <v>2982</v>
      </c>
      <c r="M33" s="3230" t="s">
        <v>2983</v>
      </c>
      <c r="N33" s="3230" t="s">
        <v>297</v>
      </c>
      <c r="O33" s="3230" t="s">
        <v>2984</v>
      </c>
      <c r="P33" s="3230" t="s">
        <v>2985</v>
      </c>
      <c r="Q33" s="3230" t="s">
        <v>2986</v>
      </c>
    </row>
    <row r="34" spans="1:17" ht="14.25" customHeight="1">
      <c r="A34" s="3230" t="s">
        <v>292</v>
      </c>
      <c r="B34" s="3231" t="s">
        <v>152</v>
      </c>
      <c r="C34" s="3230">
        <v>23090</v>
      </c>
      <c r="D34" s="3230">
        <v>23390</v>
      </c>
      <c r="E34" s="3230">
        <v>23510</v>
      </c>
      <c r="F34" s="3230">
        <v>6700</v>
      </c>
      <c r="G34" s="3243">
        <v>16370</v>
      </c>
      <c r="M34" s="3230" t="s">
        <v>2987</v>
      </c>
      <c r="N34" s="3230" t="s">
        <v>298</v>
      </c>
      <c r="O34" s="3230" t="s">
        <v>2988</v>
      </c>
      <c r="P34" s="3230" t="s">
        <v>2989</v>
      </c>
      <c r="Q34" s="3230" t="s">
        <v>2990</v>
      </c>
    </row>
    <row r="35" spans="1:17" ht="14.25" customHeight="1">
      <c r="A35" s="3230" t="s">
        <v>292</v>
      </c>
      <c r="B35" s="3231" t="s">
        <v>159</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292</v>
      </c>
      <c r="B36" s="3231" t="s">
        <v>165</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292</v>
      </c>
      <c r="B37" s="3231" t="s">
        <v>172</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292</v>
      </c>
      <c r="B38" s="3231" t="s">
        <v>182</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292</v>
      </c>
      <c r="B39" s="3231" t="s">
        <v>191</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292</v>
      </c>
      <c r="B40" s="3231" t="s">
        <v>198</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292</v>
      </c>
      <c r="B41" s="3231" t="s">
        <v>205</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292</v>
      </c>
      <c r="B42" s="3231" t="s">
        <v>211</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219</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292</v>
      </c>
      <c r="B44" s="3231" t="s">
        <v>227</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292</v>
      </c>
      <c r="B45" s="3231" t="s">
        <v>232</v>
      </c>
      <c r="C45" s="3230">
        <v>21240</v>
      </c>
      <c r="D45" s="3230">
        <v>27050</v>
      </c>
      <c r="E45" s="3230">
        <v>28000</v>
      </c>
      <c r="F45" s="3230"/>
      <c r="G45" s="3243">
        <v>18940</v>
      </c>
      <c r="N45" s="3230" t="s">
        <v>3039</v>
      </c>
      <c r="O45" s="3237" t="s">
        <v>3040</v>
      </c>
      <c r="Q45" s="3230" t="s">
        <v>3041</v>
      </c>
    </row>
    <row r="46" spans="1:17" ht="14.25" customHeight="1">
      <c r="A46" s="3230" t="s">
        <v>292</v>
      </c>
      <c r="B46" s="3231" t="s">
        <v>241</v>
      </c>
      <c r="C46" s="3230">
        <v>23240</v>
      </c>
      <c r="D46" s="3230">
        <v>23000</v>
      </c>
      <c r="E46" s="3230">
        <v>24980</v>
      </c>
      <c r="F46" s="3230"/>
      <c r="G46" s="3243">
        <v>16100</v>
      </c>
      <c r="N46" s="3230" t="s">
        <v>3042</v>
      </c>
      <c r="Q46" s="3230" t="s">
        <v>3043</v>
      </c>
    </row>
    <row r="47" spans="1:17" ht="14.25" customHeight="1">
      <c r="A47" s="3230" t="s">
        <v>292</v>
      </c>
      <c r="B47" s="3231" t="s">
        <v>248</v>
      </c>
      <c r="C47" s="3230">
        <v>27150</v>
      </c>
      <c r="D47" s="3230">
        <v>23310</v>
      </c>
      <c r="E47" s="3230">
        <v>25150</v>
      </c>
      <c r="F47" s="3230"/>
      <c r="G47" s="3243">
        <v>16310</v>
      </c>
      <c r="N47" s="3230" t="s">
        <v>3044</v>
      </c>
      <c r="Q47" s="3230" t="s">
        <v>3045</v>
      </c>
    </row>
    <row r="48" spans="1:17" ht="14.25" customHeight="1">
      <c r="A48" s="3230" t="s">
        <v>292</v>
      </c>
      <c r="B48" s="3231" t="s">
        <v>256</v>
      </c>
      <c r="C48" s="3230">
        <v>23100</v>
      </c>
      <c r="D48" s="3230">
        <v>21110</v>
      </c>
      <c r="E48" s="3230">
        <v>23080</v>
      </c>
      <c r="F48" s="3230"/>
      <c r="G48" s="3243">
        <v>14780</v>
      </c>
      <c r="N48" s="3230" t="s">
        <v>3046</v>
      </c>
      <c r="Q48" s="3230" t="s">
        <v>3047</v>
      </c>
    </row>
    <row r="49" spans="1:17" ht="14.25" customHeight="1">
      <c r="A49" s="3230" t="s">
        <v>292</v>
      </c>
      <c r="B49" s="3231" t="s">
        <v>263</v>
      </c>
      <c r="C49" s="3230">
        <v>23400</v>
      </c>
      <c r="D49" s="3230">
        <v>22920</v>
      </c>
      <c r="E49" s="3230">
        <v>24900</v>
      </c>
      <c r="F49" s="3230"/>
      <c r="G49" s="3243">
        <v>16040</v>
      </c>
      <c r="N49" s="3230" t="s">
        <v>3048</v>
      </c>
      <c r="Q49" s="3230" t="s">
        <v>3049</v>
      </c>
    </row>
    <row r="50" spans="1:17" ht="14.25" customHeight="1">
      <c r="A50" s="3230" t="s">
        <v>292</v>
      </c>
      <c r="B50" s="3231" t="s">
        <v>2926</v>
      </c>
      <c r="C50" s="3230">
        <v>21200</v>
      </c>
      <c r="D50" s="3230">
        <v>26540</v>
      </c>
      <c r="E50" s="3230">
        <v>23200</v>
      </c>
      <c r="F50" s="3230"/>
      <c r="G50" s="3243">
        <v>18580</v>
      </c>
      <c r="N50" s="3230" t="s">
        <v>3050</v>
      </c>
      <c r="Q50" s="3231" t="s">
        <v>3051</v>
      </c>
    </row>
    <row r="51" spans="1:17" ht="14.25" customHeight="1" thickBot="1">
      <c r="A51" s="3230" t="s">
        <v>292</v>
      </c>
      <c r="B51" s="3231" t="s">
        <v>2928</v>
      </c>
      <c r="C51" s="3230">
        <v>23000</v>
      </c>
      <c r="D51" s="3230">
        <v>23460</v>
      </c>
      <c r="E51" s="3230">
        <v>25290</v>
      </c>
      <c r="F51" s="3230"/>
      <c r="G51" s="3243">
        <v>16420</v>
      </c>
      <c r="N51" s="3230" t="s">
        <v>3052</v>
      </c>
      <c r="Q51" s="3237" t="s">
        <v>3053</v>
      </c>
    </row>
    <row r="52" spans="1:17" ht="14.25" customHeight="1">
      <c r="A52" s="3230" t="s">
        <v>292</v>
      </c>
      <c r="B52" s="3231" t="s">
        <v>2932</v>
      </c>
      <c r="C52" s="3230">
        <v>26660</v>
      </c>
      <c r="D52" s="3230">
        <v>22350</v>
      </c>
      <c r="E52" s="3230">
        <v>22920</v>
      </c>
      <c r="F52" s="3230"/>
      <c r="G52" s="3243">
        <v>15640</v>
      </c>
      <c r="N52" s="3230" t="s">
        <v>3054</v>
      </c>
    </row>
    <row r="53" spans="1:17" ht="14.25" customHeight="1">
      <c r="A53" s="3230" t="s">
        <v>292</v>
      </c>
      <c r="B53" s="3231" t="s">
        <v>2937</v>
      </c>
      <c r="C53" s="3230">
        <v>23580</v>
      </c>
      <c r="D53" s="3230"/>
      <c r="E53" s="3230">
        <v>24280</v>
      </c>
      <c r="F53" s="3230"/>
      <c r="G53" s="3243"/>
      <c r="N53" s="3230" t="s">
        <v>3055</v>
      </c>
    </row>
    <row r="54" spans="1:17" ht="14.25" customHeight="1" thickBot="1">
      <c r="A54" s="3244" t="s">
        <v>292</v>
      </c>
      <c r="B54" s="3236" t="s">
        <v>2940</v>
      </c>
      <c r="C54" s="3237">
        <v>22460</v>
      </c>
      <c r="D54" s="3237"/>
      <c r="E54" s="3237"/>
      <c r="F54" s="3237"/>
      <c r="G54" s="3245"/>
      <c r="N54" s="3230" t="s">
        <v>3056</v>
      </c>
    </row>
    <row r="55" spans="1:17" ht="14.25" customHeight="1">
      <c r="A55" s="3235" t="s">
        <v>106</v>
      </c>
      <c r="B55" s="3226" t="s">
        <v>3057</v>
      </c>
      <c r="C55" s="3230">
        <v>21970</v>
      </c>
      <c r="D55" s="3230">
        <v>20370</v>
      </c>
      <c r="E55" s="3230">
        <v>20180</v>
      </c>
      <c r="F55" s="3230">
        <v>5730</v>
      </c>
      <c r="G55" s="3230">
        <v>13820</v>
      </c>
      <c r="N55" s="3230" t="s">
        <v>3058</v>
      </c>
    </row>
    <row r="56" spans="1:17" ht="14.25" customHeight="1">
      <c r="A56" s="3230" t="s">
        <v>106</v>
      </c>
      <c r="B56" s="3230" t="s">
        <v>126</v>
      </c>
      <c r="C56" s="3230">
        <v>20470</v>
      </c>
      <c r="D56" s="3230">
        <v>20700</v>
      </c>
      <c r="E56" s="3230">
        <v>20380</v>
      </c>
      <c r="F56" s="3230">
        <v>4760</v>
      </c>
      <c r="G56" s="3230">
        <v>14050</v>
      </c>
      <c r="N56" s="3230" t="s">
        <v>3059</v>
      </c>
    </row>
    <row r="57" spans="1:17" ht="14.25" customHeight="1">
      <c r="A57" s="3230" t="s">
        <v>106</v>
      </c>
      <c r="B57" s="3230" t="s">
        <v>135</v>
      </c>
      <c r="C57" s="3230">
        <v>20790</v>
      </c>
      <c r="D57" s="3230">
        <v>21370</v>
      </c>
      <c r="E57" s="3230">
        <v>20890</v>
      </c>
      <c r="F57" s="3230">
        <v>4910</v>
      </c>
      <c r="G57" s="3230">
        <v>14510</v>
      </c>
      <c r="N57" s="3230" t="s">
        <v>3060</v>
      </c>
    </row>
    <row r="58" spans="1:17" ht="14.25" customHeight="1">
      <c r="A58" s="3230" t="s">
        <v>106</v>
      </c>
      <c r="B58" s="3230" t="s">
        <v>144</v>
      </c>
      <c r="C58" s="3230">
        <v>21460</v>
      </c>
      <c r="D58" s="3230">
        <v>20920</v>
      </c>
      <c r="E58" s="3230">
        <v>23410</v>
      </c>
      <c r="F58" s="3230">
        <v>5100</v>
      </c>
      <c r="G58" s="3230">
        <v>14200</v>
      </c>
      <c r="N58" s="3230" t="s">
        <v>3061</v>
      </c>
    </row>
    <row r="59" spans="1:17" ht="14.25" customHeight="1">
      <c r="A59" s="3230" t="s">
        <v>106</v>
      </c>
      <c r="B59" s="3230" t="s">
        <v>153</v>
      </c>
      <c r="C59" s="3230">
        <v>21000</v>
      </c>
      <c r="D59" s="3230">
        <v>21550</v>
      </c>
      <c r="E59" s="3230">
        <v>21150</v>
      </c>
      <c r="F59" s="3230">
        <v>5250</v>
      </c>
      <c r="G59" s="3230">
        <v>14630</v>
      </c>
      <c r="N59" s="3230" t="s">
        <v>3062</v>
      </c>
    </row>
    <row r="60" spans="1:17" ht="14.25" customHeight="1">
      <c r="A60" s="3230" t="s">
        <v>106</v>
      </c>
      <c r="B60" s="3230" t="s">
        <v>160</v>
      </c>
      <c r="C60" s="3230">
        <v>21640</v>
      </c>
      <c r="D60" s="3230">
        <v>21260</v>
      </c>
      <c r="E60" s="3230">
        <v>24040</v>
      </c>
      <c r="F60" s="3230">
        <v>4470</v>
      </c>
      <c r="G60" s="3230">
        <v>14430</v>
      </c>
      <c r="N60" s="3230" t="s">
        <v>3063</v>
      </c>
    </row>
    <row r="61" spans="1:17" ht="14.25" customHeight="1">
      <c r="A61" s="3230" t="s">
        <v>106</v>
      </c>
      <c r="B61" s="3230" t="s">
        <v>166</v>
      </c>
      <c r="C61" s="3230">
        <v>21330</v>
      </c>
      <c r="D61" s="3230">
        <v>18640</v>
      </c>
      <c r="E61" s="3230">
        <v>21190</v>
      </c>
      <c r="F61" s="3230">
        <v>4180</v>
      </c>
      <c r="G61" s="3230">
        <v>12650</v>
      </c>
      <c r="N61" s="3230" t="s">
        <v>3064</v>
      </c>
    </row>
    <row r="62" spans="1:17" ht="14.25" customHeight="1">
      <c r="A62" s="3230" t="s">
        <v>106</v>
      </c>
      <c r="B62" s="3230" t="s">
        <v>173</v>
      </c>
      <c r="C62" s="3230">
        <v>18710</v>
      </c>
      <c r="D62" s="3230">
        <v>19400</v>
      </c>
      <c r="E62" s="3230">
        <v>23750</v>
      </c>
      <c r="F62" s="3230">
        <v>4860</v>
      </c>
      <c r="G62" s="3230">
        <v>13170</v>
      </c>
      <c r="N62" s="3230" t="s">
        <v>3065</v>
      </c>
    </row>
    <row r="63" spans="1:17" ht="14.25" customHeight="1">
      <c r="A63" s="3230" t="s">
        <v>106</v>
      </c>
      <c r="B63" s="3230" t="s">
        <v>183</v>
      </c>
      <c r="C63" s="3230">
        <v>19480</v>
      </c>
      <c r="D63" s="3230">
        <v>16830</v>
      </c>
      <c r="E63" s="3230">
        <v>21590</v>
      </c>
      <c r="F63" s="3230">
        <v>4560</v>
      </c>
      <c r="G63" s="3230">
        <v>11420</v>
      </c>
      <c r="N63" s="3230" t="s">
        <v>3066</v>
      </c>
    </row>
    <row r="64" spans="1:17" ht="14.25" customHeight="1" thickBot="1">
      <c r="A64" s="3230" t="s">
        <v>106</v>
      </c>
      <c r="B64" s="3230" t="s">
        <v>192</v>
      </c>
      <c r="C64" s="3230">
        <v>16920</v>
      </c>
      <c r="D64" s="3230">
        <v>19190</v>
      </c>
      <c r="E64" s="3230">
        <v>22200</v>
      </c>
      <c r="F64" s="3230">
        <v>4390</v>
      </c>
      <c r="G64" s="3230">
        <v>13030</v>
      </c>
      <c r="N64" s="3237" t="s">
        <v>3067</v>
      </c>
    </row>
    <row r="65" spans="1:7" s="3219" customFormat="1" ht="14.25" customHeight="1">
      <c r="A65" s="3230" t="s">
        <v>106</v>
      </c>
      <c r="B65" s="3230" t="s">
        <v>199</v>
      </c>
      <c r="C65" s="3230">
        <v>19290</v>
      </c>
      <c r="D65" s="3230">
        <v>17020</v>
      </c>
      <c r="E65" s="3230">
        <v>19880</v>
      </c>
      <c r="F65" s="3230">
        <v>4070</v>
      </c>
      <c r="G65" s="3230">
        <v>11550</v>
      </c>
    </row>
    <row r="66" spans="1:7" s="3219" customFormat="1" ht="14.25" customHeight="1">
      <c r="A66" s="3230" t="s">
        <v>106</v>
      </c>
      <c r="B66" s="3230" t="s">
        <v>206</v>
      </c>
      <c r="C66" s="3230">
        <v>17090</v>
      </c>
      <c r="D66" s="3230">
        <v>18340</v>
      </c>
      <c r="E66" s="3230">
        <v>21830</v>
      </c>
      <c r="F66" s="3230">
        <v>4690</v>
      </c>
      <c r="G66" s="3230">
        <v>12450</v>
      </c>
    </row>
    <row r="67" spans="1:7" s="3219" customFormat="1" ht="14.25" customHeight="1">
      <c r="A67" s="3230" t="s">
        <v>106</v>
      </c>
      <c r="B67" s="3230" t="s">
        <v>212</v>
      </c>
      <c r="C67" s="3230">
        <v>18420</v>
      </c>
      <c r="D67" s="3230">
        <v>16360</v>
      </c>
      <c r="E67" s="3230">
        <v>20020</v>
      </c>
      <c r="F67" s="3230">
        <v>5150</v>
      </c>
      <c r="G67" s="3230">
        <v>11110</v>
      </c>
    </row>
    <row r="68" spans="1:7" s="3219" customFormat="1" ht="14.25" customHeight="1">
      <c r="A68" s="3230" t="s">
        <v>106</v>
      </c>
      <c r="B68" s="3230" t="s">
        <v>220</v>
      </c>
      <c r="C68" s="3230">
        <v>16450</v>
      </c>
      <c r="D68" s="3230">
        <v>18430</v>
      </c>
      <c r="E68" s="3230">
        <v>21010</v>
      </c>
      <c r="F68" s="3230">
        <v>4720</v>
      </c>
      <c r="G68" s="3230">
        <v>12510</v>
      </c>
    </row>
    <row r="69" spans="1:7" s="3219" customFormat="1" ht="14.25" customHeight="1">
      <c r="A69" s="3230" t="s">
        <v>106</v>
      </c>
      <c r="B69" s="3230" t="s">
        <v>228</v>
      </c>
      <c r="C69" s="3230">
        <v>18510</v>
      </c>
      <c r="D69" s="3230">
        <v>16300</v>
      </c>
      <c r="E69" s="3230">
        <v>18830</v>
      </c>
      <c r="F69" s="3230">
        <v>5400</v>
      </c>
      <c r="G69" s="3230">
        <v>11070</v>
      </c>
    </row>
    <row r="70" spans="1:7" s="3219" customFormat="1" ht="14.25" customHeight="1">
      <c r="A70" s="3230" t="s">
        <v>106</v>
      </c>
      <c r="B70" s="3230" t="s">
        <v>233</v>
      </c>
      <c r="C70" s="3230">
        <v>16370</v>
      </c>
      <c r="D70" s="3230">
        <v>18620</v>
      </c>
      <c r="E70" s="3230">
        <v>21100</v>
      </c>
      <c r="F70" s="3230">
        <v>5700</v>
      </c>
      <c r="G70" s="3230">
        <v>12640</v>
      </c>
    </row>
    <row r="71" spans="1:7" s="3219" customFormat="1" ht="14.25" customHeight="1">
      <c r="A71" s="3230" t="s">
        <v>106</v>
      </c>
      <c r="B71" s="3230" t="s">
        <v>242</v>
      </c>
      <c r="C71" s="3230">
        <v>18700</v>
      </c>
      <c r="D71" s="3230">
        <v>16290</v>
      </c>
      <c r="E71" s="3230">
        <v>18760</v>
      </c>
      <c r="F71" s="3230">
        <v>4780</v>
      </c>
      <c r="G71" s="3230">
        <v>11050</v>
      </c>
    </row>
    <row r="72" spans="1:7" s="3219" customFormat="1" ht="14.25" customHeight="1">
      <c r="A72" s="3230" t="s">
        <v>106</v>
      </c>
      <c r="B72" s="3230" t="s">
        <v>249</v>
      </c>
      <c r="C72" s="3230">
        <v>16340</v>
      </c>
      <c r="D72" s="3230">
        <v>17520</v>
      </c>
      <c r="E72" s="3230">
        <v>21170</v>
      </c>
      <c r="F72" s="3230"/>
      <c r="G72" s="3230">
        <v>11900</v>
      </c>
    </row>
    <row r="73" spans="1:7" s="3219" customFormat="1" ht="14.25" customHeight="1">
      <c r="A73" s="3230" t="s">
        <v>106</v>
      </c>
      <c r="B73" s="3230" t="s">
        <v>257</v>
      </c>
      <c r="C73" s="3230">
        <v>17610</v>
      </c>
      <c r="D73" s="3230">
        <v>18520</v>
      </c>
      <c r="E73" s="3230">
        <v>18720</v>
      </c>
      <c r="F73" s="3230"/>
      <c r="G73" s="3230">
        <v>12570</v>
      </c>
    </row>
    <row r="74" spans="1:7" s="3219" customFormat="1" ht="14.25" customHeight="1">
      <c r="A74" s="3230" t="s">
        <v>106</v>
      </c>
      <c r="B74" s="3230" t="s">
        <v>264</v>
      </c>
      <c r="C74" s="3230">
        <v>18600</v>
      </c>
      <c r="D74" s="3230">
        <v>16480</v>
      </c>
      <c r="E74" s="3230">
        <v>20100</v>
      </c>
      <c r="F74" s="3230"/>
      <c r="G74" s="3230">
        <v>11190</v>
      </c>
    </row>
    <row r="75" spans="1:7" s="3219" customFormat="1" ht="14.25" customHeight="1">
      <c r="A75" s="3230" t="s">
        <v>106</v>
      </c>
      <c r="B75" s="3230" t="s">
        <v>268</v>
      </c>
      <c r="C75" s="3230">
        <v>16570</v>
      </c>
      <c r="D75" s="3230">
        <v>17530</v>
      </c>
      <c r="E75" s="3230">
        <v>21030</v>
      </c>
      <c r="F75" s="3230"/>
      <c r="G75" s="3230">
        <v>11900</v>
      </c>
    </row>
    <row r="76" spans="1:7" s="3219" customFormat="1" ht="14.25" customHeight="1">
      <c r="A76" s="3230" t="s">
        <v>106</v>
      </c>
      <c r="B76" s="3230" t="s">
        <v>274</v>
      </c>
      <c r="C76" s="3230">
        <v>17610</v>
      </c>
      <c r="D76" s="3230">
        <v>20800</v>
      </c>
      <c r="E76" s="3230">
        <v>18920</v>
      </c>
      <c r="F76" s="3230"/>
      <c r="G76" s="3230">
        <v>14120</v>
      </c>
    </row>
    <row r="77" spans="1:7" s="3219" customFormat="1" ht="14.25" customHeight="1">
      <c r="A77" s="3230" t="s">
        <v>106</v>
      </c>
      <c r="B77" s="3230" t="s">
        <v>277</v>
      </c>
      <c r="C77" s="3230">
        <v>20890</v>
      </c>
      <c r="D77" s="3230">
        <v>19740</v>
      </c>
      <c r="E77" s="3230">
        <v>20110</v>
      </c>
      <c r="F77" s="3230"/>
      <c r="G77" s="3230">
        <v>13400</v>
      </c>
    </row>
    <row r="78" spans="1:7" s="3219" customFormat="1" ht="14.25" customHeight="1">
      <c r="A78" s="3230" t="s">
        <v>106</v>
      </c>
      <c r="B78" s="3230" t="s">
        <v>2938</v>
      </c>
      <c r="C78" s="3230">
        <v>19820</v>
      </c>
      <c r="D78" s="3230">
        <v>19780</v>
      </c>
      <c r="E78" s="3230">
        <v>18560</v>
      </c>
      <c r="F78" s="3230"/>
      <c r="G78" s="3230">
        <v>13430</v>
      </c>
    </row>
    <row r="79" spans="1:7" s="3219" customFormat="1" ht="14.25" customHeight="1">
      <c r="A79" s="3230" t="s">
        <v>106</v>
      </c>
      <c r="B79" s="3230" t="s">
        <v>2941</v>
      </c>
      <c r="C79" s="3230">
        <v>21660</v>
      </c>
      <c r="D79" s="3230">
        <v>18000</v>
      </c>
      <c r="E79" s="3230">
        <v>22570</v>
      </c>
      <c r="F79" s="3230"/>
      <c r="G79" s="3230">
        <v>12220</v>
      </c>
    </row>
    <row r="80" spans="1:7" s="3219" customFormat="1" ht="14.25" customHeight="1">
      <c r="A80" s="3230" t="s">
        <v>106</v>
      </c>
      <c r="B80" s="3230" t="s">
        <v>2945</v>
      </c>
      <c r="C80" s="3230">
        <v>19850</v>
      </c>
      <c r="D80" s="3230"/>
      <c r="E80" s="3230">
        <v>21700</v>
      </c>
      <c r="F80" s="3230"/>
      <c r="G80" s="3230"/>
    </row>
    <row r="81" spans="1:7" s="3219" customFormat="1" ht="14.25" customHeight="1">
      <c r="A81" s="3230" t="s">
        <v>106</v>
      </c>
      <c r="B81" s="3230" t="s">
        <v>2950</v>
      </c>
      <c r="C81" s="3230">
        <v>18080</v>
      </c>
      <c r="D81" s="3230"/>
      <c r="E81" s="3230">
        <v>20900</v>
      </c>
      <c r="F81" s="3230"/>
      <c r="G81" s="3230"/>
    </row>
    <row r="82" spans="1:7" s="3219" customFormat="1" ht="14.25" customHeight="1">
      <c r="A82" s="3230" t="s">
        <v>106</v>
      </c>
      <c r="B82" s="3230" t="s">
        <v>2957</v>
      </c>
      <c r="C82" s="3230"/>
      <c r="D82" s="3230"/>
      <c r="E82" s="3230">
        <v>20840</v>
      </c>
      <c r="F82" s="3230"/>
      <c r="G82" s="3230"/>
    </row>
    <row r="83" spans="1:7" s="3219" customFormat="1" ht="14.25" customHeight="1">
      <c r="A83" s="3230" t="s">
        <v>106</v>
      </c>
      <c r="B83" s="3230" t="s">
        <v>3068</v>
      </c>
      <c r="C83" s="3230"/>
      <c r="D83" s="3230"/>
      <c r="E83" s="3230"/>
      <c r="F83" s="3230">
        <v>4770</v>
      </c>
      <c r="G83" s="3230"/>
    </row>
    <row r="84" spans="1:7" s="3219" customFormat="1" ht="14.25" customHeight="1">
      <c r="A84" s="3230" t="s">
        <v>106</v>
      </c>
      <c r="B84" s="3230" t="s">
        <v>3069</v>
      </c>
      <c r="C84" s="3230"/>
      <c r="D84" s="3230"/>
      <c r="E84" s="3230"/>
      <c r="F84" s="3230">
        <v>4600</v>
      </c>
      <c r="G84" s="3230"/>
    </row>
    <row r="85" spans="1:7" s="3219" customFormat="1" ht="14.25" customHeight="1">
      <c r="A85" s="3230" t="s">
        <v>106</v>
      </c>
      <c r="B85" s="3230" t="s">
        <v>3070</v>
      </c>
      <c r="C85" s="3230"/>
      <c r="D85" s="3230"/>
      <c r="E85" s="3230"/>
      <c r="F85" s="3230">
        <v>4680</v>
      </c>
      <c r="G85" s="3230"/>
    </row>
    <row r="86" spans="1:7" s="3219" customFormat="1" ht="14.25" customHeight="1" thickBot="1">
      <c r="A86" s="3238" t="s">
        <v>106</v>
      </c>
      <c r="B86" s="3240" t="s">
        <v>3071</v>
      </c>
      <c r="C86" s="3241">
        <v>16610</v>
      </c>
      <c r="D86" s="3241">
        <v>16540</v>
      </c>
      <c r="E86" s="3241">
        <v>18850</v>
      </c>
      <c r="F86" s="3241"/>
      <c r="G86" s="3241">
        <v>11220</v>
      </c>
    </row>
    <row r="87" spans="1:7" s="3219" customFormat="1" ht="14.25" customHeight="1">
      <c r="A87" s="3235" t="s">
        <v>299</v>
      </c>
      <c r="B87" s="3226" t="s">
        <v>3072</v>
      </c>
      <c r="C87" s="3226">
        <v>15240</v>
      </c>
      <c r="D87" s="3226">
        <v>15170</v>
      </c>
      <c r="E87" s="3226">
        <v>18260</v>
      </c>
      <c r="F87" s="3226">
        <v>3830</v>
      </c>
      <c r="G87" s="3242">
        <v>10020</v>
      </c>
    </row>
    <row r="88" spans="1:7" s="3219" customFormat="1" ht="14.25" customHeight="1">
      <c r="A88" s="3230" t="s">
        <v>299</v>
      </c>
      <c r="B88" s="3230" t="s">
        <v>127</v>
      </c>
      <c r="C88" s="3230">
        <v>17310</v>
      </c>
      <c r="D88" s="3230">
        <v>17220</v>
      </c>
      <c r="E88" s="3230">
        <v>18610</v>
      </c>
      <c r="F88" s="3230">
        <v>3990</v>
      </c>
      <c r="G88" s="3243">
        <v>11380</v>
      </c>
    </row>
    <row r="89" spans="1:7" s="3219" customFormat="1" ht="14.25" customHeight="1">
      <c r="A89" s="3230" t="s">
        <v>299</v>
      </c>
      <c r="B89" s="3230" t="s">
        <v>136</v>
      </c>
      <c r="C89" s="3230">
        <v>15600</v>
      </c>
      <c r="D89" s="3230">
        <v>15550</v>
      </c>
      <c r="E89" s="3230">
        <v>19200</v>
      </c>
      <c r="F89" s="3230">
        <v>4110</v>
      </c>
      <c r="G89" s="3243">
        <v>10270</v>
      </c>
    </row>
    <row r="90" spans="1:7" s="3219" customFormat="1" ht="14.25" customHeight="1">
      <c r="A90" s="3230" t="s">
        <v>299</v>
      </c>
      <c r="B90" s="3230" t="s">
        <v>145</v>
      </c>
      <c r="C90" s="3230">
        <v>17330</v>
      </c>
      <c r="D90" s="3230">
        <v>17240</v>
      </c>
      <c r="E90" s="3230">
        <v>18570</v>
      </c>
      <c r="F90" s="3230">
        <v>4070</v>
      </c>
      <c r="G90" s="3243">
        <v>11390</v>
      </c>
    </row>
    <row r="91" spans="1:7" s="3219" customFormat="1" ht="14.25" customHeight="1">
      <c r="A91" s="3230" t="s">
        <v>299</v>
      </c>
      <c r="B91" s="3230" t="s">
        <v>154</v>
      </c>
      <c r="C91" s="3230">
        <v>16330</v>
      </c>
      <c r="D91" s="3230">
        <v>16260</v>
      </c>
      <c r="E91" s="3230">
        <v>16800</v>
      </c>
      <c r="F91" s="3230">
        <v>3410</v>
      </c>
      <c r="G91" s="3243">
        <v>10740</v>
      </c>
    </row>
    <row r="92" spans="1:7" s="3219" customFormat="1" ht="14.25" customHeight="1">
      <c r="A92" s="3230" t="s">
        <v>299</v>
      </c>
      <c r="B92" s="3230" t="s">
        <v>161</v>
      </c>
      <c r="C92" s="3230">
        <v>15570</v>
      </c>
      <c r="D92" s="3230">
        <v>15500</v>
      </c>
      <c r="E92" s="3230">
        <v>17360</v>
      </c>
      <c r="F92" s="3230">
        <v>3510</v>
      </c>
      <c r="G92" s="3243">
        <v>10240</v>
      </c>
    </row>
    <row r="93" spans="1:7" s="3219" customFormat="1" ht="14.25" customHeight="1">
      <c r="A93" s="3230" t="s">
        <v>299</v>
      </c>
      <c r="B93" s="3230" t="s">
        <v>167</v>
      </c>
      <c r="C93" s="3230">
        <v>14000</v>
      </c>
      <c r="D93" s="3230">
        <v>13930</v>
      </c>
      <c r="E93" s="3230">
        <v>18200</v>
      </c>
      <c r="F93" s="3230">
        <v>3640</v>
      </c>
      <c r="G93" s="3243">
        <v>9210</v>
      </c>
    </row>
    <row r="94" spans="1:7" s="3219" customFormat="1" ht="14.25" customHeight="1">
      <c r="A94" s="3230" t="s">
        <v>299</v>
      </c>
      <c r="B94" s="3230" t="s">
        <v>174</v>
      </c>
      <c r="C94" s="3230">
        <v>14530</v>
      </c>
      <c r="D94" s="3230">
        <v>14470</v>
      </c>
      <c r="E94" s="3230">
        <v>18240</v>
      </c>
      <c r="F94" s="3230">
        <v>3180</v>
      </c>
      <c r="G94" s="3243">
        <v>9560</v>
      </c>
    </row>
    <row r="95" spans="1:7" s="3219" customFormat="1" ht="14.25" customHeight="1">
      <c r="A95" s="3230" t="s">
        <v>299</v>
      </c>
      <c r="B95" s="3230" t="s">
        <v>184</v>
      </c>
      <c r="C95" s="3230">
        <v>17330</v>
      </c>
      <c r="D95" s="3230">
        <v>17260</v>
      </c>
      <c r="E95" s="3230">
        <v>18420</v>
      </c>
      <c r="F95" s="3230">
        <v>3060</v>
      </c>
      <c r="G95" s="3243">
        <v>11410</v>
      </c>
    </row>
    <row r="96" spans="1:7" s="3219" customFormat="1" ht="14.25" customHeight="1">
      <c r="A96" s="3230" t="s">
        <v>299</v>
      </c>
      <c r="B96" s="3230" t="s">
        <v>193</v>
      </c>
      <c r="C96" s="3230">
        <v>15030</v>
      </c>
      <c r="D96" s="3230">
        <v>14970</v>
      </c>
      <c r="E96" s="3230">
        <v>17580</v>
      </c>
      <c r="F96" s="3230">
        <v>2970</v>
      </c>
      <c r="G96" s="3243">
        <v>9890</v>
      </c>
    </row>
    <row r="97" spans="1:7" s="3219" customFormat="1" ht="14.25" customHeight="1">
      <c r="A97" s="3230" t="s">
        <v>299</v>
      </c>
      <c r="B97" s="3230" t="s">
        <v>200</v>
      </c>
      <c r="C97" s="3230">
        <v>17400</v>
      </c>
      <c r="D97" s="3230">
        <v>17330</v>
      </c>
      <c r="E97" s="3230">
        <v>16430</v>
      </c>
      <c r="F97" s="3230">
        <v>2950</v>
      </c>
      <c r="G97" s="3243">
        <v>11450</v>
      </c>
    </row>
    <row r="98" spans="1:7" s="3219" customFormat="1" ht="14.25" customHeight="1">
      <c r="A98" s="3230" t="s">
        <v>299</v>
      </c>
      <c r="B98" s="3230" t="s">
        <v>207</v>
      </c>
      <c r="C98" s="3230">
        <v>15200</v>
      </c>
      <c r="D98" s="3230">
        <v>15120</v>
      </c>
      <c r="E98" s="3230">
        <v>17550</v>
      </c>
      <c r="F98" s="3230">
        <v>3080</v>
      </c>
      <c r="G98" s="3243">
        <v>9990</v>
      </c>
    </row>
    <row r="99" spans="1:7" s="3219" customFormat="1" ht="14.25" customHeight="1">
      <c r="A99" s="3230" t="s">
        <v>299</v>
      </c>
      <c r="B99" s="3230" t="s">
        <v>213</v>
      </c>
      <c r="C99" s="3230">
        <v>17520</v>
      </c>
      <c r="D99" s="3230">
        <v>17430</v>
      </c>
      <c r="E99" s="3230">
        <v>16350</v>
      </c>
      <c r="F99" s="3230">
        <v>3260</v>
      </c>
      <c r="G99" s="3243">
        <v>11510</v>
      </c>
    </row>
    <row r="100" spans="1:7" s="3219" customFormat="1" ht="14.25" customHeight="1">
      <c r="A100" s="3230" t="s">
        <v>299</v>
      </c>
      <c r="B100" s="3230" t="s">
        <v>221</v>
      </c>
      <c r="C100" s="3230">
        <v>15340</v>
      </c>
      <c r="D100" s="3230">
        <v>15260</v>
      </c>
      <c r="E100" s="3230">
        <v>15930</v>
      </c>
      <c r="F100" s="3230">
        <v>2740</v>
      </c>
      <c r="G100" s="3243">
        <v>10080</v>
      </c>
    </row>
    <row r="101" spans="1:7" s="3219" customFormat="1" ht="14.25" customHeight="1">
      <c r="A101" s="3230" t="s">
        <v>299</v>
      </c>
      <c r="B101" s="3230" t="s">
        <v>229</v>
      </c>
      <c r="C101" s="3230">
        <v>14620</v>
      </c>
      <c r="D101" s="3230">
        <v>14560</v>
      </c>
      <c r="E101" s="3230">
        <v>15570</v>
      </c>
      <c r="F101" s="3230">
        <v>3500</v>
      </c>
      <c r="G101" s="3243">
        <v>9630</v>
      </c>
    </row>
    <row r="102" spans="1:7" s="3219" customFormat="1" ht="14.25" customHeight="1">
      <c r="A102" s="3230" t="s">
        <v>299</v>
      </c>
      <c r="B102" s="3230" t="s">
        <v>234</v>
      </c>
      <c r="C102" s="3230">
        <v>13680</v>
      </c>
      <c r="D102" s="3230">
        <v>13610</v>
      </c>
      <c r="E102" s="3230">
        <v>15690</v>
      </c>
      <c r="F102" s="3230">
        <v>2870</v>
      </c>
      <c r="G102" s="3243">
        <v>8990</v>
      </c>
    </row>
    <row r="103" spans="1:7" s="3219" customFormat="1" ht="14.25" customHeight="1">
      <c r="A103" s="3230" t="s">
        <v>299</v>
      </c>
      <c r="B103" s="3230" t="s">
        <v>243</v>
      </c>
      <c r="C103" s="3230">
        <v>14620</v>
      </c>
      <c r="D103" s="3230">
        <v>14540</v>
      </c>
      <c r="E103" s="3230">
        <v>15240</v>
      </c>
      <c r="F103" s="3230">
        <v>2840</v>
      </c>
      <c r="G103" s="3243">
        <v>9610</v>
      </c>
    </row>
    <row r="104" spans="1:7" s="3219" customFormat="1" ht="14.25" customHeight="1">
      <c r="A104" s="3230" t="s">
        <v>299</v>
      </c>
      <c r="B104" s="3230" t="s">
        <v>250</v>
      </c>
      <c r="C104" s="3230">
        <v>13610</v>
      </c>
      <c r="D104" s="3230">
        <v>13540</v>
      </c>
      <c r="E104" s="3230">
        <v>15750</v>
      </c>
      <c r="F104" s="3230">
        <v>2770</v>
      </c>
      <c r="G104" s="3243">
        <v>8940</v>
      </c>
    </row>
    <row r="105" spans="1:7" s="3219" customFormat="1" ht="14.25" customHeight="1">
      <c r="A105" s="3230" t="s">
        <v>299</v>
      </c>
      <c r="B105" s="3230" t="s">
        <v>258</v>
      </c>
      <c r="C105" s="3230">
        <v>13310</v>
      </c>
      <c r="D105" s="3230">
        <v>13240</v>
      </c>
      <c r="E105" s="3230">
        <v>16280</v>
      </c>
      <c r="F105" s="3230">
        <v>3210</v>
      </c>
      <c r="G105" s="3243">
        <v>8750</v>
      </c>
    </row>
    <row r="106" spans="1:7" s="3219" customFormat="1" ht="14.25" customHeight="1">
      <c r="A106" s="3230" t="s">
        <v>299</v>
      </c>
      <c r="B106" s="3230" t="s">
        <v>265</v>
      </c>
      <c r="C106" s="3230">
        <v>13010</v>
      </c>
      <c r="D106" s="3230">
        <v>12930</v>
      </c>
      <c r="E106" s="3230">
        <v>14960</v>
      </c>
      <c r="F106" s="3230">
        <v>3530</v>
      </c>
      <c r="G106" s="3243">
        <v>8550</v>
      </c>
    </row>
    <row r="107" spans="1:7" s="3219" customFormat="1" ht="14.25" customHeight="1">
      <c r="A107" s="3230" t="s">
        <v>299</v>
      </c>
      <c r="B107" s="3230" t="s">
        <v>269</v>
      </c>
      <c r="C107" s="3230">
        <v>13070</v>
      </c>
      <c r="D107" s="3230">
        <v>13000</v>
      </c>
      <c r="E107" s="3230">
        <v>15910</v>
      </c>
      <c r="F107" s="3230">
        <v>3990</v>
      </c>
      <c r="G107" s="3243">
        <v>8580</v>
      </c>
    </row>
    <row r="108" spans="1:7" s="3219" customFormat="1" ht="14.25" customHeight="1">
      <c r="A108" s="3230" t="s">
        <v>299</v>
      </c>
      <c r="B108" s="3230" t="s">
        <v>275</v>
      </c>
      <c r="C108" s="3230">
        <v>12640</v>
      </c>
      <c r="D108" s="3230">
        <v>12580</v>
      </c>
      <c r="E108" s="3230">
        <v>15730</v>
      </c>
      <c r="F108" s="3230"/>
      <c r="G108" s="3243">
        <v>8310</v>
      </c>
    </row>
    <row r="109" spans="1:7" s="3219" customFormat="1" ht="14.25" customHeight="1">
      <c r="A109" s="3230" t="s">
        <v>299</v>
      </c>
      <c r="B109" s="3230" t="s">
        <v>278</v>
      </c>
      <c r="C109" s="3230">
        <v>13130</v>
      </c>
      <c r="D109" s="3230">
        <v>13070</v>
      </c>
      <c r="E109" s="3230">
        <v>15000</v>
      </c>
      <c r="F109" s="3230"/>
      <c r="G109" s="3243">
        <v>8630</v>
      </c>
    </row>
    <row r="110" spans="1:7" s="3219" customFormat="1" ht="14.25" customHeight="1">
      <c r="A110" s="3230" t="s">
        <v>299</v>
      </c>
      <c r="B110" s="3230" t="s">
        <v>280</v>
      </c>
      <c r="C110" s="3230">
        <v>13560</v>
      </c>
      <c r="D110" s="3230">
        <v>13490</v>
      </c>
      <c r="E110" s="3230">
        <v>16300</v>
      </c>
      <c r="F110" s="3230"/>
      <c r="G110" s="3243">
        <v>8920</v>
      </c>
    </row>
    <row r="111" spans="1:7" s="3219" customFormat="1" ht="14.25" customHeight="1">
      <c r="A111" s="3230" t="s">
        <v>299</v>
      </c>
      <c r="B111" s="3230" t="s">
        <v>283</v>
      </c>
      <c r="C111" s="3230">
        <v>12440</v>
      </c>
      <c r="D111" s="3230">
        <v>12380</v>
      </c>
      <c r="E111" s="3230">
        <v>17850</v>
      </c>
      <c r="F111" s="3230"/>
      <c r="G111" s="3243">
        <v>8180</v>
      </c>
    </row>
    <row r="112" spans="1:7" s="3219" customFormat="1" ht="14.25" customHeight="1">
      <c r="A112" s="3230" t="s">
        <v>299</v>
      </c>
      <c r="B112" s="3230" t="s">
        <v>287</v>
      </c>
      <c r="C112" s="3230">
        <v>13260</v>
      </c>
      <c r="D112" s="3230">
        <v>13180</v>
      </c>
      <c r="E112" s="3230">
        <v>19740</v>
      </c>
      <c r="F112" s="3230"/>
      <c r="G112" s="3243">
        <v>8710</v>
      </c>
    </row>
    <row r="113" spans="1:7" s="3219" customFormat="1" ht="14.25" customHeight="1">
      <c r="A113" s="3230" t="s">
        <v>299</v>
      </c>
      <c r="B113" s="3230" t="s">
        <v>2951</v>
      </c>
      <c r="C113" s="3230">
        <v>15520</v>
      </c>
      <c r="D113" s="3230">
        <v>15450</v>
      </c>
      <c r="E113" s="3230"/>
      <c r="F113" s="3230"/>
      <c r="G113" s="3243">
        <v>10210</v>
      </c>
    </row>
    <row r="114" spans="1:7" s="3219" customFormat="1" ht="14.25" customHeight="1">
      <c r="A114" s="3230" t="s">
        <v>299</v>
      </c>
      <c r="B114" s="3230" t="s">
        <v>2958</v>
      </c>
      <c r="C114" s="3230">
        <v>13110</v>
      </c>
      <c r="D114" s="3230">
        <v>13050</v>
      </c>
      <c r="E114" s="3230"/>
      <c r="F114" s="3230"/>
      <c r="G114" s="3243">
        <v>8620</v>
      </c>
    </row>
    <row r="115" spans="1:7" s="3219" customFormat="1" ht="14.25" customHeight="1">
      <c r="A115" s="3230" t="s">
        <v>299</v>
      </c>
      <c r="B115" s="3230" t="s">
        <v>2964</v>
      </c>
      <c r="C115" s="3230">
        <v>12460</v>
      </c>
      <c r="D115" s="3230">
        <v>12390</v>
      </c>
      <c r="E115" s="3230"/>
      <c r="F115" s="3230"/>
      <c r="G115" s="3243">
        <v>8190</v>
      </c>
    </row>
    <row r="116" spans="1:7" s="3219" customFormat="1" ht="14.25" customHeight="1">
      <c r="A116" s="3230" t="s">
        <v>299</v>
      </c>
      <c r="B116" s="3230" t="s">
        <v>2971</v>
      </c>
      <c r="C116" s="3230">
        <v>13580</v>
      </c>
      <c r="D116" s="3230">
        <v>13520</v>
      </c>
      <c r="E116" s="3230"/>
      <c r="F116" s="3230"/>
      <c r="G116" s="3243">
        <v>8930</v>
      </c>
    </row>
    <row r="117" spans="1:7" s="3219" customFormat="1" ht="14.25" customHeight="1">
      <c r="A117" s="3230" t="s">
        <v>299</v>
      </c>
      <c r="B117" s="3230" t="s">
        <v>2978</v>
      </c>
      <c r="C117" s="3230">
        <v>17120</v>
      </c>
      <c r="D117" s="3230">
        <v>17040</v>
      </c>
      <c r="E117" s="3230"/>
      <c r="F117" s="3230"/>
      <c r="G117" s="3243">
        <v>11260</v>
      </c>
    </row>
    <row r="118" spans="1:7" s="3219" customFormat="1" ht="14.25" customHeight="1">
      <c r="A118" s="3230" t="s">
        <v>299</v>
      </c>
      <c r="B118" s="3230" t="s">
        <v>2983</v>
      </c>
      <c r="C118" s="3230">
        <v>14860</v>
      </c>
      <c r="D118" s="3230">
        <v>14790</v>
      </c>
      <c r="E118" s="3230"/>
      <c r="F118" s="3230"/>
      <c r="G118" s="3243">
        <v>9780</v>
      </c>
    </row>
    <row r="119" spans="1:7" s="3219" customFormat="1" ht="14.25" customHeight="1">
      <c r="A119" s="3230" t="s">
        <v>299</v>
      </c>
      <c r="B119" s="3230" t="s">
        <v>2987</v>
      </c>
      <c r="C119" s="3230">
        <v>16470</v>
      </c>
      <c r="D119" s="3230">
        <v>16400</v>
      </c>
      <c r="E119" s="3230"/>
      <c r="F119" s="3230"/>
      <c r="G119" s="3243">
        <v>10840</v>
      </c>
    </row>
    <row r="120" spans="1:7" s="3219" customFormat="1" ht="14.25" customHeight="1">
      <c r="A120" s="3230" t="s">
        <v>299</v>
      </c>
      <c r="B120" s="3230" t="s">
        <v>3073</v>
      </c>
      <c r="C120" s="3230"/>
      <c r="D120" s="3230"/>
      <c r="E120" s="3230"/>
      <c r="F120" s="3230">
        <v>4160</v>
      </c>
      <c r="G120" s="3243"/>
    </row>
    <row r="121" spans="1:7" s="3219" customFormat="1" ht="14.25" customHeight="1">
      <c r="A121" s="3230" t="s">
        <v>299</v>
      </c>
      <c r="B121" s="3230" t="s">
        <v>3074</v>
      </c>
      <c r="C121" s="3230"/>
      <c r="D121" s="3230"/>
      <c r="E121" s="3230"/>
      <c r="F121" s="3230">
        <v>3880</v>
      </c>
      <c r="G121" s="3243"/>
    </row>
    <row r="122" spans="1:7" s="3219" customFormat="1" ht="14.25" customHeight="1">
      <c r="A122" s="3230" t="s">
        <v>299</v>
      </c>
      <c r="B122" s="3230" t="s">
        <v>3075</v>
      </c>
      <c r="C122" s="3230">
        <v>13750</v>
      </c>
      <c r="D122" s="3230">
        <v>13680</v>
      </c>
      <c r="E122" s="3230">
        <v>16460</v>
      </c>
      <c r="F122" s="3230">
        <v>2880</v>
      </c>
      <c r="G122" s="3243">
        <v>9040</v>
      </c>
    </row>
    <row r="123" spans="1:7" s="3219" customFormat="1" ht="14.25" customHeight="1">
      <c r="A123" s="3230" t="s">
        <v>299</v>
      </c>
      <c r="B123" s="3230" t="s">
        <v>3006</v>
      </c>
      <c r="C123" s="3230">
        <v>13590</v>
      </c>
      <c r="D123" s="3230">
        <v>13520</v>
      </c>
      <c r="E123" s="3230">
        <v>16290</v>
      </c>
      <c r="F123" s="3230">
        <v>2790</v>
      </c>
      <c r="G123" s="3243">
        <v>8930</v>
      </c>
    </row>
    <row r="124" spans="1:7" s="3219" customFormat="1" ht="14.25" customHeight="1">
      <c r="A124" s="3230" t="s">
        <v>299</v>
      </c>
      <c r="B124" s="3230" t="s">
        <v>3011</v>
      </c>
      <c r="C124" s="3230">
        <v>13400</v>
      </c>
      <c r="D124" s="3230">
        <v>13320</v>
      </c>
      <c r="E124" s="3230">
        <v>16100</v>
      </c>
      <c r="F124" s="3230">
        <v>2320</v>
      </c>
      <c r="G124" s="3243">
        <v>8800</v>
      </c>
    </row>
    <row r="125" spans="1:7" s="3219" customFormat="1" ht="14.25" customHeight="1">
      <c r="A125" s="3230" t="s">
        <v>299</v>
      </c>
      <c r="B125" s="3230" t="s">
        <v>3016</v>
      </c>
      <c r="C125" s="3230">
        <v>12860</v>
      </c>
      <c r="D125" s="3230">
        <v>12790</v>
      </c>
      <c r="E125" s="3230">
        <v>15370</v>
      </c>
      <c r="F125" s="3230">
        <v>2280</v>
      </c>
      <c r="G125" s="3243">
        <v>8450</v>
      </c>
    </row>
    <row r="126" spans="1:7" s="3219" customFormat="1" ht="14.25" customHeight="1" thickBot="1">
      <c r="A126" s="3244" t="s">
        <v>299</v>
      </c>
      <c r="B126" s="3237" t="s">
        <v>3021</v>
      </c>
      <c r="C126" s="3237">
        <v>12960</v>
      </c>
      <c r="D126" s="3237">
        <v>12890</v>
      </c>
      <c r="E126" s="3237">
        <v>15530</v>
      </c>
      <c r="F126" s="3237">
        <v>2910</v>
      </c>
      <c r="G126" s="3245">
        <v>8520</v>
      </c>
    </row>
    <row r="127" spans="1:7" s="3219" customFormat="1" ht="14.25" customHeight="1">
      <c r="A127" s="3235" t="s">
        <v>25</v>
      </c>
      <c r="B127" s="3226" t="s">
        <v>3076</v>
      </c>
      <c r="C127" s="3230">
        <v>12280</v>
      </c>
      <c r="D127" s="3230">
        <v>12250</v>
      </c>
      <c r="E127" s="3230">
        <v>15130</v>
      </c>
      <c r="F127" s="3230">
        <v>2710</v>
      </c>
      <c r="G127" s="3230">
        <v>7870</v>
      </c>
    </row>
    <row r="128" spans="1:7" s="3219" customFormat="1" ht="14.25" customHeight="1">
      <c r="A128" s="3230" t="s">
        <v>25</v>
      </c>
      <c r="B128" s="3230" t="s">
        <v>128</v>
      </c>
      <c r="C128" s="3230">
        <v>13180</v>
      </c>
      <c r="D128" s="3230">
        <v>13150</v>
      </c>
      <c r="E128" s="3230">
        <v>16190</v>
      </c>
      <c r="F128" s="3230">
        <v>2820</v>
      </c>
      <c r="G128" s="3230">
        <v>8460</v>
      </c>
    </row>
    <row r="129" spans="1:7" s="3219" customFormat="1" ht="14.25" customHeight="1">
      <c r="A129" s="3230" t="s">
        <v>25</v>
      </c>
      <c r="B129" s="3230" t="s">
        <v>137</v>
      </c>
      <c r="C129" s="3230">
        <v>10950</v>
      </c>
      <c r="D129" s="3230">
        <v>10920</v>
      </c>
      <c r="E129" s="3230">
        <v>13820</v>
      </c>
      <c r="F129" s="3230">
        <v>2500</v>
      </c>
      <c r="G129" s="3230">
        <v>7020</v>
      </c>
    </row>
    <row r="130" spans="1:7" s="3219" customFormat="1" ht="14.25" customHeight="1">
      <c r="A130" s="3230" t="s">
        <v>25</v>
      </c>
      <c r="B130" s="3230" t="s">
        <v>146</v>
      </c>
      <c r="C130" s="3230">
        <v>10910</v>
      </c>
      <c r="D130" s="3230">
        <v>10860</v>
      </c>
      <c r="E130" s="3230">
        <v>13730</v>
      </c>
      <c r="F130" s="3230">
        <v>2760</v>
      </c>
      <c r="G130" s="3230">
        <v>6990</v>
      </c>
    </row>
    <row r="131" spans="1:7" s="3219" customFormat="1" ht="14.25" customHeight="1">
      <c r="A131" s="3230" t="s">
        <v>25</v>
      </c>
      <c r="B131" s="3230" t="s">
        <v>155</v>
      </c>
      <c r="C131" s="3230">
        <v>12910</v>
      </c>
      <c r="D131" s="3230">
        <v>12870</v>
      </c>
      <c r="E131" s="3230">
        <v>15720</v>
      </c>
      <c r="F131" s="3230">
        <v>2750</v>
      </c>
      <c r="G131" s="3230">
        <v>8280</v>
      </c>
    </row>
    <row r="132" spans="1:7" s="3219" customFormat="1" ht="14.25" customHeight="1">
      <c r="A132" s="3230" t="s">
        <v>25</v>
      </c>
      <c r="B132" s="3230" t="s">
        <v>162</v>
      </c>
      <c r="C132" s="3230">
        <v>11910</v>
      </c>
      <c r="D132" s="3230">
        <v>11860</v>
      </c>
      <c r="E132" s="3230">
        <v>14730</v>
      </c>
      <c r="F132" s="3230">
        <v>2360</v>
      </c>
      <c r="G132" s="3230">
        <v>7630</v>
      </c>
    </row>
    <row r="133" spans="1:7" s="3219" customFormat="1" ht="14.25" customHeight="1">
      <c r="A133" s="3230" t="s">
        <v>25</v>
      </c>
      <c r="B133" s="3230" t="s">
        <v>168</v>
      </c>
      <c r="C133" s="3230">
        <v>12270</v>
      </c>
      <c r="D133" s="3230">
        <v>12210</v>
      </c>
      <c r="E133" s="3230">
        <v>15010</v>
      </c>
      <c r="F133" s="3230">
        <v>2580</v>
      </c>
      <c r="G133" s="3230">
        <v>7860</v>
      </c>
    </row>
    <row r="134" spans="1:7" s="3219" customFormat="1" ht="14.25" customHeight="1">
      <c r="A134" s="3230" t="s">
        <v>25</v>
      </c>
      <c r="B134" s="3230" t="s">
        <v>175</v>
      </c>
      <c r="C134" s="3230">
        <v>10800</v>
      </c>
      <c r="D134" s="3230">
        <v>10780</v>
      </c>
      <c r="E134" s="3230">
        <v>13640</v>
      </c>
      <c r="F134" s="3230">
        <v>2110</v>
      </c>
      <c r="G134" s="3230">
        <v>6930</v>
      </c>
    </row>
    <row r="135" spans="1:7" s="3219" customFormat="1" ht="14.25" customHeight="1">
      <c r="A135" s="3230" t="s">
        <v>25</v>
      </c>
      <c r="B135" s="3230" t="s">
        <v>185</v>
      </c>
      <c r="C135" s="3230">
        <v>10430</v>
      </c>
      <c r="D135" s="3230">
        <v>10390</v>
      </c>
      <c r="E135" s="3230">
        <v>13140</v>
      </c>
      <c r="F135" s="3230">
        <v>2240</v>
      </c>
      <c r="G135" s="3230">
        <v>6680</v>
      </c>
    </row>
    <row r="136" spans="1:7" s="3219" customFormat="1" ht="14.25" customHeight="1">
      <c r="A136" s="3230" t="s">
        <v>25</v>
      </c>
      <c r="B136" s="3230" t="s">
        <v>194</v>
      </c>
      <c r="C136" s="3230">
        <v>11930</v>
      </c>
      <c r="D136" s="3230">
        <v>11880</v>
      </c>
      <c r="E136" s="3230">
        <v>14770</v>
      </c>
      <c r="F136" s="3230">
        <v>1970</v>
      </c>
      <c r="G136" s="3230">
        <v>7640</v>
      </c>
    </row>
    <row r="137" spans="1:7" s="3219" customFormat="1" ht="14.25" customHeight="1">
      <c r="A137" s="3230" t="s">
        <v>25</v>
      </c>
      <c r="B137" s="3230" t="s">
        <v>201</v>
      </c>
      <c r="C137" s="3230">
        <v>10470</v>
      </c>
      <c r="D137" s="3230">
        <v>10430</v>
      </c>
      <c r="E137" s="3230">
        <v>13190</v>
      </c>
      <c r="F137" s="3230">
        <v>1990</v>
      </c>
      <c r="G137" s="3230">
        <v>6710</v>
      </c>
    </row>
    <row r="138" spans="1:7" s="3219" customFormat="1" ht="14.25" customHeight="1">
      <c r="A138" s="3230" t="s">
        <v>25</v>
      </c>
      <c r="B138" s="3230" t="s">
        <v>208</v>
      </c>
      <c r="C138" s="3230">
        <v>10410</v>
      </c>
      <c r="D138" s="3230">
        <v>10380</v>
      </c>
      <c r="E138" s="3230">
        <v>13130</v>
      </c>
      <c r="F138" s="3230">
        <v>2030</v>
      </c>
      <c r="G138" s="3230">
        <v>6680</v>
      </c>
    </row>
    <row r="139" spans="1:7" s="3219" customFormat="1" ht="14.25" customHeight="1">
      <c r="A139" s="3230" t="s">
        <v>25</v>
      </c>
      <c r="B139" s="3230" t="s">
        <v>214</v>
      </c>
      <c r="C139" s="3230">
        <v>9460</v>
      </c>
      <c r="D139" s="3230">
        <v>9410</v>
      </c>
      <c r="E139" s="3230">
        <v>12050</v>
      </c>
      <c r="F139" s="3230">
        <v>2140</v>
      </c>
      <c r="G139" s="3230">
        <v>6050</v>
      </c>
    </row>
    <row r="140" spans="1:7" s="3219" customFormat="1" ht="14.25" customHeight="1">
      <c r="A140" s="3230" t="s">
        <v>25</v>
      </c>
      <c r="B140" s="3230" t="s">
        <v>222</v>
      </c>
      <c r="C140" s="3230">
        <v>11030</v>
      </c>
      <c r="D140" s="3230">
        <v>10980</v>
      </c>
      <c r="E140" s="3230">
        <v>13880</v>
      </c>
      <c r="F140" s="3230">
        <v>2210</v>
      </c>
      <c r="G140" s="3230">
        <v>7060</v>
      </c>
    </row>
    <row r="141" spans="1:7" s="3219" customFormat="1" ht="14.25" customHeight="1">
      <c r="A141" s="3230" t="s">
        <v>25</v>
      </c>
      <c r="B141" s="3230" t="s">
        <v>230</v>
      </c>
      <c r="C141" s="3230">
        <v>11200</v>
      </c>
      <c r="D141" s="3230">
        <v>11150</v>
      </c>
      <c r="E141" s="3230">
        <v>14100</v>
      </c>
      <c r="F141" s="3230">
        <v>2470</v>
      </c>
      <c r="G141" s="3230">
        <v>7170</v>
      </c>
    </row>
    <row r="142" spans="1:7" s="3219" customFormat="1" ht="14.25" customHeight="1">
      <c r="A142" s="3230" t="s">
        <v>25</v>
      </c>
      <c r="B142" s="3230" t="s">
        <v>235</v>
      </c>
      <c r="C142" s="3230">
        <v>10780</v>
      </c>
      <c r="D142" s="3230">
        <v>10730</v>
      </c>
      <c r="E142" s="3230">
        <v>13540</v>
      </c>
      <c r="F142" s="3230">
        <v>2280</v>
      </c>
      <c r="G142" s="3230">
        <v>6900</v>
      </c>
    </row>
    <row r="143" spans="1:7" s="3219" customFormat="1" ht="14.25" customHeight="1">
      <c r="A143" s="3230" t="s">
        <v>25</v>
      </c>
      <c r="B143" s="3230" t="s">
        <v>244</v>
      </c>
      <c r="C143" s="3230">
        <v>11550</v>
      </c>
      <c r="D143" s="3230">
        <v>11490</v>
      </c>
      <c r="E143" s="3230">
        <v>14480</v>
      </c>
      <c r="F143" s="3230">
        <v>2070</v>
      </c>
      <c r="G143" s="3230">
        <v>7390</v>
      </c>
    </row>
    <row r="144" spans="1:7" s="3219" customFormat="1" ht="14.25" customHeight="1">
      <c r="A144" s="3230" t="s">
        <v>25</v>
      </c>
      <c r="B144" s="3230" t="s">
        <v>251</v>
      </c>
      <c r="C144" s="3230">
        <v>10720</v>
      </c>
      <c r="D144" s="3230">
        <v>10680</v>
      </c>
      <c r="E144" s="3230">
        <v>13480</v>
      </c>
      <c r="F144" s="3230">
        <v>2440</v>
      </c>
      <c r="G144" s="3230">
        <v>6870</v>
      </c>
    </row>
    <row r="145" spans="1:7" s="3219" customFormat="1" ht="14.25" customHeight="1">
      <c r="A145" s="3230" t="s">
        <v>25</v>
      </c>
      <c r="B145" s="3230" t="s">
        <v>259</v>
      </c>
      <c r="C145" s="3230">
        <v>10340</v>
      </c>
      <c r="D145" s="3230">
        <v>10290</v>
      </c>
      <c r="E145" s="3230">
        <v>12880</v>
      </c>
      <c r="F145" s="3230">
        <v>2650</v>
      </c>
      <c r="G145" s="3230">
        <v>6620</v>
      </c>
    </row>
    <row r="146" spans="1:7" s="3219" customFormat="1" ht="14.25" customHeight="1">
      <c r="A146" s="3230" t="s">
        <v>25</v>
      </c>
      <c r="B146" s="3230" t="s">
        <v>266</v>
      </c>
      <c r="C146" s="3230">
        <v>11890</v>
      </c>
      <c r="D146" s="3230">
        <v>11830</v>
      </c>
      <c r="E146" s="3230">
        <v>14670</v>
      </c>
      <c r="F146" s="3230"/>
      <c r="G146" s="3230">
        <v>7610</v>
      </c>
    </row>
    <row r="147" spans="1:7" s="3219" customFormat="1" ht="14.25" customHeight="1">
      <c r="A147" s="3230" t="s">
        <v>25</v>
      </c>
      <c r="B147" s="3230" t="s">
        <v>270</v>
      </c>
      <c r="C147" s="3230">
        <v>12650</v>
      </c>
      <c r="D147" s="3230">
        <v>12600</v>
      </c>
      <c r="E147" s="3230">
        <v>15440</v>
      </c>
      <c r="F147" s="3230"/>
      <c r="G147" s="3230">
        <v>8110</v>
      </c>
    </row>
    <row r="148" spans="1:7" s="3219" customFormat="1" ht="14.25" customHeight="1">
      <c r="A148" s="3230" t="s">
        <v>25</v>
      </c>
      <c r="B148" s="3230" t="s">
        <v>3077</v>
      </c>
      <c r="C148" s="3230">
        <v>10370</v>
      </c>
      <c r="D148" s="3230">
        <v>10310</v>
      </c>
      <c r="E148" s="3230">
        <v>12970</v>
      </c>
      <c r="F148" s="3230"/>
      <c r="G148" s="3230">
        <v>6630</v>
      </c>
    </row>
    <row r="149" spans="1:7" s="3219" customFormat="1" ht="14.25" customHeight="1">
      <c r="A149" s="3230" t="s">
        <v>25</v>
      </c>
      <c r="B149" s="3230" t="s">
        <v>3078</v>
      </c>
      <c r="C149" s="3230">
        <v>11600</v>
      </c>
      <c r="D149" s="3230">
        <v>11560</v>
      </c>
      <c r="E149" s="3230">
        <v>14540</v>
      </c>
      <c r="F149" s="3230">
        <v>2390</v>
      </c>
      <c r="G149" s="3230">
        <v>7430</v>
      </c>
    </row>
    <row r="150" spans="1:7" s="3219" customFormat="1" ht="14.25" customHeight="1">
      <c r="A150" s="3230" t="s">
        <v>25</v>
      </c>
      <c r="B150" s="3230" t="s">
        <v>288</v>
      </c>
      <c r="C150" s="3230">
        <v>9950</v>
      </c>
      <c r="D150" s="3230">
        <v>9890</v>
      </c>
      <c r="E150" s="3230">
        <v>12590</v>
      </c>
      <c r="F150" s="3230">
        <v>1970</v>
      </c>
      <c r="G150" s="3230">
        <v>6360</v>
      </c>
    </row>
    <row r="151" spans="1:7" s="3219" customFormat="1" ht="14.25" customHeight="1">
      <c r="A151" s="3230" t="s">
        <v>25</v>
      </c>
      <c r="B151" s="3230" t="s">
        <v>290</v>
      </c>
      <c r="C151" s="3230">
        <v>10700</v>
      </c>
      <c r="D151" s="3230">
        <v>10650</v>
      </c>
      <c r="E151" s="3230">
        <v>13420</v>
      </c>
      <c r="F151" s="3230">
        <v>2020</v>
      </c>
      <c r="G151" s="3230">
        <v>6850</v>
      </c>
    </row>
    <row r="152" spans="1:7" s="3219" customFormat="1" ht="14.25" customHeight="1">
      <c r="A152" s="3230" t="s">
        <v>25</v>
      </c>
      <c r="B152" s="3230" t="s">
        <v>293</v>
      </c>
      <c r="C152" s="3230">
        <v>10310</v>
      </c>
      <c r="D152" s="3230">
        <v>10260</v>
      </c>
      <c r="E152" s="3230">
        <v>12820</v>
      </c>
      <c r="F152" s="3230">
        <v>1980</v>
      </c>
      <c r="G152" s="3230">
        <v>6600</v>
      </c>
    </row>
    <row r="153" spans="1:7" s="3219" customFormat="1" ht="14.25" customHeight="1">
      <c r="A153" s="3230" t="s">
        <v>25</v>
      </c>
      <c r="B153" s="3230" t="s">
        <v>2952</v>
      </c>
      <c r="C153" s="3230">
        <v>10880</v>
      </c>
      <c r="D153" s="3230">
        <v>10820</v>
      </c>
      <c r="E153" s="3230">
        <v>13660</v>
      </c>
      <c r="F153" s="3230">
        <v>2260</v>
      </c>
      <c r="G153" s="3230">
        <v>6970</v>
      </c>
    </row>
    <row r="154" spans="1:7" s="3219" customFormat="1" ht="14.25" customHeight="1">
      <c r="A154" s="3230" t="s">
        <v>25</v>
      </c>
      <c r="B154" s="3230" t="s">
        <v>3079</v>
      </c>
      <c r="C154" s="3230">
        <v>11220</v>
      </c>
      <c r="D154" s="3230">
        <v>11160</v>
      </c>
      <c r="E154" s="3230">
        <v>14130</v>
      </c>
      <c r="F154" s="3230">
        <v>2230</v>
      </c>
      <c r="G154" s="3230">
        <v>7180</v>
      </c>
    </row>
    <row r="155" spans="1:7" s="3219" customFormat="1" ht="14.25" customHeight="1">
      <c r="A155" s="3230" t="s">
        <v>25</v>
      </c>
      <c r="B155" s="3230" t="s">
        <v>2965</v>
      </c>
      <c r="C155" s="3230">
        <v>10430</v>
      </c>
      <c r="D155" s="3230">
        <v>10380</v>
      </c>
      <c r="E155" s="3230">
        <v>13140</v>
      </c>
      <c r="F155" s="3230">
        <v>2080</v>
      </c>
      <c r="G155" s="3230">
        <v>6650</v>
      </c>
    </row>
    <row r="156" spans="1:7" s="3219" customFormat="1" ht="14.25" customHeight="1">
      <c r="A156" s="3230" t="s">
        <v>25</v>
      </c>
      <c r="B156" s="3230" t="s">
        <v>3080</v>
      </c>
      <c r="C156" s="3230">
        <v>10440</v>
      </c>
      <c r="D156" s="3230">
        <v>10400</v>
      </c>
      <c r="E156" s="3230">
        <v>13150</v>
      </c>
      <c r="F156" s="3230">
        <v>2490</v>
      </c>
      <c r="G156" s="3230">
        <v>6690</v>
      </c>
    </row>
    <row r="157" spans="1:7" s="3219" customFormat="1" ht="14.25" customHeight="1">
      <c r="A157" s="3230" t="s">
        <v>25</v>
      </c>
      <c r="B157" s="3230" t="s">
        <v>296</v>
      </c>
      <c r="C157" s="3230">
        <v>10970</v>
      </c>
      <c r="D157" s="3230">
        <v>10920</v>
      </c>
      <c r="E157" s="3230">
        <v>13840</v>
      </c>
      <c r="F157" s="3230">
        <v>2420</v>
      </c>
      <c r="G157" s="3230">
        <v>7020</v>
      </c>
    </row>
    <row r="158" spans="1:7" s="3219" customFormat="1" ht="14.25" customHeight="1">
      <c r="A158" s="3230" t="s">
        <v>25</v>
      </c>
      <c r="B158" s="3230" t="s">
        <v>297</v>
      </c>
      <c r="C158" s="3230">
        <v>9590</v>
      </c>
      <c r="D158" s="3230">
        <v>9540</v>
      </c>
      <c r="E158" s="3230">
        <v>12210</v>
      </c>
      <c r="F158" s="3230">
        <v>2100</v>
      </c>
      <c r="G158" s="3230">
        <v>6130</v>
      </c>
    </row>
    <row r="159" spans="1:7" s="3219" customFormat="1" ht="14.25" customHeight="1">
      <c r="A159" s="3230" t="s">
        <v>25</v>
      </c>
      <c r="B159" s="3230" t="s">
        <v>298</v>
      </c>
      <c r="C159" s="3230">
        <v>11190</v>
      </c>
      <c r="D159" s="3230">
        <v>11140</v>
      </c>
      <c r="E159" s="3230">
        <v>14090</v>
      </c>
      <c r="F159" s="3230">
        <v>2470</v>
      </c>
      <c r="G159" s="3230">
        <v>7170</v>
      </c>
    </row>
    <row r="160" spans="1:7" s="3219" customFormat="1" ht="14.25" customHeight="1">
      <c r="A160" s="3230" t="s">
        <v>25</v>
      </c>
      <c r="B160" s="3230" t="s">
        <v>3081</v>
      </c>
      <c r="C160" s="3230">
        <v>11180</v>
      </c>
      <c r="D160" s="3230">
        <v>11140</v>
      </c>
      <c r="E160" s="3230">
        <v>14050</v>
      </c>
      <c r="F160" s="3230">
        <v>2270</v>
      </c>
      <c r="G160" s="3230">
        <v>7170</v>
      </c>
    </row>
    <row r="161" spans="1:7" s="3219" customFormat="1" ht="14.25" customHeight="1">
      <c r="A161" s="3230" t="s">
        <v>25</v>
      </c>
      <c r="B161" s="3230" t="s">
        <v>2997</v>
      </c>
      <c r="C161" s="3230">
        <v>11160</v>
      </c>
      <c r="D161" s="3230">
        <v>11120</v>
      </c>
      <c r="E161" s="3230">
        <v>14020</v>
      </c>
      <c r="F161" s="3230">
        <v>2150</v>
      </c>
      <c r="G161" s="3230">
        <v>7160</v>
      </c>
    </row>
    <row r="162" spans="1:7" s="3219" customFormat="1" ht="14.25" customHeight="1">
      <c r="A162" s="3230" t="s">
        <v>25</v>
      </c>
      <c r="B162" s="3230" t="s">
        <v>3002</v>
      </c>
      <c r="C162" s="3230">
        <v>9620</v>
      </c>
      <c r="D162" s="3230">
        <v>9570</v>
      </c>
      <c r="E162" s="3230">
        <v>12320</v>
      </c>
      <c r="F162" s="3230">
        <v>2010</v>
      </c>
      <c r="G162" s="3230">
        <v>6160</v>
      </c>
    </row>
    <row r="163" spans="1:7" s="3219" customFormat="1" ht="14.25" customHeight="1">
      <c r="A163" s="3230" t="s">
        <v>25</v>
      </c>
      <c r="B163" s="3230" t="s">
        <v>3007</v>
      </c>
      <c r="C163" s="3230">
        <v>9320</v>
      </c>
      <c r="D163" s="3230">
        <v>9270</v>
      </c>
      <c r="E163" s="3230">
        <v>11790</v>
      </c>
      <c r="F163" s="3230">
        <v>1920</v>
      </c>
      <c r="G163" s="3230">
        <v>5960</v>
      </c>
    </row>
    <row r="164" spans="1:7" s="3219" customFormat="1" ht="14.25" customHeight="1">
      <c r="A164" s="3230" t="s">
        <v>25</v>
      </c>
      <c r="B164" s="3230" t="s">
        <v>3012</v>
      </c>
      <c r="C164" s="3230"/>
      <c r="D164" s="3230"/>
      <c r="E164" s="3230"/>
      <c r="F164" s="3230">
        <v>1980</v>
      </c>
      <c r="G164" s="3230"/>
    </row>
    <row r="165" spans="1:7" s="3219" customFormat="1" ht="14.25" customHeight="1">
      <c r="A165" s="3230" t="s">
        <v>25</v>
      </c>
      <c r="B165" s="3230" t="s">
        <v>3082</v>
      </c>
      <c r="C165" s="3230">
        <v>11060</v>
      </c>
      <c r="D165" s="3230">
        <v>11030</v>
      </c>
      <c r="E165" s="3230">
        <v>13850</v>
      </c>
      <c r="F165" s="3230">
        <v>2170</v>
      </c>
      <c r="G165" s="3230">
        <v>7090</v>
      </c>
    </row>
    <row r="166" spans="1:7" s="3219" customFormat="1" ht="14.25" customHeight="1">
      <c r="A166" s="3230" t="s">
        <v>25</v>
      </c>
      <c r="B166" s="3230" t="s">
        <v>3022</v>
      </c>
      <c r="C166" s="3230">
        <v>11050</v>
      </c>
      <c r="D166" s="3230">
        <v>11010</v>
      </c>
      <c r="E166" s="3230">
        <v>13920</v>
      </c>
      <c r="F166" s="3230">
        <v>2140</v>
      </c>
      <c r="G166" s="3230">
        <v>7080</v>
      </c>
    </row>
    <row r="167" spans="1:7" s="3219" customFormat="1" ht="14.25" customHeight="1">
      <c r="A167" s="3230" t="s">
        <v>25</v>
      </c>
      <c r="B167" s="3230" t="s">
        <v>3026</v>
      </c>
      <c r="C167" s="3230">
        <v>10930</v>
      </c>
      <c r="D167" s="3230">
        <v>10890</v>
      </c>
      <c r="E167" s="3230">
        <v>13790</v>
      </c>
      <c r="F167" s="3230">
        <v>2010</v>
      </c>
      <c r="G167" s="3230">
        <v>7000</v>
      </c>
    </row>
    <row r="168" spans="1:7" s="3219" customFormat="1" ht="14.25" customHeight="1">
      <c r="A168" s="3230" t="s">
        <v>25</v>
      </c>
      <c r="B168" s="3230" t="s">
        <v>3031</v>
      </c>
      <c r="C168" s="3230">
        <v>9420</v>
      </c>
      <c r="D168" s="3230">
        <v>9380</v>
      </c>
      <c r="E168" s="3230">
        <v>11970</v>
      </c>
      <c r="F168" s="3230"/>
      <c r="G168" s="3230">
        <v>6040</v>
      </c>
    </row>
    <row r="169" spans="1:7" s="3219" customFormat="1" ht="14.25" customHeight="1">
      <c r="A169" s="3230" t="s">
        <v>25</v>
      </c>
      <c r="B169" s="3230" t="s">
        <v>3083</v>
      </c>
      <c r="C169" s="3230"/>
      <c r="D169" s="3230"/>
      <c r="E169" s="3230"/>
      <c r="F169" s="3230">
        <v>2880</v>
      </c>
      <c r="G169" s="3230"/>
    </row>
    <row r="170" spans="1:7" s="3219" customFormat="1" ht="14.25" customHeight="1">
      <c r="A170" s="3230" t="s">
        <v>25</v>
      </c>
      <c r="B170" s="3230" t="s">
        <v>3039</v>
      </c>
      <c r="C170" s="3230"/>
      <c r="D170" s="3230"/>
      <c r="E170" s="3230"/>
      <c r="F170" s="3230">
        <v>2880</v>
      </c>
      <c r="G170" s="3230"/>
    </row>
    <row r="171" spans="1:7" s="3219" customFormat="1" ht="14.25" customHeight="1">
      <c r="A171" s="3230" t="s">
        <v>25</v>
      </c>
      <c r="B171" s="3230" t="s">
        <v>3042</v>
      </c>
      <c r="C171" s="3230"/>
      <c r="D171" s="3230"/>
      <c r="E171" s="3230"/>
      <c r="F171" s="3230">
        <v>2880</v>
      </c>
      <c r="G171" s="3230"/>
    </row>
    <row r="172" spans="1:7" s="3219" customFormat="1" ht="14.25" customHeight="1">
      <c r="A172" s="3230" t="s">
        <v>25</v>
      </c>
      <c r="B172" s="3230" t="s">
        <v>3044</v>
      </c>
      <c r="C172" s="3230"/>
      <c r="D172" s="3230"/>
      <c r="E172" s="3230"/>
      <c r="F172" s="3230">
        <v>2880</v>
      </c>
      <c r="G172" s="3230"/>
    </row>
    <row r="173" spans="1:7" s="3219" customFormat="1" ht="14.25" customHeight="1">
      <c r="A173" s="3230" t="s">
        <v>25</v>
      </c>
      <c r="B173" s="3230" t="s">
        <v>3046</v>
      </c>
      <c r="C173" s="3230"/>
      <c r="D173" s="3230"/>
      <c r="E173" s="3230"/>
      <c r="F173" s="3230">
        <v>2150</v>
      </c>
      <c r="G173" s="3230"/>
    </row>
    <row r="174" spans="1:7" s="3219" customFormat="1" ht="14.25" customHeight="1">
      <c r="A174" s="3230" t="s">
        <v>25</v>
      </c>
      <c r="B174" s="3230" t="s">
        <v>3048</v>
      </c>
      <c r="C174" s="3230"/>
      <c r="D174" s="3230"/>
      <c r="E174" s="3230"/>
      <c r="F174" s="3230">
        <v>2030</v>
      </c>
      <c r="G174" s="3230"/>
    </row>
    <row r="175" spans="1:7" s="3219" customFormat="1" ht="14.25" customHeight="1">
      <c r="A175" s="3230" t="s">
        <v>25</v>
      </c>
      <c r="B175" s="3230" t="s">
        <v>3050</v>
      </c>
      <c r="C175" s="3230"/>
      <c r="D175" s="3230"/>
      <c r="E175" s="3230"/>
      <c r="F175" s="3230">
        <v>2780</v>
      </c>
      <c r="G175" s="3230"/>
    </row>
    <row r="176" spans="1:7" s="3219" customFormat="1" ht="14.25" customHeight="1">
      <c r="A176" s="3230" t="s">
        <v>25</v>
      </c>
      <c r="B176" s="3230" t="s">
        <v>3052</v>
      </c>
      <c r="C176" s="3230"/>
      <c r="D176" s="3230"/>
      <c r="E176" s="3230"/>
      <c r="F176" s="3230">
        <v>2780</v>
      </c>
      <c r="G176" s="3230"/>
    </row>
    <row r="177" spans="1:7" s="3219" customFormat="1" ht="14.25" customHeight="1">
      <c r="A177" s="3230" t="s">
        <v>25</v>
      </c>
      <c r="B177" s="3230" t="s">
        <v>3084</v>
      </c>
      <c r="C177" s="3230"/>
      <c r="D177" s="3230"/>
      <c r="E177" s="3230"/>
      <c r="F177" s="3230">
        <v>2780</v>
      </c>
      <c r="G177" s="3230"/>
    </row>
    <row r="178" spans="1:7" s="3219" customFormat="1" ht="14.25" customHeight="1">
      <c r="A178" s="3230" t="s">
        <v>25</v>
      </c>
      <c r="B178" s="3230" t="s">
        <v>3085</v>
      </c>
      <c r="C178" s="3230"/>
      <c r="D178" s="3230"/>
      <c r="E178" s="3230"/>
      <c r="F178" s="3230">
        <v>2060</v>
      </c>
      <c r="G178" s="3230"/>
    </row>
    <row r="179" spans="1:7" s="3219" customFormat="1" ht="14.25" customHeight="1">
      <c r="A179" s="3230" t="s">
        <v>25</v>
      </c>
      <c r="B179" s="3230" t="s">
        <v>3086</v>
      </c>
      <c r="C179" s="3230"/>
      <c r="D179" s="3230"/>
      <c r="E179" s="3230"/>
      <c r="F179" s="3230">
        <v>2120</v>
      </c>
      <c r="G179" s="3230"/>
    </row>
    <row r="180" spans="1:7" s="3219" customFormat="1" ht="14.25" customHeight="1">
      <c r="A180" s="3230" t="s">
        <v>25</v>
      </c>
      <c r="B180" s="3230" t="s">
        <v>3058</v>
      </c>
      <c r="C180" s="3230"/>
      <c r="D180" s="3230"/>
      <c r="E180" s="3230"/>
      <c r="F180" s="3230">
        <v>2340</v>
      </c>
      <c r="G180" s="3230"/>
    </row>
    <row r="181" spans="1:7" s="3219" customFormat="1" ht="14.25" customHeight="1">
      <c r="A181" s="3230" t="s">
        <v>25</v>
      </c>
      <c r="B181" s="3230" t="s">
        <v>3059</v>
      </c>
      <c r="C181" s="3230"/>
      <c r="D181" s="3230"/>
      <c r="E181" s="3230"/>
      <c r="F181" s="3230">
        <v>2340</v>
      </c>
      <c r="G181" s="3230"/>
    </row>
    <row r="182" spans="1:7" s="3219" customFormat="1" ht="14.25" customHeight="1">
      <c r="A182" s="3230" t="s">
        <v>25</v>
      </c>
      <c r="B182" s="3230" t="s">
        <v>3060</v>
      </c>
      <c r="C182" s="3230"/>
      <c r="D182" s="3230"/>
      <c r="E182" s="3230"/>
      <c r="F182" s="3230">
        <v>2340</v>
      </c>
      <c r="G182" s="3230"/>
    </row>
    <row r="183" spans="1:7" s="3219" customFormat="1" ht="14.25" customHeight="1">
      <c r="A183" s="3230" t="s">
        <v>25</v>
      </c>
      <c r="B183" s="3230" t="s">
        <v>3061</v>
      </c>
      <c r="C183" s="3230"/>
      <c r="D183" s="3230"/>
      <c r="E183" s="3230"/>
      <c r="F183" s="3230">
        <v>2340</v>
      </c>
      <c r="G183" s="3230"/>
    </row>
    <row r="184" spans="1:7" s="3219" customFormat="1" ht="14.25" customHeight="1">
      <c r="A184" s="3230" t="s">
        <v>25</v>
      </c>
      <c r="B184" s="3230" t="s">
        <v>3062</v>
      </c>
      <c r="C184" s="3230"/>
      <c r="D184" s="3230"/>
      <c r="E184" s="3230"/>
      <c r="F184" s="3230">
        <v>2340</v>
      </c>
      <c r="G184" s="3230"/>
    </row>
    <row r="185" spans="1:7" s="3219" customFormat="1" ht="14.25" customHeight="1">
      <c r="A185" s="3230" t="s">
        <v>25</v>
      </c>
      <c r="B185" s="3230" t="s">
        <v>3063</v>
      </c>
      <c r="C185" s="3230"/>
      <c r="D185" s="3230"/>
      <c r="E185" s="3230"/>
      <c r="F185" s="3230">
        <v>2530</v>
      </c>
      <c r="G185" s="3230"/>
    </row>
    <row r="186" spans="1:7" s="3219" customFormat="1" ht="14.25" customHeight="1">
      <c r="A186" s="3230" t="s">
        <v>25</v>
      </c>
      <c r="B186" s="3230" t="s">
        <v>3064</v>
      </c>
      <c r="C186" s="3230"/>
      <c r="D186" s="3230"/>
      <c r="E186" s="3230"/>
      <c r="F186" s="3230">
        <v>2550</v>
      </c>
      <c r="G186" s="3230"/>
    </row>
    <row r="187" spans="1:7" s="3219" customFormat="1" ht="14.25" customHeight="1">
      <c r="A187" s="3230" t="s">
        <v>25</v>
      </c>
      <c r="B187" s="3230" t="s">
        <v>3065</v>
      </c>
      <c r="C187" s="3230"/>
      <c r="D187" s="3230"/>
      <c r="E187" s="3230"/>
      <c r="F187" s="3230">
        <v>2070</v>
      </c>
      <c r="G187" s="3230"/>
    </row>
    <row r="188" spans="1:7" s="3219" customFormat="1" ht="14.25" customHeight="1">
      <c r="A188" s="3230" t="s">
        <v>25</v>
      </c>
      <c r="B188" s="3230" t="s">
        <v>3066</v>
      </c>
      <c r="C188" s="3230"/>
      <c r="D188" s="3230"/>
      <c r="E188" s="3230"/>
      <c r="F188" s="3230">
        <v>2340</v>
      </c>
      <c r="G188" s="3230"/>
    </row>
    <row r="189" spans="1:7" s="3219" customFormat="1" ht="14.25" customHeight="1" thickBot="1">
      <c r="A189" s="3238" t="s">
        <v>25</v>
      </c>
      <c r="B189" s="3241" t="s">
        <v>3067</v>
      </c>
      <c r="C189" s="3241"/>
      <c r="D189" s="3241"/>
      <c r="E189" s="3241"/>
      <c r="F189" s="3241">
        <v>2050</v>
      </c>
      <c r="G189" s="3241"/>
    </row>
    <row r="190" spans="1:7" s="3219" customFormat="1" ht="14.25" customHeight="1">
      <c r="A190" s="3235" t="s">
        <v>300</v>
      </c>
      <c r="B190" s="3226" t="s">
        <v>3087</v>
      </c>
      <c r="C190" s="3226">
        <v>8830</v>
      </c>
      <c r="D190" s="3226">
        <v>8790</v>
      </c>
      <c r="E190" s="3226">
        <v>11630</v>
      </c>
      <c r="F190" s="3226">
        <v>1790</v>
      </c>
      <c r="G190" s="3242">
        <v>5550</v>
      </c>
    </row>
    <row r="191" spans="1:7" s="3219" customFormat="1" ht="14.25" customHeight="1">
      <c r="A191" s="3230" t="s">
        <v>300</v>
      </c>
      <c r="B191" s="3230" t="s">
        <v>129</v>
      </c>
      <c r="C191" s="3230">
        <v>9780</v>
      </c>
      <c r="D191" s="3230">
        <v>9710</v>
      </c>
      <c r="E191" s="3230">
        <v>12550</v>
      </c>
      <c r="F191" s="3230">
        <v>1980</v>
      </c>
      <c r="G191" s="3243">
        <v>6130</v>
      </c>
    </row>
    <row r="192" spans="1:7" s="3219" customFormat="1" ht="14.25" customHeight="1">
      <c r="A192" s="3230" t="s">
        <v>300</v>
      </c>
      <c r="B192" s="3230" t="s">
        <v>138</v>
      </c>
      <c r="C192" s="3230">
        <v>8180</v>
      </c>
      <c r="D192" s="3230">
        <v>8140</v>
      </c>
      <c r="E192" s="3230">
        <v>10870</v>
      </c>
      <c r="F192" s="3230">
        <v>1690</v>
      </c>
      <c r="G192" s="3243">
        <v>5140</v>
      </c>
    </row>
    <row r="193" spans="1:7" s="3219" customFormat="1" ht="14.25" customHeight="1">
      <c r="A193" s="3230" t="s">
        <v>300</v>
      </c>
      <c r="B193" s="3230" t="s">
        <v>147</v>
      </c>
      <c r="C193" s="3230">
        <v>8440</v>
      </c>
      <c r="D193" s="3230">
        <v>8390</v>
      </c>
      <c r="E193" s="3230">
        <v>11210</v>
      </c>
      <c r="F193" s="3230">
        <v>1600</v>
      </c>
      <c r="G193" s="3243">
        <v>5300</v>
      </c>
    </row>
    <row r="194" spans="1:7" s="3219" customFormat="1" ht="14.25" customHeight="1">
      <c r="A194" s="3230" t="s">
        <v>300</v>
      </c>
      <c r="B194" s="3230" t="s">
        <v>156</v>
      </c>
      <c r="C194" s="3230">
        <v>8780</v>
      </c>
      <c r="D194" s="3230">
        <v>8730</v>
      </c>
      <c r="E194" s="3230">
        <v>11550</v>
      </c>
      <c r="F194" s="3230">
        <v>1660</v>
      </c>
      <c r="G194" s="3243">
        <v>5520</v>
      </c>
    </row>
    <row r="195" spans="1:7" s="3219" customFormat="1" ht="14.25" customHeight="1">
      <c r="A195" s="3230" t="s">
        <v>300</v>
      </c>
      <c r="B195" s="3230" t="s">
        <v>163</v>
      </c>
      <c r="C195" s="3230">
        <v>8720</v>
      </c>
      <c r="D195" s="3230">
        <v>8670</v>
      </c>
      <c r="E195" s="3230">
        <v>11450</v>
      </c>
      <c r="F195" s="3230">
        <v>1720</v>
      </c>
      <c r="G195" s="3243">
        <v>5480</v>
      </c>
    </row>
    <row r="196" spans="1:7" s="3219" customFormat="1" ht="14.25" customHeight="1">
      <c r="A196" s="3230" t="s">
        <v>300</v>
      </c>
      <c r="B196" s="3230" t="s">
        <v>169</v>
      </c>
      <c r="C196" s="3230">
        <v>8460</v>
      </c>
      <c r="D196" s="3230">
        <v>8410</v>
      </c>
      <c r="E196" s="3230">
        <v>11230</v>
      </c>
      <c r="F196" s="3230">
        <v>1730</v>
      </c>
      <c r="G196" s="3243">
        <v>5310</v>
      </c>
    </row>
    <row r="197" spans="1:7" s="3219" customFormat="1" ht="14.25" customHeight="1">
      <c r="A197" s="3230" t="s">
        <v>300</v>
      </c>
      <c r="B197" s="3230" t="s">
        <v>176</v>
      </c>
      <c r="C197" s="3230">
        <v>8790</v>
      </c>
      <c r="D197" s="3230">
        <v>8730</v>
      </c>
      <c r="E197" s="3230">
        <v>11560</v>
      </c>
      <c r="F197" s="3230">
        <v>1750</v>
      </c>
      <c r="G197" s="3243">
        <v>5520</v>
      </c>
    </row>
    <row r="198" spans="1:7" s="3219" customFormat="1" ht="14.25" customHeight="1">
      <c r="A198" s="3230" t="s">
        <v>300</v>
      </c>
      <c r="B198" s="3230" t="s">
        <v>186</v>
      </c>
      <c r="C198" s="3230">
        <v>8720</v>
      </c>
      <c r="D198" s="3230">
        <v>8680</v>
      </c>
      <c r="E198" s="3230">
        <v>11470</v>
      </c>
      <c r="F198" s="3230"/>
      <c r="G198" s="3243">
        <v>5480</v>
      </c>
    </row>
    <row r="199" spans="1:7" s="3219" customFormat="1" ht="14.25" customHeight="1">
      <c r="A199" s="3230" t="s">
        <v>300</v>
      </c>
      <c r="B199" s="3230" t="s">
        <v>3088</v>
      </c>
      <c r="C199" s="3230">
        <v>8690</v>
      </c>
      <c r="D199" s="3230">
        <v>8630</v>
      </c>
      <c r="E199" s="3230">
        <v>11350</v>
      </c>
      <c r="F199" s="3230">
        <v>1600</v>
      </c>
      <c r="G199" s="3243">
        <v>5450</v>
      </c>
    </row>
    <row r="200" spans="1:7" s="3219" customFormat="1" ht="14.25" customHeight="1">
      <c r="A200" s="3230" t="s">
        <v>300</v>
      </c>
      <c r="B200" s="3230" t="s">
        <v>2899</v>
      </c>
      <c r="C200" s="3230"/>
      <c r="D200" s="3230"/>
      <c r="E200" s="3230"/>
      <c r="F200" s="3230">
        <v>1510</v>
      </c>
      <c r="G200" s="3243"/>
    </row>
    <row r="201" spans="1:7" s="3219" customFormat="1" ht="14.25" customHeight="1">
      <c r="A201" s="3230" t="s">
        <v>300</v>
      </c>
      <c r="B201" s="3230" t="s">
        <v>3089</v>
      </c>
      <c r="C201" s="3230">
        <v>8440</v>
      </c>
      <c r="D201" s="3230">
        <v>8390</v>
      </c>
      <c r="E201" s="3230">
        <v>10930</v>
      </c>
      <c r="F201" s="3230">
        <v>1500</v>
      </c>
      <c r="G201" s="3243">
        <v>5300</v>
      </c>
    </row>
    <row r="202" spans="1:7" s="3219" customFormat="1" ht="14.25" customHeight="1">
      <c r="A202" s="3230" t="s">
        <v>300</v>
      </c>
      <c r="B202" s="3230" t="s">
        <v>236</v>
      </c>
      <c r="C202" s="3230">
        <v>8530</v>
      </c>
      <c r="D202" s="3230">
        <v>8490</v>
      </c>
      <c r="E202" s="3230">
        <v>11160</v>
      </c>
      <c r="F202" s="3230">
        <v>1580</v>
      </c>
      <c r="G202" s="3243">
        <v>5360</v>
      </c>
    </row>
    <row r="203" spans="1:7" s="3219" customFormat="1" ht="14.25" customHeight="1">
      <c r="A203" s="3230" t="s">
        <v>300</v>
      </c>
      <c r="B203" s="3230" t="s">
        <v>3090</v>
      </c>
      <c r="C203" s="3230">
        <v>8130</v>
      </c>
      <c r="D203" s="3230">
        <v>8070</v>
      </c>
      <c r="E203" s="3230">
        <v>10820</v>
      </c>
      <c r="F203" s="3230">
        <v>1690</v>
      </c>
      <c r="G203" s="3243">
        <v>5100</v>
      </c>
    </row>
    <row r="204" spans="1:7" s="3219" customFormat="1" ht="14.25" customHeight="1">
      <c r="A204" s="3230" t="s">
        <v>300</v>
      </c>
      <c r="B204" s="3230" t="s">
        <v>2910</v>
      </c>
      <c r="C204" s="3230">
        <v>8350</v>
      </c>
      <c r="D204" s="3230">
        <v>8290</v>
      </c>
      <c r="E204" s="3230">
        <v>11080</v>
      </c>
      <c r="F204" s="3230">
        <v>1450</v>
      </c>
      <c r="G204" s="3243">
        <v>5240</v>
      </c>
    </row>
    <row r="205" spans="1:7" s="3219" customFormat="1" ht="14.25" customHeight="1">
      <c r="A205" s="3230" t="s">
        <v>300</v>
      </c>
      <c r="B205" s="3230" t="s">
        <v>2912</v>
      </c>
      <c r="C205" s="3230">
        <v>7190</v>
      </c>
      <c r="D205" s="3230">
        <v>7130</v>
      </c>
      <c r="E205" s="3230">
        <v>9490</v>
      </c>
      <c r="F205" s="3230">
        <v>1470</v>
      </c>
      <c r="G205" s="3243">
        <v>4510</v>
      </c>
    </row>
    <row r="206" spans="1:7" s="3219" customFormat="1" ht="14.25" customHeight="1">
      <c r="A206" s="3230" t="s">
        <v>300</v>
      </c>
      <c r="B206" s="3230" t="s">
        <v>2915</v>
      </c>
      <c r="C206" s="3230">
        <v>7000</v>
      </c>
      <c r="D206" s="3230">
        <v>6950</v>
      </c>
      <c r="E206" s="3230">
        <v>9170</v>
      </c>
      <c r="F206" s="3230">
        <v>1400</v>
      </c>
      <c r="G206" s="3243">
        <v>4380</v>
      </c>
    </row>
    <row r="207" spans="1:7" s="3219" customFormat="1" ht="14.25" customHeight="1">
      <c r="A207" s="3230" t="s">
        <v>300</v>
      </c>
      <c r="B207" s="3230" t="s">
        <v>2917</v>
      </c>
      <c r="C207" s="3230">
        <v>6950</v>
      </c>
      <c r="D207" s="3230">
        <v>6900</v>
      </c>
      <c r="E207" s="3230">
        <v>9110</v>
      </c>
      <c r="F207" s="3230">
        <v>1790</v>
      </c>
      <c r="G207" s="3243">
        <v>4360</v>
      </c>
    </row>
    <row r="208" spans="1:7" s="3219" customFormat="1" ht="14.25" customHeight="1">
      <c r="A208" s="3230" t="s">
        <v>300</v>
      </c>
      <c r="B208" s="3230" t="s">
        <v>3091</v>
      </c>
      <c r="C208" s="3230">
        <v>9470</v>
      </c>
      <c r="D208" s="3230">
        <v>9410</v>
      </c>
      <c r="E208" s="3230">
        <v>12330</v>
      </c>
      <c r="F208" s="3230">
        <v>1770</v>
      </c>
      <c r="G208" s="3243">
        <v>5940</v>
      </c>
    </row>
    <row r="209" spans="1:7" s="3219" customFormat="1" ht="14.25" customHeight="1">
      <c r="A209" s="3230" t="s">
        <v>300</v>
      </c>
      <c r="B209" s="3230" t="s">
        <v>260</v>
      </c>
      <c r="C209" s="3230">
        <v>8740</v>
      </c>
      <c r="D209" s="3230">
        <v>8700</v>
      </c>
      <c r="E209" s="3230">
        <v>11500</v>
      </c>
      <c r="F209" s="3230">
        <v>1730</v>
      </c>
      <c r="G209" s="3243">
        <v>5490</v>
      </c>
    </row>
    <row r="210" spans="1:7" s="3219" customFormat="1" ht="14.25" customHeight="1">
      <c r="A210" s="3230" t="s">
        <v>300</v>
      </c>
      <c r="B210" s="3230" t="s">
        <v>2927</v>
      </c>
      <c r="C210" s="3230">
        <v>8710</v>
      </c>
      <c r="D210" s="3230">
        <v>8660</v>
      </c>
      <c r="E210" s="3230">
        <v>11440</v>
      </c>
      <c r="F210" s="3230">
        <v>1740</v>
      </c>
      <c r="G210" s="3243">
        <v>5470</v>
      </c>
    </row>
    <row r="211" spans="1:7" s="3219" customFormat="1" ht="14.25" customHeight="1">
      <c r="A211" s="3230" t="s">
        <v>300</v>
      </c>
      <c r="B211" s="3230" t="s">
        <v>3092</v>
      </c>
      <c r="C211" s="3230">
        <v>9480</v>
      </c>
      <c r="D211" s="3230">
        <v>9430</v>
      </c>
      <c r="E211" s="3230">
        <v>12360</v>
      </c>
      <c r="F211" s="3230">
        <v>1820</v>
      </c>
      <c r="G211" s="3243">
        <v>5950</v>
      </c>
    </row>
    <row r="212" spans="1:7" s="3219" customFormat="1" ht="14.25" customHeight="1">
      <c r="A212" s="3230" t="s">
        <v>300</v>
      </c>
      <c r="B212" s="3230" t="s">
        <v>281</v>
      </c>
      <c r="C212" s="3230">
        <v>9070</v>
      </c>
      <c r="D212" s="3230">
        <v>9020</v>
      </c>
      <c r="E212" s="3230">
        <v>11720</v>
      </c>
      <c r="F212" s="3230">
        <v>1850</v>
      </c>
      <c r="G212" s="3243">
        <v>5700</v>
      </c>
    </row>
    <row r="213" spans="1:7" s="3219" customFormat="1" ht="14.25" customHeight="1">
      <c r="A213" s="3230" t="s">
        <v>300</v>
      </c>
      <c r="B213" s="3230" t="s">
        <v>284</v>
      </c>
      <c r="C213" s="3230">
        <v>9030</v>
      </c>
      <c r="D213" s="3230">
        <v>8980</v>
      </c>
      <c r="E213" s="3230">
        <v>11670</v>
      </c>
      <c r="F213" s="3230">
        <v>1690</v>
      </c>
      <c r="G213" s="3243">
        <v>5670</v>
      </c>
    </row>
    <row r="214" spans="1:7" s="3219" customFormat="1" ht="14.25" customHeight="1">
      <c r="A214" s="3230" t="s">
        <v>300</v>
      </c>
      <c r="B214" s="3230" t="s">
        <v>3093</v>
      </c>
      <c r="C214" s="3230">
        <v>8090</v>
      </c>
      <c r="D214" s="3230">
        <v>8030</v>
      </c>
      <c r="E214" s="3230">
        <v>10780</v>
      </c>
      <c r="F214" s="3230">
        <v>1570</v>
      </c>
      <c r="G214" s="3243">
        <v>5070</v>
      </c>
    </row>
    <row r="215" spans="1:7" s="3219" customFormat="1" ht="14.25" customHeight="1">
      <c r="A215" s="3230" t="s">
        <v>300</v>
      </c>
      <c r="B215" s="3230" t="s">
        <v>3094</v>
      </c>
      <c r="C215" s="3230">
        <v>7950</v>
      </c>
      <c r="D215" s="3230">
        <v>7900</v>
      </c>
      <c r="E215" s="3230">
        <v>10560</v>
      </c>
      <c r="F215" s="3230">
        <v>1630</v>
      </c>
      <c r="G215" s="3243">
        <v>4990</v>
      </c>
    </row>
    <row r="216" spans="1:7" s="3219" customFormat="1" ht="14.25" customHeight="1">
      <c r="A216" s="3230" t="s">
        <v>300</v>
      </c>
      <c r="B216" s="3230" t="s">
        <v>3095</v>
      </c>
      <c r="C216" s="3230">
        <v>8490</v>
      </c>
      <c r="D216" s="3230">
        <v>8440</v>
      </c>
      <c r="E216" s="3230">
        <v>11260</v>
      </c>
      <c r="F216" s="3230">
        <v>1690</v>
      </c>
      <c r="G216" s="3243">
        <v>5330</v>
      </c>
    </row>
    <row r="217" spans="1:7" s="3219" customFormat="1" ht="14.25" customHeight="1">
      <c r="A217" s="3230" t="s">
        <v>300</v>
      </c>
      <c r="B217" s="3230" t="s">
        <v>2960</v>
      </c>
      <c r="C217" s="3230">
        <v>8200</v>
      </c>
      <c r="D217" s="3230">
        <v>8150</v>
      </c>
      <c r="E217" s="3230">
        <v>10910</v>
      </c>
      <c r="F217" s="3230">
        <v>1670</v>
      </c>
      <c r="G217" s="3243">
        <v>5150</v>
      </c>
    </row>
    <row r="218" spans="1:7" s="3219" customFormat="1" ht="14.25" customHeight="1">
      <c r="A218" s="3230" t="s">
        <v>300</v>
      </c>
      <c r="B218" s="3230" t="s">
        <v>3096</v>
      </c>
      <c r="C218" s="3230"/>
      <c r="D218" s="3230"/>
      <c r="E218" s="3230"/>
      <c r="F218" s="3230">
        <v>2040</v>
      </c>
      <c r="G218" s="3243"/>
    </row>
    <row r="219" spans="1:7" s="3219" customFormat="1" ht="14.25" customHeight="1">
      <c r="A219" s="3230" t="s">
        <v>300</v>
      </c>
      <c r="B219" s="3230" t="s">
        <v>3097</v>
      </c>
      <c r="C219" s="3230"/>
      <c r="D219" s="3230"/>
      <c r="E219" s="3230"/>
      <c r="F219" s="3230">
        <v>2040</v>
      </c>
      <c r="G219" s="3243"/>
    </row>
    <row r="220" spans="1:7" s="3219" customFormat="1" ht="14.25" customHeight="1">
      <c r="A220" s="3230" t="s">
        <v>300</v>
      </c>
      <c r="B220" s="3230" t="s">
        <v>3098</v>
      </c>
      <c r="C220" s="3230"/>
      <c r="D220" s="3230"/>
      <c r="E220" s="3230"/>
      <c r="F220" s="3230">
        <v>2040</v>
      </c>
      <c r="G220" s="3243"/>
    </row>
    <row r="221" spans="1:7" s="3219" customFormat="1" ht="14.25" customHeight="1">
      <c r="A221" s="3230" t="s">
        <v>300</v>
      </c>
      <c r="B221" s="3230" t="s">
        <v>3099</v>
      </c>
      <c r="C221" s="3230"/>
      <c r="D221" s="3230"/>
      <c r="E221" s="3230"/>
      <c r="F221" s="3230">
        <v>2040</v>
      </c>
      <c r="G221" s="3243"/>
    </row>
    <row r="222" spans="1:7" s="3219" customFormat="1" ht="14.25" customHeight="1">
      <c r="A222" s="3230" t="s">
        <v>300</v>
      </c>
      <c r="B222" s="3230" t="s">
        <v>3100</v>
      </c>
      <c r="C222" s="3230"/>
      <c r="D222" s="3230"/>
      <c r="E222" s="3230"/>
      <c r="F222" s="3230">
        <v>2040</v>
      </c>
      <c r="G222" s="3243"/>
    </row>
    <row r="223" spans="1:7" s="3219" customFormat="1" ht="14.25" customHeight="1">
      <c r="A223" s="3230" t="s">
        <v>300</v>
      </c>
      <c r="B223" s="3230" t="s">
        <v>3101</v>
      </c>
      <c r="C223" s="3230"/>
      <c r="D223" s="3230"/>
      <c r="E223" s="3230"/>
      <c r="F223" s="3230">
        <v>1930</v>
      </c>
      <c r="G223" s="3243"/>
    </row>
    <row r="224" spans="1:7" s="3219" customFormat="1" ht="14.25" customHeight="1">
      <c r="A224" s="3230" t="s">
        <v>300</v>
      </c>
      <c r="B224" s="3230" t="s">
        <v>3102</v>
      </c>
      <c r="C224" s="3230"/>
      <c r="D224" s="3230"/>
      <c r="E224" s="3230"/>
      <c r="F224" s="3230">
        <v>1930</v>
      </c>
      <c r="G224" s="3243"/>
    </row>
    <row r="225" spans="1:7" s="3219" customFormat="1" ht="14.25" customHeight="1">
      <c r="A225" s="3230" t="s">
        <v>300</v>
      </c>
      <c r="B225" s="3230" t="s">
        <v>3103</v>
      </c>
      <c r="C225" s="3230"/>
      <c r="D225" s="3230"/>
      <c r="E225" s="3230"/>
      <c r="F225" s="3230">
        <v>1930</v>
      </c>
      <c r="G225" s="3243"/>
    </row>
    <row r="226" spans="1:7" s="3219" customFormat="1" ht="14.25" customHeight="1">
      <c r="A226" s="3230" t="s">
        <v>300</v>
      </c>
      <c r="B226" s="3230" t="s">
        <v>3104</v>
      </c>
      <c r="C226" s="3230"/>
      <c r="D226" s="3230"/>
      <c r="E226" s="3230"/>
      <c r="F226" s="3230">
        <v>1700</v>
      </c>
      <c r="G226" s="3243"/>
    </row>
    <row r="227" spans="1:7" s="3219" customFormat="1" ht="14.25" customHeight="1">
      <c r="A227" s="3230" t="s">
        <v>300</v>
      </c>
      <c r="B227" s="3230" t="s">
        <v>3105</v>
      </c>
      <c r="C227" s="3230"/>
      <c r="D227" s="3230"/>
      <c r="E227" s="3230"/>
      <c r="F227" s="3230">
        <v>1520</v>
      </c>
      <c r="G227" s="3243"/>
    </row>
    <row r="228" spans="1:7" s="3219" customFormat="1" ht="14.25" customHeight="1">
      <c r="A228" s="3230" t="s">
        <v>300</v>
      </c>
      <c r="B228" s="3230" t="s">
        <v>3106</v>
      </c>
      <c r="C228" s="3230"/>
      <c r="D228" s="3230"/>
      <c r="E228" s="3230"/>
      <c r="F228" s="3230">
        <v>1520</v>
      </c>
      <c r="G228" s="3243"/>
    </row>
    <row r="229" spans="1:7" s="3219" customFormat="1" ht="14.25" customHeight="1">
      <c r="A229" s="3230" t="s">
        <v>300</v>
      </c>
      <c r="B229" s="3230" t="s">
        <v>3023</v>
      </c>
      <c r="C229" s="3230"/>
      <c r="D229" s="3230"/>
      <c r="E229" s="3230"/>
      <c r="F229" s="3230">
        <v>1520</v>
      </c>
      <c r="G229" s="3243"/>
    </row>
    <row r="230" spans="1:7" s="3219" customFormat="1" ht="14.25" customHeight="1">
      <c r="A230" s="3230" t="s">
        <v>300</v>
      </c>
      <c r="B230" s="3230" t="s">
        <v>3107</v>
      </c>
      <c r="C230" s="3230"/>
      <c r="D230" s="3230"/>
      <c r="E230" s="3230"/>
      <c r="F230" s="3230">
        <v>1820</v>
      </c>
      <c r="G230" s="3243"/>
    </row>
    <row r="231" spans="1:7" s="3219" customFormat="1" ht="14.25" customHeight="1">
      <c r="A231" s="3230" t="s">
        <v>300</v>
      </c>
      <c r="B231" s="3230" t="s">
        <v>3108</v>
      </c>
      <c r="C231" s="3230"/>
      <c r="D231" s="3230"/>
      <c r="E231" s="3230"/>
      <c r="F231" s="3230">
        <v>1760</v>
      </c>
      <c r="G231" s="3243"/>
    </row>
    <row r="232" spans="1:7" s="3219" customFormat="1" ht="14.25" customHeight="1">
      <c r="A232" s="3230" t="s">
        <v>300</v>
      </c>
      <c r="B232" s="3230" t="s">
        <v>3109</v>
      </c>
      <c r="C232" s="3230"/>
      <c r="D232" s="3230"/>
      <c r="E232" s="3230"/>
      <c r="F232" s="3230">
        <v>1840</v>
      </c>
      <c r="G232" s="3243"/>
    </row>
    <row r="233" spans="1:7" s="3219" customFormat="1" ht="14.25" customHeight="1" thickBot="1">
      <c r="A233" s="3244" t="s">
        <v>300</v>
      </c>
      <c r="B233" s="3237" t="s">
        <v>3040</v>
      </c>
      <c r="C233" s="3237"/>
      <c r="D233" s="3237"/>
      <c r="E233" s="3237"/>
      <c r="F233" s="3237">
        <v>1770</v>
      </c>
      <c r="G233" s="3245"/>
    </row>
    <row r="234" spans="1:7" s="3219" customFormat="1" ht="14.25" customHeight="1">
      <c r="A234" s="3235" t="s">
        <v>301</v>
      </c>
      <c r="B234" s="3226" t="s">
        <v>3110</v>
      </c>
      <c r="C234" s="3230">
        <v>6980</v>
      </c>
      <c r="D234" s="3230">
        <v>6970</v>
      </c>
      <c r="E234" s="3230">
        <v>8720</v>
      </c>
      <c r="F234" s="3230">
        <v>1350</v>
      </c>
      <c r="G234" s="3230">
        <v>4280</v>
      </c>
    </row>
    <row r="235" spans="1:7" s="3219" customFormat="1" ht="14.25" customHeight="1">
      <c r="A235" s="3230" t="s">
        <v>301</v>
      </c>
      <c r="B235" s="3230" t="s">
        <v>130</v>
      </c>
      <c r="C235" s="3230">
        <v>7620</v>
      </c>
      <c r="D235" s="3230">
        <v>7580</v>
      </c>
      <c r="E235" s="3230">
        <v>9360</v>
      </c>
      <c r="F235" s="3230">
        <v>1490</v>
      </c>
      <c r="G235" s="3230">
        <v>4650</v>
      </c>
    </row>
    <row r="236" spans="1:7" s="3219" customFormat="1" ht="14.25" customHeight="1">
      <c r="A236" s="3230" t="s">
        <v>301</v>
      </c>
      <c r="B236" s="3230" t="s">
        <v>139</v>
      </c>
      <c r="C236" s="3230">
        <v>6650</v>
      </c>
      <c r="D236" s="3230">
        <v>6630</v>
      </c>
      <c r="E236" s="3230">
        <v>8330</v>
      </c>
      <c r="F236" s="3230">
        <v>1250</v>
      </c>
      <c r="G236" s="3230">
        <v>4070</v>
      </c>
    </row>
    <row r="237" spans="1:7" s="3219" customFormat="1" ht="14.25" customHeight="1">
      <c r="A237" s="3230" t="s">
        <v>301</v>
      </c>
      <c r="B237" s="3230" t="s">
        <v>148</v>
      </c>
      <c r="C237" s="3230">
        <v>5850</v>
      </c>
      <c r="D237" s="3230">
        <v>5820</v>
      </c>
      <c r="E237" s="3230">
        <v>7260</v>
      </c>
      <c r="F237" s="3230">
        <v>1140</v>
      </c>
      <c r="G237" s="3230">
        <v>3570</v>
      </c>
    </row>
    <row r="238" spans="1:7" s="3219" customFormat="1" ht="14.25" customHeight="1">
      <c r="A238" s="3230" t="s">
        <v>301</v>
      </c>
      <c r="B238" s="3230" t="s">
        <v>2881</v>
      </c>
      <c r="C238" s="3230">
        <v>6920</v>
      </c>
      <c r="D238" s="3230">
        <v>6890</v>
      </c>
      <c r="E238" s="3230">
        <v>8640</v>
      </c>
      <c r="F238" s="3230">
        <v>1310</v>
      </c>
      <c r="G238" s="3230">
        <v>4230</v>
      </c>
    </row>
    <row r="239" spans="1:7" s="3219" customFormat="1" ht="14.25" customHeight="1">
      <c r="A239" s="3230" t="s">
        <v>301</v>
      </c>
      <c r="B239" s="3230" t="s">
        <v>3111</v>
      </c>
      <c r="C239" s="3230">
        <v>6780</v>
      </c>
      <c r="D239" s="3230">
        <v>6750</v>
      </c>
      <c r="E239" s="3230">
        <v>8440</v>
      </c>
      <c r="F239" s="3230">
        <v>1160</v>
      </c>
      <c r="G239" s="3230">
        <v>4140</v>
      </c>
    </row>
    <row r="240" spans="1:7" s="3219" customFormat="1" ht="14.25" customHeight="1">
      <c r="A240" s="3230" t="s">
        <v>301</v>
      </c>
      <c r="B240" s="3230" t="s">
        <v>3112</v>
      </c>
      <c r="C240" s="3230">
        <v>5420</v>
      </c>
      <c r="D240" s="3230">
        <v>5380</v>
      </c>
      <c r="E240" s="3230">
        <v>6640</v>
      </c>
      <c r="F240" s="3230">
        <v>1020</v>
      </c>
      <c r="G240" s="3230">
        <v>3300</v>
      </c>
    </row>
    <row r="241" spans="1:7" s="3219" customFormat="1" ht="14.25" customHeight="1">
      <c r="A241" s="3230" t="s">
        <v>301</v>
      </c>
      <c r="B241" s="3230" t="s">
        <v>3113</v>
      </c>
      <c r="C241" s="3230">
        <v>6660</v>
      </c>
      <c r="D241" s="3230">
        <v>6640</v>
      </c>
      <c r="E241" s="3230">
        <v>8340</v>
      </c>
      <c r="F241" s="3230">
        <v>1130</v>
      </c>
      <c r="G241" s="3230">
        <v>4080</v>
      </c>
    </row>
    <row r="242" spans="1:7" s="3219" customFormat="1" ht="14.25" customHeight="1">
      <c r="A242" s="3230" t="s">
        <v>301</v>
      </c>
      <c r="B242" s="3230" t="s">
        <v>177</v>
      </c>
      <c r="C242" s="3230">
        <v>6580</v>
      </c>
      <c r="D242" s="3230">
        <v>6550</v>
      </c>
      <c r="E242" s="3230">
        <v>8090</v>
      </c>
      <c r="F242" s="3230">
        <v>1240</v>
      </c>
      <c r="G242" s="3230">
        <v>4020</v>
      </c>
    </row>
    <row r="243" spans="1:7" s="3219" customFormat="1" ht="14.25" customHeight="1">
      <c r="A243" s="3230" t="s">
        <v>301</v>
      </c>
      <c r="B243" s="3230" t="s">
        <v>187</v>
      </c>
      <c r="C243" s="3230">
        <v>6000</v>
      </c>
      <c r="D243" s="3230">
        <v>5970</v>
      </c>
      <c r="E243" s="3230">
        <v>7370</v>
      </c>
      <c r="F243" s="3230">
        <v>1070</v>
      </c>
      <c r="G243" s="3230">
        <v>3670</v>
      </c>
    </row>
    <row r="244" spans="1:7" s="3219" customFormat="1" ht="14.25" customHeight="1">
      <c r="A244" s="3230" t="s">
        <v>301</v>
      </c>
      <c r="B244" s="3230" t="s">
        <v>3114</v>
      </c>
      <c r="C244" s="3230">
        <v>5840</v>
      </c>
      <c r="D244" s="3230">
        <v>5810</v>
      </c>
      <c r="E244" s="3230">
        <v>7240</v>
      </c>
      <c r="F244" s="3230">
        <v>1100</v>
      </c>
      <c r="G244" s="3230">
        <v>3560</v>
      </c>
    </row>
    <row r="245" spans="1:7" s="3219" customFormat="1" ht="14.25" customHeight="1">
      <c r="A245" s="3230" t="s">
        <v>301</v>
      </c>
      <c r="B245" s="3230" t="s">
        <v>202</v>
      </c>
      <c r="C245" s="3230">
        <v>6040</v>
      </c>
      <c r="D245" s="3230">
        <v>6000</v>
      </c>
      <c r="E245" s="3230">
        <v>7420</v>
      </c>
      <c r="F245" s="3230">
        <v>1140</v>
      </c>
      <c r="G245" s="3230">
        <v>3690</v>
      </c>
    </row>
    <row r="246" spans="1:7" s="3219" customFormat="1" ht="14.25" customHeight="1">
      <c r="A246" s="3230" t="s">
        <v>301</v>
      </c>
      <c r="B246" s="3230" t="s">
        <v>209</v>
      </c>
      <c r="C246" s="3230">
        <v>5890</v>
      </c>
      <c r="D246" s="3230">
        <v>5860</v>
      </c>
      <c r="E246" s="3230">
        <v>7300</v>
      </c>
      <c r="F246" s="3230">
        <v>1110</v>
      </c>
      <c r="G246" s="3230">
        <v>3590</v>
      </c>
    </row>
    <row r="247" spans="1:7" s="3219" customFormat="1" ht="14.25" customHeight="1">
      <c r="A247" s="3230" t="s">
        <v>301</v>
      </c>
      <c r="B247" s="3230" t="s">
        <v>3115</v>
      </c>
      <c r="C247" s="3230">
        <v>6480</v>
      </c>
      <c r="D247" s="3230">
        <v>6450</v>
      </c>
      <c r="E247" s="3230">
        <v>8010</v>
      </c>
      <c r="F247" s="3230">
        <v>1170</v>
      </c>
      <c r="G247" s="3230">
        <v>3960</v>
      </c>
    </row>
    <row r="248" spans="1:7" s="3219" customFormat="1" ht="14.25" customHeight="1">
      <c r="A248" s="3230" t="s">
        <v>301</v>
      </c>
      <c r="B248" s="3230" t="s">
        <v>223</v>
      </c>
      <c r="C248" s="3230">
        <v>6860</v>
      </c>
      <c r="D248" s="3230">
        <v>6840</v>
      </c>
      <c r="E248" s="3230">
        <v>8520</v>
      </c>
      <c r="F248" s="3230">
        <v>1240</v>
      </c>
      <c r="G248" s="3230">
        <v>4200</v>
      </c>
    </row>
    <row r="249" spans="1:7" s="3219" customFormat="1" ht="14.25" customHeight="1">
      <c r="A249" s="3230" t="s">
        <v>301</v>
      </c>
      <c r="B249" s="3230" t="s">
        <v>3116</v>
      </c>
      <c r="C249" s="3230">
        <v>7180</v>
      </c>
      <c r="D249" s="3230">
        <v>7140</v>
      </c>
      <c r="E249" s="3230">
        <v>8900</v>
      </c>
      <c r="F249" s="3230">
        <v>1350</v>
      </c>
      <c r="G249" s="3230">
        <v>4380</v>
      </c>
    </row>
    <row r="250" spans="1:7" s="3219" customFormat="1" ht="14.25" customHeight="1">
      <c r="A250" s="3230" t="s">
        <v>301</v>
      </c>
      <c r="B250" s="3230" t="s">
        <v>237</v>
      </c>
      <c r="C250" s="3230">
        <v>6880</v>
      </c>
      <c r="D250" s="3230">
        <v>6860</v>
      </c>
      <c r="E250" s="3230">
        <v>8550</v>
      </c>
      <c r="F250" s="3230">
        <v>1220</v>
      </c>
      <c r="G250" s="3230">
        <v>4210</v>
      </c>
    </row>
    <row r="251" spans="1:7" s="3219" customFormat="1" ht="14.25" customHeight="1">
      <c r="A251" s="3230" t="s">
        <v>301</v>
      </c>
      <c r="B251" s="3230" t="s">
        <v>245</v>
      </c>
      <c r="C251" s="3230"/>
      <c r="D251" s="3230"/>
      <c r="E251" s="3230"/>
      <c r="F251" s="3230">
        <v>1100</v>
      </c>
      <c r="G251" s="3230"/>
    </row>
    <row r="252" spans="1:7" s="3219" customFormat="1" ht="14.25" customHeight="1">
      <c r="A252" s="3230" t="s">
        <v>301</v>
      </c>
      <c r="B252" s="3230" t="s">
        <v>3117</v>
      </c>
      <c r="C252" s="3230">
        <v>7240</v>
      </c>
      <c r="D252" s="3230">
        <v>7200</v>
      </c>
      <c r="E252" s="3230">
        <v>9040</v>
      </c>
      <c r="F252" s="3230">
        <v>1380</v>
      </c>
      <c r="G252" s="3230">
        <v>4420</v>
      </c>
    </row>
    <row r="253" spans="1:7" s="3219" customFormat="1" ht="14.25" customHeight="1">
      <c r="A253" s="3230" t="s">
        <v>301</v>
      </c>
      <c r="B253" s="3230" t="s">
        <v>279</v>
      </c>
      <c r="C253" s="3230">
        <v>6670</v>
      </c>
      <c r="D253" s="3230">
        <v>6650</v>
      </c>
      <c r="E253" s="3230">
        <v>8350</v>
      </c>
      <c r="F253" s="3230">
        <v>1260</v>
      </c>
      <c r="G253" s="3230">
        <v>4080</v>
      </c>
    </row>
    <row r="254" spans="1:7" s="3219" customFormat="1" ht="14.25" customHeight="1">
      <c r="A254" s="3230" t="s">
        <v>301</v>
      </c>
      <c r="B254" s="3230" t="s">
        <v>282</v>
      </c>
      <c r="C254" s="3230">
        <v>7630</v>
      </c>
      <c r="D254" s="3230">
        <v>7590</v>
      </c>
      <c r="E254" s="3230">
        <v>9380</v>
      </c>
      <c r="F254" s="3230">
        <v>1320</v>
      </c>
      <c r="G254" s="3230">
        <v>4660</v>
      </c>
    </row>
    <row r="255" spans="1:7" s="3219" customFormat="1" ht="14.25" customHeight="1">
      <c r="A255" s="3230" t="s">
        <v>301</v>
      </c>
      <c r="B255" s="3230" t="s">
        <v>285</v>
      </c>
      <c r="C255" s="3230">
        <v>6940</v>
      </c>
      <c r="D255" s="3230">
        <v>6890</v>
      </c>
      <c r="E255" s="3230">
        <v>8650</v>
      </c>
      <c r="F255" s="3230">
        <v>1210</v>
      </c>
      <c r="G255" s="3230">
        <v>4230</v>
      </c>
    </row>
    <row r="256" spans="1:7" s="3219" customFormat="1" ht="14.25" customHeight="1">
      <c r="A256" s="3230" t="s">
        <v>301</v>
      </c>
      <c r="B256" s="3230" t="s">
        <v>3118</v>
      </c>
      <c r="C256" s="3230">
        <v>7520</v>
      </c>
      <c r="D256" s="3230">
        <v>7490</v>
      </c>
      <c r="E256" s="3230">
        <v>9240</v>
      </c>
      <c r="F256" s="3230">
        <v>1270</v>
      </c>
      <c r="G256" s="3230">
        <v>4590</v>
      </c>
    </row>
    <row r="257" spans="1:7" s="3219" customFormat="1" ht="14.25" customHeight="1">
      <c r="A257" s="3230" t="s">
        <v>301</v>
      </c>
      <c r="B257" s="3230" t="s">
        <v>271</v>
      </c>
      <c r="C257" s="3230">
        <v>6280</v>
      </c>
      <c r="D257" s="3230">
        <v>6230</v>
      </c>
      <c r="E257" s="3230">
        <v>7740</v>
      </c>
      <c r="F257" s="3230">
        <v>1080</v>
      </c>
      <c r="G257" s="3230">
        <v>3830</v>
      </c>
    </row>
    <row r="258" spans="1:7" s="3219" customFormat="1" ht="14.25" customHeight="1">
      <c r="A258" s="3230" t="s">
        <v>301</v>
      </c>
      <c r="B258" s="3230" t="s">
        <v>2943</v>
      </c>
      <c r="C258" s="3230">
        <v>6190</v>
      </c>
      <c r="D258" s="3230">
        <v>6160</v>
      </c>
      <c r="E258" s="3230">
        <v>7680</v>
      </c>
      <c r="F258" s="3230">
        <v>1170</v>
      </c>
      <c r="G258" s="3230">
        <v>3780</v>
      </c>
    </row>
    <row r="259" spans="1:7" s="3219" customFormat="1" ht="14.25" customHeight="1">
      <c r="A259" s="3230" t="s">
        <v>301</v>
      </c>
      <c r="B259" s="3230" t="s">
        <v>3119</v>
      </c>
      <c r="C259" s="3230">
        <v>7610</v>
      </c>
      <c r="D259" s="3230">
        <v>7570</v>
      </c>
      <c r="E259" s="3230">
        <v>9350</v>
      </c>
      <c r="F259" s="3230">
        <v>1350</v>
      </c>
      <c r="G259" s="3230">
        <v>4650</v>
      </c>
    </row>
    <row r="260" spans="1:7" s="3219" customFormat="1" ht="14.25" customHeight="1">
      <c r="A260" s="3230" t="s">
        <v>301</v>
      </c>
      <c r="B260" s="3230" t="s">
        <v>3120</v>
      </c>
      <c r="C260" s="3230">
        <v>6920</v>
      </c>
      <c r="D260" s="3230">
        <v>6880</v>
      </c>
      <c r="E260" s="3230">
        <v>8380</v>
      </c>
      <c r="F260" s="3230">
        <v>1160</v>
      </c>
      <c r="G260" s="3230">
        <v>4220</v>
      </c>
    </row>
    <row r="261" spans="1:7" s="3219" customFormat="1" ht="14.25" customHeight="1">
      <c r="A261" s="3230" t="s">
        <v>301</v>
      </c>
      <c r="B261" s="3230" t="s">
        <v>3121</v>
      </c>
      <c r="C261" s="3230">
        <v>6850</v>
      </c>
      <c r="D261" s="3230">
        <v>6810</v>
      </c>
      <c r="E261" s="3230">
        <v>8290</v>
      </c>
      <c r="F261" s="3230">
        <v>1130</v>
      </c>
      <c r="G261" s="3230">
        <v>4180</v>
      </c>
    </row>
    <row r="262" spans="1:7" s="3219" customFormat="1" ht="14.25" customHeight="1">
      <c r="A262" s="3230" t="s">
        <v>301</v>
      </c>
      <c r="B262" s="3230" t="s">
        <v>3122</v>
      </c>
      <c r="C262" s="3230">
        <v>5860</v>
      </c>
      <c r="D262" s="3230">
        <v>5820</v>
      </c>
      <c r="E262" s="3230">
        <v>7640</v>
      </c>
      <c r="F262" s="3230">
        <v>1070</v>
      </c>
      <c r="G262" s="3230">
        <v>3570</v>
      </c>
    </row>
    <row r="263" spans="1:7" s="3219" customFormat="1" ht="14.25" customHeight="1">
      <c r="A263" s="3230" t="s">
        <v>301</v>
      </c>
      <c r="B263" s="3230" t="s">
        <v>3123</v>
      </c>
      <c r="C263" s="3230">
        <v>5870</v>
      </c>
      <c r="D263" s="3230">
        <v>5840</v>
      </c>
      <c r="E263" s="3230">
        <v>7270</v>
      </c>
      <c r="F263" s="3230">
        <v>1190</v>
      </c>
      <c r="G263" s="3230">
        <v>3580</v>
      </c>
    </row>
    <row r="264" spans="1:7" s="3219" customFormat="1" ht="14.25" customHeight="1">
      <c r="A264" s="3230" t="s">
        <v>301</v>
      </c>
      <c r="B264" s="3230" t="s">
        <v>295</v>
      </c>
      <c r="C264" s="3230">
        <v>6190</v>
      </c>
      <c r="D264" s="3230">
        <v>6150</v>
      </c>
      <c r="E264" s="3230">
        <v>7660</v>
      </c>
      <c r="F264" s="3230">
        <v>1160</v>
      </c>
      <c r="G264" s="3230">
        <v>3770</v>
      </c>
    </row>
    <row r="265" spans="1:7" s="3219" customFormat="1" ht="14.25" customHeight="1">
      <c r="A265" s="3230" t="s">
        <v>301</v>
      </c>
      <c r="B265" s="3230" t="s">
        <v>3124</v>
      </c>
      <c r="C265" s="3230"/>
      <c r="D265" s="3230"/>
      <c r="E265" s="3230"/>
      <c r="F265" s="3230">
        <v>1500</v>
      </c>
      <c r="G265" s="3230"/>
    </row>
    <row r="266" spans="1:7" s="3219" customFormat="1" ht="14.25" customHeight="1">
      <c r="A266" s="3230" t="s">
        <v>301</v>
      </c>
      <c r="B266" s="3230" t="s">
        <v>3125</v>
      </c>
      <c r="C266" s="3230"/>
      <c r="D266" s="3230"/>
      <c r="E266" s="3230"/>
      <c r="F266" s="3230">
        <v>1500</v>
      </c>
      <c r="G266" s="3230"/>
    </row>
    <row r="267" spans="1:7" s="3219" customFormat="1" ht="14.25" customHeight="1">
      <c r="A267" s="3230" t="s">
        <v>301</v>
      </c>
      <c r="B267" s="3230" t="s">
        <v>3126</v>
      </c>
      <c r="C267" s="3230"/>
      <c r="D267" s="3230"/>
      <c r="E267" s="3230"/>
      <c r="F267" s="3230">
        <v>1500</v>
      </c>
      <c r="G267" s="3230"/>
    </row>
    <row r="268" spans="1:7" s="3219" customFormat="1" ht="14.25" customHeight="1">
      <c r="A268" s="3230" t="s">
        <v>301</v>
      </c>
      <c r="B268" s="3230" t="s">
        <v>3127</v>
      </c>
      <c r="C268" s="3230"/>
      <c r="D268" s="3230"/>
      <c r="E268" s="3230"/>
      <c r="F268" s="3230">
        <v>1290</v>
      </c>
      <c r="G268" s="3230"/>
    </row>
    <row r="269" spans="1:7" s="3219" customFormat="1" ht="14.25" customHeight="1">
      <c r="A269" s="3230" t="s">
        <v>301</v>
      </c>
      <c r="B269" s="3230" t="s">
        <v>3128</v>
      </c>
      <c r="C269" s="3230"/>
      <c r="D269" s="3230"/>
      <c r="E269" s="3230"/>
      <c r="F269" s="3230">
        <v>1150</v>
      </c>
      <c r="G269" s="3230"/>
    </row>
    <row r="270" spans="1:7" s="3219" customFormat="1" ht="14.25" customHeight="1">
      <c r="A270" s="3230" t="s">
        <v>301</v>
      </c>
      <c r="B270" s="3230" t="s">
        <v>3129</v>
      </c>
      <c r="C270" s="3230"/>
      <c r="D270" s="3230"/>
      <c r="E270" s="3230"/>
      <c r="F270" s="3230">
        <v>1380</v>
      </c>
      <c r="G270" s="3230"/>
    </row>
    <row r="271" spans="1:7" s="3219" customFormat="1" ht="14.25" customHeight="1">
      <c r="A271" s="3230" t="s">
        <v>301</v>
      </c>
      <c r="B271" s="3230" t="s">
        <v>3130</v>
      </c>
      <c r="C271" s="3230"/>
      <c r="D271" s="3230"/>
      <c r="E271" s="3230"/>
      <c r="F271" s="3230">
        <v>1460</v>
      </c>
      <c r="G271" s="3230"/>
    </row>
    <row r="272" spans="1:7" s="3219" customFormat="1" ht="14.25" customHeight="1">
      <c r="A272" s="3230" t="s">
        <v>301</v>
      </c>
      <c r="B272" s="3230" t="s">
        <v>3131</v>
      </c>
      <c r="C272" s="3230"/>
      <c r="D272" s="3230"/>
      <c r="E272" s="3230"/>
      <c r="F272" s="3230">
        <v>1460</v>
      </c>
      <c r="G272" s="3230"/>
    </row>
    <row r="273" spans="1:7" s="3219" customFormat="1" ht="14.25" customHeight="1">
      <c r="A273" s="3230" t="s">
        <v>301</v>
      </c>
      <c r="B273" s="3230" t="s">
        <v>3024</v>
      </c>
      <c r="C273" s="3230"/>
      <c r="D273" s="3230"/>
      <c r="E273" s="3230"/>
      <c r="F273" s="3230">
        <v>1490</v>
      </c>
      <c r="G273" s="3230"/>
    </row>
    <row r="274" spans="1:7" s="3219" customFormat="1" ht="14.25" customHeight="1">
      <c r="A274" s="3230" t="s">
        <v>301</v>
      </c>
      <c r="B274" s="3230" t="s">
        <v>3132</v>
      </c>
      <c r="C274" s="3230"/>
      <c r="D274" s="3230"/>
      <c r="E274" s="3230"/>
      <c r="F274" s="3230">
        <v>1490</v>
      </c>
      <c r="G274" s="3230"/>
    </row>
    <row r="275" spans="1:7" s="3219" customFormat="1" ht="14.25" customHeight="1">
      <c r="A275" s="3230" t="s">
        <v>301</v>
      </c>
      <c r="B275" s="3230" t="s">
        <v>3133</v>
      </c>
      <c r="C275" s="3230"/>
      <c r="D275" s="3230"/>
      <c r="E275" s="3230"/>
      <c r="F275" s="3230">
        <v>1220</v>
      </c>
      <c r="G275" s="3230"/>
    </row>
    <row r="276" spans="1:7" s="3219" customFormat="1" ht="14.25" customHeight="1" thickBot="1">
      <c r="A276" s="3238" t="s">
        <v>301</v>
      </c>
      <c r="B276" s="3240" t="s">
        <v>3134</v>
      </c>
      <c r="C276" s="3241"/>
      <c r="D276" s="3241"/>
      <c r="E276" s="3241"/>
      <c r="F276" s="3241">
        <v>1380</v>
      </c>
      <c r="G276" s="3241"/>
    </row>
    <row r="277" spans="1:7" s="3219" customFormat="1" ht="14.25" customHeight="1">
      <c r="A277" s="3235" t="s">
        <v>302</v>
      </c>
      <c r="B277" s="3226" t="s">
        <v>3135</v>
      </c>
      <c r="C277" s="3226">
        <v>5790</v>
      </c>
      <c r="D277" s="3226">
        <v>5740</v>
      </c>
      <c r="E277" s="3226">
        <v>6730</v>
      </c>
      <c r="F277" s="3226">
        <v>1110</v>
      </c>
      <c r="G277" s="3242">
        <v>3460</v>
      </c>
    </row>
    <row r="278" spans="1:7" s="3219" customFormat="1" ht="14.25" customHeight="1">
      <c r="A278" s="3230" t="s">
        <v>302</v>
      </c>
      <c r="B278" s="3230" t="s">
        <v>131</v>
      </c>
      <c r="C278" s="3230">
        <v>5740</v>
      </c>
      <c r="D278" s="3230">
        <v>5670</v>
      </c>
      <c r="E278" s="3230">
        <v>6680</v>
      </c>
      <c r="F278" s="3230">
        <v>1070</v>
      </c>
      <c r="G278" s="3243">
        <v>3420</v>
      </c>
    </row>
    <row r="279" spans="1:7" s="3219" customFormat="1" ht="14.25" customHeight="1">
      <c r="A279" s="3230" t="s">
        <v>302</v>
      </c>
      <c r="B279" s="3230" t="s">
        <v>3136</v>
      </c>
      <c r="C279" s="3230">
        <v>4760</v>
      </c>
      <c r="D279" s="3230">
        <v>4720</v>
      </c>
      <c r="E279" s="3230">
        <v>5540</v>
      </c>
      <c r="F279" s="3230">
        <v>810</v>
      </c>
      <c r="G279" s="3243">
        <v>2850</v>
      </c>
    </row>
    <row r="280" spans="1:7" s="3219" customFormat="1" ht="14.25" customHeight="1">
      <c r="A280" s="3230" t="s">
        <v>302</v>
      </c>
      <c r="B280" s="3230" t="s">
        <v>3137</v>
      </c>
      <c r="C280" s="3230">
        <v>4010</v>
      </c>
      <c r="D280" s="3230">
        <v>3950</v>
      </c>
      <c r="E280" s="3230">
        <v>4710</v>
      </c>
      <c r="F280" s="3230">
        <v>800</v>
      </c>
      <c r="G280" s="3243">
        <v>2390</v>
      </c>
    </row>
    <row r="281" spans="1:7" s="3219" customFormat="1" ht="14.25" customHeight="1">
      <c r="A281" s="3230" t="s">
        <v>302</v>
      </c>
      <c r="B281" s="3230" t="s">
        <v>3138</v>
      </c>
      <c r="C281" s="3230">
        <v>4480</v>
      </c>
      <c r="D281" s="3230">
        <v>4420</v>
      </c>
      <c r="E281" s="3230">
        <v>5230</v>
      </c>
      <c r="F281" s="3230">
        <v>870</v>
      </c>
      <c r="G281" s="3243">
        <v>2660</v>
      </c>
    </row>
    <row r="282" spans="1:7" s="3219" customFormat="1" ht="14.25" customHeight="1">
      <c r="A282" s="3230" t="s">
        <v>302</v>
      </c>
      <c r="B282" s="3230" t="s">
        <v>3139</v>
      </c>
      <c r="C282" s="3230">
        <v>5360</v>
      </c>
      <c r="D282" s="3230">
        <v>5300</v>
      </c>
      <c r="E282" s="3230">
        <v>6190</v>
      </c>
      <c r="F282" s="3230">
        <v>950</v>
      </c>
      <c r="G282" s="3243">
        <v>3190</v>
      </c>
    </row>
    <row r="283" spans="1:7" s="3219" customFormat="1" ht="14.25" customHeight="1">
      <c r="A283" s="3230" t="s">
        <v>302</v>
      </c>
      <c r="B283" s="3230" t="s">
        <v>170</v>
      </c>
      <c r="C283" s="3230">
        <v>4950</v>
      </c>
      <c r="D283" s="3230">
        <v>4900</v>
      </c>
      <c r="E283" s="3230">
        <v>5720</v>
      </c>
      <c r="F283" s="3230">
        <v>920</v>
      </c>
      <c r="G283" s="3243">
        <v>2950</v>
      </c>
    </row>
    <row r="284" spans="1:7" s="3219" customFormat="1" ht="14.25" customHeight="1">
      <c r="A284" s="3230" t="s">
        <v>302</v>
      </c>
      <c r="B284" s="3230" t="s">
        <v>178</v>
      </c>
      <c r="C284" s="3230">
        <v>5610</v>
      </c>
      <c r="D284" s="3230">
        <v>5560</v>
      </c>
      <c r="E284" s="3230">
        <v>6520</v>
      </c>
      <c r="F284" s="3230">
        <v>1030</v>
      </c>
      <c r="G284" s="3243">
        <v>3360</v>
      </c>
    </row>
    <row r="285" spans="1:7" s="3219" customFormat="1" ht="14.25" customHeight="1">
      <c r="A285" s="3230" t="s">
        <v>302</v>
      </c>
      <c r="B285" s="3230" t="s">
        <v>188</v>
      </c>
      <c r="C285" s="3230">
        <v>5340</v>
      </c>
      <c r="D285" s="3230">
        <v>5290</v>
      </c>
      <c r="E285" s="3230">
        <v>6170</v>
      </c>
      <c r="F285" s="3230">
        <v>1080</v>
      </c>
      <c r="G285" s="3243">
        <v>3180</v>
      </c>
    </row>
    <row r="286" spans="1:7" s="3219" customFormat="1" ht="14.25" customHeight="1">
      <c r="A286" s="3230" t="s">
        <v>302</v>
      </c>
      <c r="B286" s="3230" t="s">
        <v>195</v>
      </c>
      <c r="C286" s="3230">
        <v>4890</v>
      </c>
      <c r="D286" s="3230">
        <v>4840</v>
      </c>
      <c r="E286" s="3230">
        <v>5640</v>
      </c>
      <c r="F286" s="3230">
        <v>960</v>
      </c>
      <c r="G286" s="3243">
        <v>2910</v>
      </c>
    </row>
    <row r="287" spans="1:7" s="3219" customFormat="1" ht="14.25" customHeight="1">
      <c r="A287" s="3230" t="s">
        <v>302</v>
      </c>
      <c r="B287" s="3230" t="s">
        <v>3140</v>
      </c>
      <c r="C287" s="3230">
        <v>4960</v>
      </c>
      <c r="D287" s="3230">
        <v>4920</v>
      </c>
      <c r="E287" s="3230">
        <v>5730</v>
      </c>
      <c r="F287" s="3230">
        <v>930</v>
      </c>
      <c r="G287" s="3243">
        <v>2960</v>
      </c>
    </row>
    <row r="288" spans="1:7" s="3219" customFormat="1" ht="14.25" customHeight="1">
      <c r="A288" s="3230" t="s">
        <v>302</v>
      </c>
      <c r="B288" s="3230" t="s">
        <v>215</v>
      </c>
      <c r="C288" s="3230">
        <v>4350</v>
      </c>
      <c r="D288" s="3230">
        <v>4300</v>
      </c>
      <c r="E288" s="3230">
        <v>4900</v>
      </c>
      <c r="F288" s="3230">
        <v>820</v>
      </c>
      <c r="G288" s="3243">
        <v>2590</v>
      </c>
    </row>
    <row r="289" spans="1:7" s="3219" customFormat="1" ht="14.25" customHeight="1">
      <c r="A289" s="3230" t="s">
        <v>302</v>
      </c>
      <c r="B289" s="3230" t="s">
        <v>3141</v>
      </c>
      <c r="C289" s="3230">
        <v>5230</v>
      </c>
      <c r="D289" s="3230">
        <v>5170</v>
      </c>
      <c r="E289" s="3230">
        <v>6060</v>
      </c>
      <c r="F289" s="3230">
        <v>900</v>
      </c>
      <c r="G289" s="3243">
        <v>3120</v>
      </c>
    </row>
    <row r="290" spans="1:7" s="3219" customFormat="1" ht="14.25" customHeight="1">
      <c r="A290" s="3230" t="s">
        <v>302</v>
      </c>
      <c r="B290" s="3230" t="s">
        <v>238</v>
      </c>
      <c r="C290" s="3230">
        <v>5550</v>
      </c>
      <c r="D290" s="3230">
        <v>5500</v>
      </c>
      <c r="E290" s="3230">
        <v>6440</v>
      </c>
      <c r="F290" s="3230">
        <v>960</v>
      </c>
      <c r="G290" s="3243">
        <v>3320</v>
      </c>
    </row>
    <row r="291" spans="1:7" s="3219" customFormat="1" ht="14.25" customHeight="1">
      <c r="A291" s="3230" t="s">
        <v>302</v>
      </c>
      <c r="B291" s="3230" t="s">
        <v>246</v>
      </c>
      <c r="C291" s="3230">
        <v>5440</v>
      </c>
      <c r="D291" s="3230">
        <v>5400</v>
      </c>
      <c r="E291" s="3230">
        <v>6320</v>
      </c>
      <c r="F291" s="3230">
        <v>930</v>
      </c>
      <c r="G291" s="3243">
        <v>3250</v>
      </c>
    </row>
    <row r="292" spans="1:7" s="3219" customFormat="1" ht="14.25" customHeight="1">
      <c r="A292" s="3230" t="s">
        <v>302</v>
      </c>
      <c r="B292" s="3230" t="s">
        <v>252</v>
      </c>
      <c r="C292" s="3230">
        <v>5400</v>
      </c>
      <c r="D292" s="3230">
        <v>5360</v>
      </c>
      <c r="E292" s="3230">
        <v>6270</v>
      </c>
      <c r="F292" s="3230">
        <v>1040</v>
      </c>
      <c r="G292" s="3243">
        <v>3230</v>
      </c>
    </row>
    <row r="293" spans="1:7" s="3219" customFormat="1" ht="14.25" customHeight="1">
      <c r="A293" s="3230" t="s">
        <v>302</v>
      </c>
      <c r="B293" s="3230" t="s">
        <v>2916</v>
      </c>
      <c r="C293" s="3230">
        <v>5320</v>
      </c>
      <c r="D293" s="3230">
        <v>5270</v>
      </c>
      <c r="E293" s="3230">
        <v>6160</v>
      </c>
      <c r="F293" s="3230">
        <v>990</v>
      </c>
      <c r="G293" s="3243">
        <v>3170</v>
      </c>
    </row>
    <row r="294" spans="1:7" s="3219" customFormat="1" ht="14.25" customHeight="1">
      <c r="A294" s="3230" t="s">
        <v>302</v>
      </c>
      <c r="B294" s="3230" t="s">
        <v>3142</v>
      </c>
      <c r="C294" s="3230">
        <v>5260</v>
      </c>
      <c r="D294" s="3230">
        <v>5210</v>
      </c>
      <c r="E294" s="3230">
        <v>6100</v>
      </c>
      <c r="F294" s="3230">
        <v>950</v>
      </c>
      <c r="G294" s="3243">
        <v>3150</v>
      </c>
    </row>
    <row r="295" spans="1:7" s="3219" customFormat="1" ht="14.25" customHeight="1">
      <c r="A295" s="3230" t="s">
        <v>302</v>
      </c>
      <c r="B295" s="3230" t="s">
        <v>286</v>
      </c>
      <c r="C295" s="3230">
        <v>5610</v>
      </c>
      <c r="D295" s="3230">
        <v>5570</v>
      </c>
      <c r="E295" s="3230">
        <v>6530</v>
      </c>
      <c r="F295" s="3230">
        <v>960</v>
      </c>
      <c r="G295" s="3243">
        <v>3360</v>
      </c>
    </row>
    <row r="296" spans="1:7" s="3219" customFormat="1" ht="14.25" customHeight="1">
      <c r="A296" s="3230" t="s">
        <v>302</v>
      </c>
      <c r="B296" s="3230" t="s">
        <v>289</v>
      </c>
      <c r="C296" s="3230">
        <v>5540</v>
      </c>
      <c r="D296" s="3230">
        <v>5490</v>
      </c>
      <c r="E296" s="3230">
        <v>6430</v>
      </c>
      <c r="F296" s="3230">
        <v>980</v>
      </c>
      <c r="G296" s="3243">
        <v>3310</v>
      </c>
    </row>
    <row r="297" spans="1:7" s="3219" customFormat="1" ht="14.25" customHeight="1">
      <c r="A297" s="3230" t="s">
        <v>302</v>
      </c>
      <c r="B297" s="3230" t="s">
        <v>291</v>
      </c>
      <c r="C297" s="3230">
        <v>5480</v>
      </c>
      <c r="D297" s="3230">
        <v>5420</v>
      </c>
      <c r="E297" s="3230">
        <v>6370</v>
      </c>
      <c r="F297" s="3230">
        <v>990</v>
      </c>
      <c r="G297" s="3243">
        <v>3270</v>
      </c>
    </row>
    <row r="298" spans="1:7" s="3219" customFormat="1" ht="14.25" customHeight="1">
      <c r="A298" s="3230" t="s">
        <v>302</v>
      </c>
      <c r="B298" s="3230" t="s">
        <v>294</v>
      </c>
      <c r="C298" s="3230">
        <v>5090</v>
      </c>
      <c r="D298" s="3230">
        <v>5050</v>
      </c>
      <c r="E298" s="3230">
        <v>5910</v>
      </c>
      <c r="F298" s="3230">
        <v>900</v>
      </c>
      <c r="G298" s="3243">
        <v>3040</v>
      </c>
    </row>
    <row r="299" spans="1:7" s="3219" customFormat="1" ht="14.25" customHeight="1">
      <c r="A299" s="3230" t="s">
        <v>302</v>
      </c>
      <c r="B299" s="3239" t="s">
        <v>2935</v>
      </c>
      <c r="C299" s="3230">
        <v>5430</v>
      </c>
      <c r="D299" s="3230">
        <v>5380</v>
      </c>
      <c r="E299" s="3230">
        <v>6280</v>
      </c>
      <c r="F299" s="3230">
        <v>1000</v>
      </c>
      <c r="G299" s="3243">
        <v>3240</v>
      </c>
    </row>
    <row r="300" spans="1:7" s="3219" customFormat="1" ht="14.25" customHeight="1">
      <c r="A300" s="3230" t="s">
        <v>302</v>
      </c>
      <c r="B300" s="3239" t="s">
        <v>267</v>
      </c>
      <c r="C300" s="3230">
        <v>4740</v>
      </c>
      <c r="D300" s="3230">
        <v>4680</v>
      </c>
      <c r="E300" s="3230">
        <v>5450</v>
      </c>
      <c r="F300" s="3230">
        <v>900</v>
      </c>
      <c r="G300" s="3243">
        <v>2830</v>
      </c>
    </row>
    <row r="301" spans="1:7" s="3219" customFormat="1" ht="14.25" customHeight="1">
      <c r="A301" s="3230" t="s">
        <v>302</v>
      </c>
      <c r="B301" s="3239" t="s">
        <v>272</v>
      </c>
      <c r="C301" s="3230">
        <v>4870</v>
      </c>
      <c r="D301" s="3230">
        <v>4810</v>
      </c>
      <c r="E301" s="3230">
        <v>5560</v>
      </c>
      <c r="F301" s="3230">
        <v>990</v>
      </c>
      <c r="G301" s="3243">
        <v>2910</v>
      </c>
    </row>
    <row r="302" spans="1:7" s="3219" customFormat="1" ht="14.25" customHeight="1">
      <c r="A302" s="3230" t="s">
        <v>302</v>
      </c>
      <c r="B302" s="3230" t="s">
        <v>3143</v>
      </c>
      <c r="C302" s="3230">
        <v>5520</v>
      </c>
      <c r="D302" s="3230">
        <v>5470</v>
      </c>
      <c r="E302" s="3230">
        <v>6410</v>
      </c>
      <c r="F302" s="3230">
        <v>950</v>
      </c>
      <c r="G302" s="3243">
        <v>3300</v>
      </c>
    </row>
    <row r="303" spans="1:7" s="3219" customFormat="1" ht="14.25" customHeight="1">
      <c r="A303" s="3230" t="s">
        <v>302</v>
      </c>
      <c r="B303" s="3230" t="s">
        <v>2955</v>
      </c>
      <c r="C303" s="3230">
        <v>5630</v>
      </c>
      <c r="D303" s="3230">
        <v>5590</v>
      </c>
      <c r="E303" s="3230">
        <v>6550</v>
      </c>
      <c r="F303" s="3230">
        <v>1010</v>
      </c>
      <c r="G303" s="3243">
        <v>3370</v>
      </c>
    </row>
    <row r="304" spans="1:7" s="3219" customFormat="1" ht="14.25" customHeight="1">
      <c r="A304" s="3230" t="s">
        <v>302</v>
      </c>
      <c r="B304" s="3230" t="s">
        <v>2962</v>
      </c>
      <c r="C304" s="3230">
        <v>5680</v>
      </c>
      <c r="D304" s="3230">
        <v>5620</v>
      </c>
      <c r="E304" s="3230">
        <v>6620</v>
      </c>
      <c r="F304" s="3230">
        <v>1050</v>
      </c>
      <c r="G304" s="3243">
        <v>3390</v>
      </c>
    </row>
    <row r="305" spans="1:7" s="3219" customFormat="1" ht="14.25" customHeight="1">
      <c r="A305" s="3230" t="s">
        <v>302</v>
      </c>
      <c r="B305" s="3230" t="s">
        <v>2968</v>
      </c>
      <c r="C305" s="3230">
        <v>5590</v>
      </c>
      <c r="D305" s="3230">
        <v>5530</v>
      </c>
      <c r="E305" s="3230">
        <v>6460</v>
      </c>
      <c r="F305" s="3230">
        <v>900</v>
      </c>
      <c r="G305" s="3243">
        <v>3340</v>
      </c>
    </row>
    <row r="306" spans="1:7" s="3219" customFormat="1" ht="14.25" customHeight="1">
      <c r="A306" s="3230" t="s">
        <v>302</v>
      </c>
      <c r="B306" s="3230" t="s">
        <v>3144</v>
      </c>
      <c r="C306" s="3230">
        <v>5560</v>
      </c>
      <c r="D306" s="3230">
        <v>5510</v>
      </c>
      <c r="E306" s="3230">
        <v>6440</v>
      </c>
      <c r="F306" s="3230">
        <v>900</v>
      </c>
      <c r="G306" s="3243">
        <v>3320</v>
      </c>
    </row>
    <row r="307" spans="1:7" s="3219" customFormat="1" ht="14.25" customHeight="1">
      <c r="A307" s="3230" t="s">
        <v>302</v>
      </c>
      <c r="B307" s="3230" t="s">
        <v>2980</v>
      </c>
      <c r="C307" s="3230">
        <v>5650</v>
      </c>
      <c r="D307" s="3230">
        <v>5600</v>
      </c>
      <c r="E307" s="3230">
        <v>6590</v>
      </c>
      <c r="F307" s="3230">
        <v>930</v>
      </c>
      <c r="G307" s="3243">
        <v>3380</v>
      </c>
    </row>
    <row r="308" spans="1:7" s="3219" customFormat="1" ht="14.25" customHeight="1">
      <c r="A308" s="3230" t="s">
        <v>302</v>
      </c>
      <c r="B308" s="3230" t="s">
        <v>3145</v>
      </c>
      <c r="C308" s="3230">
        <v>5620</v>
      </c>
      <c r="D308" s="3230">
        <v>5580</v>
      </c>
      <c r="E308" s="3230">
        <v>6540</v>
      </c>
      <c r="F308" s="3230">
        <v>910</v>
      </c>
      <c r="G308" s="3243">
        <v>3370</v>
      </c>
    </row>
    <row r="309" spans="1:7" s="3219" customFormat="1" ht="14.25" customHeight="1">
      <c r="A309" s="3230" t="s">
        <v>302</v>
      </c>
      <c r="B309" s="3230" t="s">
        <v>3146</v>
      </c>
      <c r="C309" s="3230">
        <v>5060</v>
      </c>
      <c r="D309" s="3230">
        <v>5020</v>
      </c>
      <c r="E309" s="3230">
        <v>6370</v>
      </c>
      <c r="F309" s="3230">
        <v>800</v>
      </c>
      <c r="G309" s="3243">
        <v>3020</v>
      </c>
    </row>
    <row r="310" spans="1:7" s="3219" customFormat="1" ht="14.25" customHeight="1">
      <c r="A310" s="3230" t="s">
        <v>302</v>
      </c>
      <c r="B310" s="3230" t="s">
        <v>2995</v>
      </c>
      <c r="C310" s="3230">
        <v>5150</v>
      </c>
      <c r="D310" s="3230">
        <v>5110</v>
      </c>
      <c r="E310" s="3230">
        <v>6500</v>
      </c>
      <c r="F310" s="3230">
        <v>880</v>
      </c>
      <c r="G310" s="3243">
        <v>3080</v>
      </c>
    </row>
    <row r="311" spans="1:7" s="3219" customFormat="1" ht="14.25" customHeight="1">
      <c r="A311" s="3230" t="s">
        <v>302</v>
      </c>
      <c r="B311" s="3230" t="s">
        <v>3147</v>
      </c>
      <c r="C311" s="3230">
        <v>4750</v>
      </c>
      <c r="D311" s="3230">
        <v>4710</v>
      </c>
      <c r="E311" s="3230">
        <v>5510</v>
      </c>
      <c r="F311" s="3230">
        <v>880</v>
      </c>
      <c r="G311" s="3243">
        <v>2840</v>
      </c>
    </row>
    <row r="312" spans="1:7" s="3219" customFormat="1" ht="14.25" customHeight="1">
      <c r="A312" s="3230" t="s">
        <v>302</v>
      </c>
      <c r="B312" s="3230" t="s">
        <v>3005</v>
      </c>
      <c r="C312" s="3230">
        <v>4690</v>
      </c>
      <c r="D312" s="3230">
        <v>4640</v>
      </c>
      <c r="E312" s="3230">
        <v>5420</v>
      </c>
      <c r="F312" s="3230">
        <v>800</v>
      </c>
      <c r="G312" s="3243">
        <v>2800</v>
      </c>
    </row>
    <row r="313" spans="1:7" s="3219" customFormat="1" ht="14.25" customHeight="1">
      <c r="A313" s="3230" t="s">
        <v>302</v>
      </c>
      <c r="B313" s="3230" t="s">
        <v>3010</v>
      </c>
      <c r="C313" s="3230">
        <v>4810</v>
      </c>
      <c r="D313" s="3230">
        <v>4760</v>
      </c>
      <c r="E313" s="3230">
        <v>5550</v>
      </c>
      <c r="F313" s="3230">
        <v>920</v>
      </c>
      <c r="G313" s="3243">
        <v>2870</v>
      </c>
    </row>
    <row r="314" spans="1:7" s="3219" customFormat="1" ht="14.25" customHeight="1">
      <c r="A314" s="3230" t="s">
        <v>302</v>
      </c>
      <c r="B314" s="3230" t="s">
        <v>3148</v>
      </c>
      <c r="C314" s="3230"/>
      <c r="D314" s="3230"/>
      <c r="E314" s="3230"/>
      <c r="F314" s="3230">
        <v>1020</v>
      </c>
      <c r="G314" s="3243"/>
    </row>
    <row r="315" spans="1:7" s="3219" customFormat="1" ht="14.25" customHeight="1">
      <c r="A315" s="3230" t="s">
        <v>302</v>
      </c>
      <c r="B315" s="3230" t="s">
        <v>3149</v>
      </c>
      <c r="C315" s="3230"/>
      <c r="D315" s="3230"/>
      <c r="E315" s="3230"/>
      <c r="F315" s="3230">
        <v>1050</v>
      </c>
      <c r="G315" s="3243"/>
    </row>
    <row r="316" spans="1:7" s="3219" customFormat="1" ht="14.25" customHeight="1">
      <c r="A316" s="3230" t="s">
        <v>302</v>
      </c>
      <c r="B316" s="3230" t="s">
        <v>3025</v>
      </c>
      <c r="C316" s="3230"/>
      <c r="D316" s="3230"/>
      <c r="E316" s="3230"/>
      <c r="F316" s="3230">
        <v>900</v>
      </c>
      <c r="G316" s="3243"/>
    </row>
    <row r="317" spans="1:7" s="3219" customFormat="1" ht="14.25" customHeight="1">
      <c r="A317" s="3230" t="s">
        <v>302</v>
      </c>
      <c r="B317" s="3230" t="s">
        <v>3150</v>
      </c>
      <c r="C317" s="3230"/>
      <c r="D317" s="3230"/>
      <c r="E317" s="3230"/>
      <c r="F317" s="3230">
        <v>920</v>
      </c>
      <c r="G317" s="3243"/>
    </row>
    <row r="318" spans="1:7" s="3219" customFormat="1" ht="14.25" customHeight="1">
      <c r="A318" s="3230" t="s">
        <v>302</v>
      </c>
      <c r="B318" s="3230" t="s">
        <v>3151</v>
      </c>
      <c r="C318" s="3230"/>
      <c r="D318" s="3230"/>
      <c r="E318" s="3230"/>
      <c r="F318" s="3230">
        <v>1080</v>
      </c>
      <c r="G318" s="3243"/>
    </row>
    <row r="319" spans="1:7" s="3219" customFormat="1" ht="14.25" customHeight="1">
      <c r="A319" s="3230" t="s">
        <v>302</v>
      </c>
      <c r="B319" s="3230" t="s">
        <v>3038</v>
      </c>
      <c r="C319" s="3230"/>
      <c r="D319" s="3230"/>
      <c r="E319" s="3230"/>
      <c r="F319" s="3230">
        <v>1020</v>
      </c>
      <c r="G319" s="3243"/>
    </row>
    <row r="320" spans="1:7" s="3219" customFormat="1" ht="14.25" customHeight="1">
      <c r="A320" s="3230" t="s">
        <v>302</v>
      </c>
      <c r="B320" s="3230" t="s">
        <v>3041</v>
      </c>
      <c r="C320" s="3230"/>
      <c r="D320" s="3230"/>
      <c r="E320" s="3230"/>
      <c r="F320" s="3230">
        <v>1050</v>
      </c>
      <c r="G320" s="3243"/>
    </row>
    <row r="321" spans="1:7" s="3219" customFormat="1" ht="14.25" customHeight="1">
      <c r="A321" s="3230" t="s">
        <v>302</v>
      </c>
      <c r="B321" s="3230" t="s">
        <v>3043</v>
      </c>
      <c r="C321" s="3230"/>
      <c r="D321" s="3230"/>
      <c r="E321" s="3230"/>
      <c r="F321" s="3230">
        <v>960</v>
      </c>
      <c r="G321" s="3243"/>
    </row>
    <row r="322" spans="1:7" s="3219" customFormat="1" ht="14.25" customHeight="1">
      <c r="A322" s="3230" t="s">
        <v>302</v>
      </c>
      <c r="B322" s="3230" t="s">
        <v>3045</v>
      </c>
      <c r="C322" s="3230"/>
      <c r="D322" s="3230"/>
      <c r="E322" s="3230"/>
      <c r="F322" s="3230">
        <v>960</v>
      </c>
      <c r="G322" s="3243"/>
    </row>
    <row r="323" spans="1:7" s="3219" customFormat="1" ht="14.25" customHeight="1">
      <c r="A323" s="3230" t="s">
        <v>302</v>
      </c>
      <c r="B323" s="3230" t="s">
        <v>3047</v>
      </c>
      <c r="C323" s="3230"/>
      <c r="D323" s="3230"/>
      <c r="E323" s="3230"/>
      <c r="F323" s="3230">
        <v>880</v>
      </c>
      <c r="G323" s="3243"/>
    </row>
    <row r="324" spans="1:7" s="3219" customFormat="1" ht="14.25" customHeight="1">
      <c r="A324" s="3230" t="s">
        <v>302</v>
      </c>
      <c r="B324" s="3230" t="s">
        <v>3049</v>
      </c>
      <c r="C324" s="3230"/>
      <c r="D324" s="3230"/>
      <c r="E324" s="3230"/>
      <c r="F324" s="3230">
        <v>930</v>
      </c>
      <c r="G324" s="3243"/>
    </row>
    <row r="325" spans="1:7" s="3219" customFormat="1" ht="14.25" customHeight="1">
      <c r="A325" s="3230" t="s">
        <v>302</v>
      </c>
      <c r="B325" s="3231" t="s">
        <v>3051</v>
      </c>
      <c r="C325" s="3230"/>
      <c r="D325" s="3230"/>
      <c r="E325" s="3230"/>
      <c r="F325" s="3230">
        <v>900</v>
      </c>
      <c r="G325" s="3243"/>
    </row>
    <row r="326" spans="1:7" s="3219" customFormat="1" ht="14.25" customHeight="1" thickBot="1">
      <c r="A326" s="3244" t="s">
        <v>302</v>
      </c>
      <c r="B326" s="3237" t="s">
        <v>3053</v>
      </c>
      <c r="C326" s="3237"/>
      <c r="D326" s="3237"/>
      <c r="E326" s="3237"/>
      <c r="F326" s="3237">
        <v>790</v>
      </c>
      <c r="G326" s="3245"/>
    </row>
    <row r="327" spans="1:7" s="3219" customFormat="1" ht="14.25" customHeight="1">
      <c r="A327" s="3235" t="s">
        <v>303</v>
      </c>
      <c r="B327" s="3226" t="s">
        <v>3152</v>
      </c>
      <c r="C327" s="3230">
        <v>3750</v>
      </c>
      <c r="D327" s="3230">
        <v>3710</v>
      </c>
      <c r="E327" s="3230">
        <v>4080</v>
      </c>
      <c r="F327" s="3230">
        <v>860</v>
      </c>
      <c r="G327" s="3230">
        <v>2210</v>
      </c>
    </row>
    <row r="328" spans="1:7" s="3219" customFormat="1" ht="14.25" customHeight="1">
      <c r="A328" s="3230" t="s">
        <v>303</v>
      </c>
      <c r="B328" s="3230" t="s">
        <v>132</v>
      </c>
      <c r="C328" s="3230">
        <v>3330</v>
      </c>
      <c r="D328" s="3230">
        <v>3290</v>
      </c>
      <c r="E328" s="3230">
        <v>3610</v>
      </c>
      <c r="F328" s="3230">
        <v>850</v>
      </c>
      <c r="G328" s="3230">
        <v>1960</v>
      </c>
    </row>
    <row r="329" spans="1:7" s="3219" customFormat="1" ht="14.25" customHeight="1">
      <c r="A329" s="3230" t="s">
        <v>303</v>
      </c>
      <c r="B329" s="3230" t="s">
        <v>3153</v>
      </c>
      <c r="C329" s="3230">
        <v>2730</v>
      </c>
      <c r="D329" s="3230">
        <v>2690</v>
      </c>
      <c r="E329" s="3230">
        <v>3100</v>
      </c>
      <c r="F329" s="3230">
        <v>660</v>
      </c>
      <c r="G329" s="3230">
        <v>1610</v>
      </c>
    </row>
    <row r="330" spans="1:7" s="3219" customFormat="1" ht="14.25" customHeight="1">
      <c r="A330" s="3230" t="s">
        <v>303</v>
      </c>
      <c r="B330" s="3230" t="s">
        <v>3154</v>
      </c>
      <c r="C330" s="3230">
        <v>3270</v>
      </c>
      <c r="D330" s="3230">
        <v>3240</v>
      </c>
      <c r="E330" s="3230">
        <v>3560</v>
      </c>
      <c r="F330" s="3230">
        <v>680</v>
      </c>
      <c r="G330" s="3230">
        <v>1940</v>
      </c>
    </row>
    <row r="331" spans="1:7" s="3219" customFormat="1" ht="14.25" customHeight="1">
      <c r="A331" s="3230" t="s">
        <v>303</v>
      </c>
      <c r="B331" s="3230" t="s">
        <v>157</v>
      </c>
      <c r="C331" s="3230">
        <v>3770</v>
      </c>
      <c r="D331" s="3230">
        <v>3740</v>
      </c>
      <c r="E331" s="3230">
        <v>4110</v>
      </c>
      <c r="F331" s="3230">
        <v>730</v>
      </c>
      <c r="G331" s="3230">
        <v>2230</v>
      </c>
    </row>
    <row r="332" spans="1:7" s="3219" customFormat="1" ht="14.25" customHeight="1">
      <c r="A332" s="3230" t="s">
        <v>303</v>
      </c>
      <c r="B332" s="3230" t="s">
        <v>2887</v>
      </c>
      <c r="C332" s="3230">
        <v>3520</v>
      </c>
      <c r="D332" s="3230">
        <v>3480</v>
      </c>
      <c r="E332" s="3230">
        <v>3830</v>
      </c>
      <c r="F332" s="3230">
        <v>720</v>
      </c>
      <c r="G332" s="3230">
        <v>2090</v>
      </c>
    </row>
    <row r="333" spans="1:7" s="3219" customFormat="1" ht="14.25" customHeight="1">
      <c r="A333" s="3230" t="s">
        <v>303</v>
      </c>
      <c r="B333" s="3230" t="s">
        <v>3155</v>
      </c>
      <c r="C333" s="3230">
        <v>3840</v>
      </c>
      <c r="D333" s="3230">
        <v>3800</v>
      </c>
      <c r="E333" s="3230">
        <v>4200</v>
      </c>
      <c r="F333" s="3230">
        <v>760</v>
      </c>
      <c r="G333" s="3230">
        <v>2270</v>
      </c>
    </row>
    <row r="334" spans="1:7" s="3219" customFormat="1" ht="14.25" customHeight="1">
      <c r="A334" s="3230" t="s">
        <v>303</v>
      </c>
      <c r="B334" s="3230" t="s">
        <v>179</v>
      </c>
      <c r="C334" s="3230">
        <v>3960</v>
      </c>
      <c r="D334" s="3230">
        <v>3910</v>
      </c>
      <c r="E334" s="3230">
        <v>4340</v>
      </c>
      <c r="F334" s="3230">
        <v>780</v>
      </c>
      <c r="G334" s="3230">
        <v>2340</v>
      </c>
    </row>
    <row r="335" spans="1:7" s="3219" customFormat="1" ht="14.25" customHeight="1">
      <c r="A335" s="3230" t="s">
        <v>303</v>
      </c>
      <c r="B335" s="3230" t="s">
        <v>189</v>
      </c>
      <c r="C335" s="3230">
        <v>3710</v>
      </c>
      <c r="D335" s="3230">
        <v>3670</v>
      </c>
      <c r="E335" s="3230">
        <v>4030</v>
      </c>
      <c r="F335" s="3230">
        <v>750</v>
      </c>
      <c r="G335" s="3230">
        <v>2200</v>
      </c>
    </row>
    <row r="336" spans="1:7" s="3219" customFormat="1" ht="14.25" customHeight="1">
      <c r="A336" s="3230" t="s">
        <v>303</v>
      </c>
      <c r="B336" s="3230" t="s">
        <v>2897</v>
      </c>
      <c r="C336" s="3230">
        <v>3570</v>
      </c>
      <c r="D336" s="3230">
        <v>3530</v>
      </c>
      <c r="E336" s="3230">
        <v>3880</v>
      </c>
      <c r="F336" s="3230">
        <v>770</v>
      </c>
      <c r="G336" s="3230">
        <v>2110</v>
      </c>
    </row>
    <row r="337" spans="1:10" s="3219" customFormat="1" ht="14.25" customHeight="1">
      <c r="A337" s="3230" t="s">
        <v>303</v>
      </c>
      <c r="B337" s="3230" t="s">
        <v>3156</v>
      </c>
      <c r="C337" s="3230">
        <v>3780</v>
      </c>
      <c r="D337" s="3230">
        <v>3750</v>
      </c>
      <c r="E337" s="3230">
        <v>4130</v>
      </c>
      <c r="F337" s="3230">
        <v>750</v>
      </c>
      <c r="G337" s="3230">
        <v>2240</v>
      </c>
    </row>
    <row r="338" spans="1:10" s="3219" customFormat="1" ht="14.25" customHeight="1">
      <c r="A338" s="3230" t="s">
        <v>303</v>
      </c>
      <c r="B338" s="3230" t="s">
        <v>216</v>
      </c>
      <c r="C338" s="3230">
        <v>3600</v>
      </c>
      <c r="D338" s="3230">
        <v>3570</v>
      </c>
      <c r="E338" s="3230">
        <v>3920</v>
      </c>
      <c r="F338" s="3230">
        <v>790</v>
      </c>
      <c r="G338" s="3230">
        <v>2140</v>
      </c>
    </row>
    <row r="339" spans="1:10" s="3219" customFormat="1" ht="14.25" customHeight="1">
      <c r="A339" s="3230" t="s">
        <v>303</v>
      </c>
      <c r="B339" s="3230" t="s">
        <v>224</v>
      </c>
      <c r="C339" s="3230">
        <v>3540</v>
      </c>
      <c r="D339" s="3230">
        <v>3500</v>
      </c>
      <c r="E339" s="3230">
        <v>3850</v>
      </c>
      <c r="F339" s="3230">
        <v>780</v>
      </c>
      <c r="G339" s="3230">
        <v>2100</v>
      </c>
    </row>
    <row r="340" spans="1:10" s="3219" customFormat="1" ht="14.25" customHeight="1">
      <c r="A340" s="3230" t="s">
        <v>303</v>
      </c>
      <c r="B340" s="3230" t="s">
        <v>3157</v>
      </c>
      <c r="C340" s="3230">
        <v>3850</v>
      </c>
      <c r="D340" s="3230">
        <v>3810</v>
      </c>
      <c r="E340" s="3230">
        <v>4210</v>
      </c>
      <c r="F340" s="3230">
        <v>750</v>
      </c>
      <c r="G340" s="3230">
        <v>2280</v>
      </c>
    </row>
    <row r="341" spans="1:10" s="3219" customFormat="1" ht="14.25" customHeight="1">
      <c r="A341" s="3230" t="s">
        <v>303</v>
      </c>
      <c r="B341" s="3230" t="s">
        <v>203</v>
      </c>
      <c r="C341" s="3230">
        <v>3780</v>
      </c>
      <c r="D341" s="3230">
        <v>3750</v>
      </c>
      <c r="E341" s="3230">
        <v>4140</v>
      </c>
      <c r="F341" s="3230">
        <v>720</v>
      </c>
      <c r="G341" s="3230">
        <v>2240</v>
      </c>
    </row>
    <row r="342" spans="1:10" s="3219" customFormat="1" ht="14.25" customHeight="1">
      <c r="A342" s="3230" t="s">
        <v>303</v>
      </c>
      <c r="B342" s="3230" t="s">
        <v>3158</v>
      </c>
      <c r="C342" s="3230">
        <v>3670</v>
      </c>
      <c r="D342" s="3230">
        <v>3620</v>
      </c>
      <c r="E342" s="3230">
        <v>3990</v>
      </c>
      <c r="F342" s="3230">
        <v>760</v>
      </c>
      <c r="G342" s="3230">
        <v>2170</v>
      </c>
    </row>
    <row r="343" spans="1:10" s="3219" customFormat="1" ht="14.25" customHeight="1">
      <c r="A343" s="3230" t="s">
        <v>303</v>
      </c>
      <c r="B343" s="3230" t="s">
        <v>253</v>
      </c>
      <c r="C343" s="3230">
        <v>3760</v>
      </c>
      <c r="D343" s="3230">
        <v>3720</v>
      </c>
      <c r="E343" s="3230">
        <v>4090</v>
      </c>
      <c r="F343" s="3230">
        <v>780</v>
      </c>
      <c r="G343" s="3230">
        <v>2220</v>
      </c>
    </row>
    <row r="344" spans="1:10" s="3219" customFormat="1" ht="14.25" customHeight="1">
      <c r="A344" s="3230" t="s">
        <v>303</v>
      </c>
      <c r="B344" s="3230" t="s">
        <v>261</v>
      </c>
      <c r="C344" s="3230">
        <v>3680</v>
      </c>
      <c r="D344" s="3230">
        <v>3640</v>
      </c>
      <c r="E344" s="3230">
        <v>4010</v>
      </c>
      <c r="F344" s="3230">
        <v>750</v>
      </c>
      <c r="G344" s="3230">
        <v>2180</v>
      </c>
    </row>
    <row r="345" spans="1:10">
      <c r="A345" s="3230" t="s">
        <v>303</v>
      </c>
      <c r="B345" s="3230" t="s">
        <v>2922</v>
      </c>
      <c r="C345" s="3230">
        <v>3190</v>
      </c>
      <c r="D345" s="3230">
        <v>3140</v>
      </c>
      <c r="E345" s="3230">
        <v>3450</v>
      </c>
      <c r="F345" s="3230">
        <v>720</v>
      </c>
      <c r="G345" s="3230">
        <v>1880</v>
      </c>
      <c r="J345" s="3219"/>
    </row>
    <row r="346" spans="1:10">
      <c r="A346" s="3230" t="s">
        <v>303</v>
      </c>
      <c r="B346" s="3230" t="s">
        <v>3159</v>
      </c>
      <c r="C346" s="3230">
        <v>3630</v>
      </c>
      <c r="D346" s="3230">
        <v>3590</v>
      </c>
      <c r="E346" s="3230">
        <v>3940</v>
      </c>
      <c r="F346" s="3230">
        <v>730</v>
      </c>
      <c r="G346" s="3230">
        <v>2150</v>
      </c>
      <c r="J346" s="3219"/>
    </row>
    <row r="347" spans="1:10">
      <c r="A347" s="3230" t="s">
        <v>303</v>
      </c>
      <c r="B347" s="3230" t="s">
        <v>239</v>
      </c>
      <c r="C347" s="3230">
        <v>3860</v>
      </c>
      <c r="D347" s="3230">
        <v>3820</v>
      </c>
      <c r="E347" s="3230">
        <v>4220</v>
      </c>
      <c r="F347" s="3230">
        <v>750</v>
      </c>
      <c r="G347" s="3230">
        <v>2280</v>
      </c>
      <c r="J347" s="3219"/>
    </row>
    <row r="348" spans="1:10">
      <c r="A348" s="3230" t="s">
        <v>303</v>
      </c>
      <c r="B348" s="3230" t="s">
        <v>2931</v>
      </c>
      <c r="C348" s="3230">
        <v>4000</v>
      </c>
      <c r="D348" s="3230">
        <v>3950</v>
      </c>
      <c r="E348" s="3230">
        <v>4430</v>
      </c>
      <c r="F348" s="3230">
        <v>760</v>
      </c>
      <c r="G348" s="3230">
        <v>2360</v>
      </c>
      <c r="J348" s="3219"/>
    </row>
    <row r="349" spans="1:10">
      <c r="A349" s="3230" t="s">
        <v>303</v>
      </c>
      <c r="B349" s="3230" t="s">
        <v>2936</v>
      </c>
      <c r="C349" s="3230">
        <v>3820</v>
      </c>
      <c r="D349" s="3230">
        <v>3780</v>
      </c>
      <c r="E349" s="3230">
        <v>4170</v>
      </c>
      <c r="F349" s="3230">
        <v>710</v>
      </c>
      <c r="G349" s="3230">
        <v>2260</v>
      </c>
      <c r="J349" s="3219"/>
    </row>
    <row r="350" spans="1:10">
      <c r="A350" s="3230" t="s">
        <v>303</v>
      </c>
      <c r="B350" s="3230" t="s">
        <v>3160</v>
      </c>
      <c r="C350" s="3230">
        <v>3760</v>
      </c>
      <c r="D350" s="3230">
        <v>3730</v>
      </c>
      <c r="E350" s="3230">
        <v>4100</v>
      </c>
      <c r="F350" s="3230">
        <v>800</v>
      </c>
      <c r="G350" s="3230">
        <v>2230</v>
      </c>
      <c r="J350" s="3219"/>
    </row>
    <row r="351" spans="1:10">
      <c r="A351" s="3230" t="s">
        <v>303</v>
      </c>
      <c r="B351" s="3230" t="s">
        <v>2944</v>
      </c>
      <c r="C351" s="3230">
        <v>3610</v>
      </c>
      <c r="D351" s="3230">
        <v>3580</v>
      </c>
      <c r="E351" s="3230">
        <v>3930</v>
      </c>
      <c r="F351" s="3230">
        <v>700</v>
      </c>
      <c r="G351" s="3230">
        <v>2140</v>
      </c>
      <c r="J351" s="3219"/>
    </row>
    <row r="352" spans="1:10">
      <c r="A352" s="3230" t="s">
        <v>303</v>
      </c>
      <c r="B352" s="3230" t="s">
        <v>2949</v>
      </c>
      <c r="C352" s="3230">
        <v>3670</v>
      </c>
      <c r="D352" s="3230">
        <v>3630</v>
      </c>
      <c r="E352" s="3230">
        <v>4000</v>
      </c>
      <c r="F352" s="3230">
        <v>750</v>
      </c>
      <c r="G352" s="3230">
        <v>2180</v>
      </c>
    </row>
    <row r="353" spans="1:7" s="3223" customFormat="1">
      <c r="A353" s="3230" t="s">
        <v>303</v>
      </c>
      <c r="B353" s="3230" t="s">
        <v>3161</v>
      </c>
      <c r="C353" s="3230">
        <v>3190</v>
      </c>
      <c r="D353" s="3230">
        <v>3150</v>
      </c>
      <c r="E353" s="3230">
        <v>3640</v>
      </c>
      <c r="F353" s="3230">
        <v>630</v>
      </c>
      <c r="G353" s="3230">
        <v>1890</v>
      </c>
    </row>
    <row r="354" spans="1:7" s="3223" customFormat="1">
      <c r="A354" s="3230" t="s">
        <v>303</v>
      </c>
      <c r="B354" s="3230" t="s">
        <v>276</v>
      </c>
      <c r="C354" s="3230">
        <v>3450</v>
      </c>
      <c r="D354" s="3230">
        <v>3420</v>
      </c>
      <c r="E354" s="3230">
        <v>3960</v>
      </c>
      <c r="F354" s="3230">
        <v>660</v>
      </c>
      <c r="G354" s="3230">
        <v>2050</v>
      </c>
    </row>
    <row r="355" spans="1:7" s="3223" customFormat="1">
      <c r="A355" s="3230" t="s">
        <v>303</v>
      </c>
      <c r="B355" s="3230" t="s">
        <v>2969</v>
      </c>
      <c r="C355" s="3230">
        <v>3650</v>
      </c>
      <c r="D355" s="3230">
        <v>3610</v>
      </c>
      <c r="E355" s="3230">
        <v>4200</v>
      </c>
      <c r="F355" s="3230">
        <v>640</v>
      </c>
      <c r="G355" s="3230">
        <v>2160</v>
      </c>
    </row>
    <row r="356" spans="1:7" s="3223" customFormat="1">
      <c r="A356" s="3230" t="s">
        <v>303</v>
      </c>
      <c r="B356" s="3230" t="s">
        <v>2976</v>
      </c>
      <c r="C356" s="3230">
        <v>3260</v>
      </c>
      <c r="D356" s="3230">
        <v>3230</v>
      </c>
      <c r="E356" s="3230">
        <v>3740</v>
      </c>
      <c r="F356" s="3230">
        <v>600</v>
      </c>
      <c r="G356" s="3230">
        <v>1930</v>
      </c>
    </row>
    <row r="357" spans="1:7" s="3223" customFormat="1" ht="12" thickBot="1">
      <c r="A357" s="3238" t="s">
        <v>303</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149</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196</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210</v>
      </c>
      <c r="C369" s="3230">
        <v>2320</v>
      </c>
      <c r="D369" s="3230">
        <v>2290</v>
      </c>
      <c r="E369" s="3230">
        <v>2250</v>
      </c>
      <c r="F369" s="3230">
        <v>550</v>
      </c>
      <c r="G369" s="3243">
        <v>1380</v>
      </c>
    </row>
    <row r="370" spans="1:7" s="3223" customFormat="1">
      <c r="A370" s="3230" t="s">
        <v>3163</v>
      </c>
      <c r="B370" s="3230" t="s">
        <v>217</v>
      </c>
      <c r="C370" s="3230">
        <v>2190</v>
      </c>
      <c r="D370" s="3230">
        <v>2170</v>
      </c>
      <c r="E370" s="3230">
        <v>2130</v>
      </c>
      <c r="F370" s="3230">
        <v>530</v>
      </c>
      <c r="G370" s="3243">
        <v>1310</v>
      </c>
    </row>
    <row r="371" spans="1:7" s="3223" customFormat="1">
      <c r="A371" s="3230" t="s">
        <v>3163</v>
      </c>
      <c r="B371" s="3230" t="s">
        <v>225</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254</v>
      </c>
      <c r="C373" s="3230">
        <v>2210</v>
      </c>
      <c r="D373" s="3230">
        <v>2190</v>
      </c>
      <c r="E373" s="3230">
        <v>2150</v>
      </c>
      <c r="F373" s="3230">
        <v>530</v>
      </c>
      <c r="G373" s="3243">
        <v>1320</v>
      </c>
    </row>
    <row r="374" spans="1:7" s="3223" customFormat="1">
      <c r="A374" s="3230" t="s">
        <v>3163</v>
      </c>
      <c r="B374" s="3230" t="s">
        <v>262</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273</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932" t="s">
        <v>3181</v>
      </c>
      <c r="B1" s="3932"/>
    </row>
    <row r="2" spans="1:7" ht="14.25" thickBot="1">
      <c r="A2" s="3252"/>
      <c r="B2" s="3252"/>
    </row>
    <row r="3" spans="1:7" ht="14.25" thickBot="1">
      <c r="A3" s="3252"/>
      <c r="B3" s="3252"/>
      <c r="C3" s="3253" t="s">
        <v>2807</v>
      </c>
      <c r="D3" s="3253" t="s">
        <v>2867</v>
      </c>
      <c r="E3" s="3253" t="s">
        <v>2809</v>
      </c>
      <c r="F3" s="3253" t="s">
        <v>2868</v>
      </c>
      <c r="G3" s="3253" t="s">
        <v>2627</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140</v>
      </c>
      <c r="B6" s="3261" t="s">
        <v>2869</v>
      </c>
      <c r="C6" s="3262">
        <v>9.8000000000000004E-2</v>
      </c>
      <c r="D6" s="3262">
        <v>9.8000000000000004E-2</v>
      </c>
      <c r="E6" s="3262">
        <v>9.8000000000000004E-2</v>
      </c>
      <c r="F6" s="3262">
        <v>0.1</v>
      </c>
      <c r="G6" s="3263">
        <v>9.9000000000000005E-2</v>
      </c>
    </row>
    <row r="7" spans="1:7">
      <c r="A7" s="3260" t="s">
        <v>140</v>
      </c>
      <c r="B7" s="3261" t="s">
        <v>133</v>
      </c>
      <c r="C7" s="3262">
        <v>9.7000000000000003E-2</v>
      </c>
      <c r="D7" s="3262">
        <v>9.7000000000000003E-2</v>
      </c>
      <c r="E7" s="3262">
        <v>9.6000000000000002E-2</v>
      </c>
      <c r="F7" s="3262">
        <v>0.1</v>
      </c>
      <c r="G7" s="3263">
        <v>9.8000000000000004E-2</v>
      </c>
    </row>
    <row r="8" spans="1:7">
      <c r="A8" s="3260" t="s">
        <v>140</v>
      </c>
      <c r="B8" s="3261" t="s">
        <v>141</v>
      </c>
      <c r="C8" s="3262">
        <v>8.1000000000000003E-2</v>
      </c>
      <c r="D8" s="3262">
        <v>8.2000000000000003E-2</v>
      </c>
      <c r="E8" s="3262">
        <v>7.0000000000000007E-2</v>
      </c>
      <c r="F8" s="3262">
        <v>9.6000000000000002E-2</v>
      </c>
      <c r="G8" s="3263">
        <v>8.8999999999999996E-2</v>
      </c>
    </row>
    <row r="9" spans="1:7" ht="14.25" thickBot="1">
      <c r="A9" s="3264" t="s">
        <v>140</v>
      </c>
      <c r="B9" s="3265" t="s">
        <v>150</v>
      </c>
      <c r="C9" s="3266">
        <v>0.1</v>
      </c>
      <c r="D9" s="3266">
        <v>0.1</v>
      </c>
      <c r="E9" s="3266">
        <v>0.1</v>
      </c>
      <c r="F9" s="3267"/>
      <c r="G9" s="3268">
        <v>0.1</v>
      </c>
    </row>
    <row r="10" spans="1:7">
      <c r="A10" s="3256" t="s">
        <v>180</v>
      </c>
      <c r="B10" s="3257" t="s">
        <v>2855</v>
      </c>
      <c r="C10" s="3258">
        <v>6.7000000000000004E-2</v>
      </c>
      <c r="D10" s="3258">
        <v>7.9000000000000001E-2</v>
      </c>
      <c r="E10" s="3258">
        <v>7.9000000000000001E-2</v>
      </c>
      <c r="F10" s="3258">
        <v>0.1</v>
      </c>
      <c r="G10" s="3259">
        <v>9.0999999999999998E-2</v>
      </c>
    </row>
    <row r="11" spans="1:7">
      <c r="A11" s="3260" t="s">
        <v>180</v>
      </c>
      <c r="B11" s="3261" t="s">
        <v>124</v>
      </c>
      <c r="C11" s="3262">
        <v>0.05</v>
      </c>
      <c r="D11" s="3262">
        <v>5.2999999999999999E-2</v>
      </c>
      <c r="E11" s="3262">
        <v>6.3E-2</v>
      </c>
      <c r="F11" s="3262">
        <v>0.1</v>
      </c>
      <c r="G11" s="3263">
        <v>7.1999999999999995E-2</v>
      </c>
    </row>
    <row r="12" spans="1:7">
      <c r="A12" s="3260" t="s">
        <v>180</v>
      </c>
      <c r="B12" s="3261" t="s">
        <v>107</v>
      </c>
      <c r="C12" s="3262">
        <v>5.2999999999999999E-2</v>
      </c>
      <c r="D12" s="3262">
        <v>0.09</v>
      </c>
      <c r="E12" s="3262">
        <v>7.1999999999999995E-2</v>
      </c>
      <c r="F12" s="3262">
        <v>0.1</v>
      </c>
      <c r="G12" s="3263">
        <v>9.7000000000000003E-2</v>
      </c>
    </row>
    <row r="13" spans="1:7">
      <c r="A13" s="3260" t="s">
        <v>180</v>
      </c>
      <c r="B13" s="3261" t="s">
        <v>142</v>
      </c>
      <c r="C13" s="3262">
        <v>9.7000000000000003E-2</v>
      </c>
      <c r="D13" s="3262">
        <v>9.1999999999999998E-2</v>
      </c>
      <c r="E13" s="3262">
        <v>9.5000000000000001E-2</v>
      </c>
      <c r="F13" s="3262">
        <v>0.1</v>
      </c>
      <c r="G13" s="3263">
        <v>9.7000000000000003E-2</v>
      </c>
    </row>
    <row r="14" spans="1:7">
      <c r="A14" s="3260" t="s">
        <v>180</v>
      </c>
      <c r="B14" s="3261" t="s">
        <v>151</v>
      </c>
      <c r="C14" s="3262">
        <v>9.7000000000000003E-2</v>
      </c>
      <c r="D14" s="3262">
        <v>9.7000000000000003E-2</v>
      </c>
      <c r="E14" s="3262">
        <v>9.7000000000000003E-2</v>
      </c>
      <c r="F14" s="3262">
        <v>0.1</v>
      </c>
      <c r="G14" s="3263">
        <v>9.8000000000000004E-2</v>
      </c>
    </row>
    <row r="15" spans="1:7">
      <c r="A15" s="3260" t="s">
        <v>180</v>
      </c>
      <c r="B15" s="3261" t="s">
        <v>158</v>
      </c>
      <c r="C15" s="3262">
        <v>9.8000000000000004E-2</v>
      </c>
      <c r="D15" s="3262">
        <v>9.0999999999999998E-2</v>
      </c>
      <c r="E15" s="3262">
        <v>0.06</v>
      </c>
      <c r="F15" s="3262">
        <v>0.1</v>
      </c>
      <c r="G15" s="3263">
        <v>9.7000000000000003E-2</v>
      </c>
    </row>
    <row r="16" spans="1:7">
      <c r="A16" s="3260" t="s">
        <v>180</v>
      </c>
      <c r="B16" s="3261" t="s">
        <v>164</v>
      </c>
      <c r="C16" s="3262">
        <v>9.8000000000000004E-2</v>
      </c>
      <c r="D16" s="3262">
        <v>9.7000000000000003E-2</v>
      </c>
      <c r="E16" s="3262">
        <v>9.5000000000000001E-2</v>
      </c>
      <c r="F16" s="3262">
        <v>0.1</v>
      </c>
      <c r="G16" s="3263">
        <v>9.9000000000000005E-2</v>
      </c>
    </row>
    <row r="17" spans="1:7">
      <c r="A17" s="3260" t="s">
        <v>180</v>
      </c>
      <c r="B17" s="3261" t="s">
        <v>171</v>
      </c>
      <c r="C17" s="3262">
        <v>8.8999999999999996E-2</v>
      </c>
      <c r="D17" s="3262">
        <v>9.1999999999999998E-2</v>
      </c>
      <c r="E17" s="3262">
        <v>6.0999999999999999E-2</v>
      </c>
      <c r="F17" s="3262">
        <v>0.1</v>
      </c>
      <c r="G17" s="3263">
        <v>9.7000000000000003E-2</v>
      </c>
    </row>
    <row r="18" spans="1:7">
      <c r="A18" s="3260" t="s">
        <v>180</v>
      </c>
      <c r="B18" s="3261" t="s">
        <v>181</v>
      </c>
      <c r="C18" s="3262">
        <v>9.8000000000000004E-2</v>
      </c>
      <c r="D18" s="3262">
        <v>9.8000000000000004E-2</v>
      </c>
      <c r="E18" s="3262">
        <v>9.8000000000000004E-2</v>
      </c>
      <c r="F18" s="3269"/>
      <c r="G18" s="3263">
        <v>9.9000000000000005E-2</v>
      </c>
    </row>
    <row r="19" spans="1:7">
      <c r="A19" s="3260" t="s">
        <v>180</v>
      </c>
      <c r="B19" s="3261" t="s">
        <v>190</v>
      </c>
      <c r="C19" s="3262">
        <v>9.9000000000000005E-2</v>
      </c>
      <c r="D19" s="3262">
        <v>7.3999999999999996E-2</v>
      </c>
      <c r="E19" s="3262">
        <v>8.1000000000000003E-2</v>
      </c>
      <c r="F19" s="3269"/>
      <c r="G19" s="3263">
        <v>9.2999999999999999E-2</v>
      </c>
    </row>
    <row r="20" spans="1:7">
      <c r="A20" s="3260" t="s">
        <v>180</v>
      </c>
      <c r="B20" s="3261" t="s">
        <v>197</v>
      </c>
      <c r="C20" s="3262">
        <v>0.1</v>
      </c>
      <c r="D20" s="3262">
        <v>8.8999999999999996E-2</v>
      </c>
      <c r="E20" s="3262">
        <v>8.8999999999999996E-2</v>
      </c>
      <c r="F20" s="3269"/>
      <c r="G20" s="3263">
        <v>9.5000000000000001E-2</v>
      </c>
    </row>
    <row r="21" spans="1:7">
      <c r="A21" s="3260" t="s">
        <v>180</v>
      </c>
      <c r="B21" s="3261" t="s">
        <v>204</v>
      </c>
      <c r="C21" s="3262">
        <v>0.1</v>
      </c>
      <c r="D21" s="3262">
        <v>9.0999999999999998E-2</v>
      </c>
      <c r="E21" s="3262">
        <v>8.2000000000000003E-2</v>
      </c>
      <c r="F21" s="3269"/>
      <c r="G21" s="3263">
        <v>9.7000000000000003E-2</v>
      </c>
    </row>
    <row r="22" spans="1:7">
      <c r="A22" s="3260" t="s">
        <v>180</v>
      </c>
      <c r="B22" s="3261" t="s">
        <v>2905</v>
      </c>
      <c r="C22" s="3262">
        <v>9.5000000000000001E-2</v>
      </c>
      <c r="D22" s="3262">
        <v>9.9000000000000005E-2</v>
      </c>
      <c r="E22" s="3262">
        <v>9.8000000000000004E-2</v>
      </c>
      <c r="F22" s="3269"/>
      <c r="G22" s="3263">
        <v>0.1</v>
      </c>
    </row>
    <row r="23" spans="1:7">
      <c r="A23" s="3260" t="s">
        <v>180</v>
      </c>
      <c r="B23" s="3261" t="s">
        <v>218</v>
      </c>
      <c r="C23" s="3262">
        <v>9.9000000000000005E-2</v>
      </c>
      <c r="D23" s="3262">
        <v>0.1</v>
      </c>
      <c r="E23" s="3262">
        <v>0.1</v>
      </c>
      <c r="F23" s="3269"/>
      <c r="G23" s="3263">
        <v>0.1</v>
      </c>
    </row>
    <row r="24" spans="1:7">
      <c r="A24" s="3260" t="s">
        <v>180</v>
      </c>
      <c r="B24" s="3261" t="s">
        <v>226</v>
      </c>
      <c r="C24" s="3262">
        <v>9.5000000000000001E-2</v>
      </c>
      <c r="D24" s="3262">
        <v>0.1</v>
      </c>
      <c r="E24" s="3262">
        <v>9.8000000000000004E-2</v>
      </c>
      <c r="F24" s="3269"/>
      <c r="G24" s="3263">
        <v>0.1</v>
      </c>
    </row>
    <row r="25" spans="1:7">
      <c r="A25" s="3260" t="s">
        <v>180</v>
      </c>
      <c r="B25" s="3261" t="s">
        <v>231</v>
      </c>
      <c r="C25" s="3262">
        <v>0.05</v>
      </c>
      <c r="D25" s="3262">
        <v>9.6000000000000002E-2</v>
      </c>
      <c r="E25" s="3262">
        <v>9.6000000000000002E-2</v>
      </c>
      <c r="F25" s="3269"/>
      <c r="G25" s="3263">
        <v>9.6000000000000002E-2</v>
      </c>
    </row>
    <row r="26" spans="1:7">
      <c r="A26" s="3260" t="s">
        <v>180</v>
      </c>
      <c r="B26" s="3261" t="s">
        <v>240</v>
      </c>
      <c r="C26" s="3262">
        <v>6.3E-2</v>
      </c>
      <c r="D26" s="3262">
        <v>9.9000000000000005E-2</v>
      </c>
      <c r="E26" s="3262">
        <v>9.8000000000000004E-2</v>
      </c>
      <c r="F26" s="3269"/>
      <c r="G26" s="3263">
        <v>0.1</v>
      </c>
    </row>
    <row r="27" spans="1:7">
      <c r="A27" s="3260" t="s">
        <v>180</v>
      </c>
      <c r="B27" s="3261" t="s">
        <v>247</v>
      </c>
      <c r="C27" s="3262">
        <v>5.1999999999999998E-2</v>
      </c>
      <c r="D27" s="3262">
        <v>9.5000000000000001E-2</v>
      </c>
      <c r="E27" s="3262">
        <v>6.4000000000000001E-2</v>
      </c>
      <c r="F27" s="3269"/>
      <c r="G27" s="3263">
        <v>9.7000000000000003E-2</v>
      </c>
    </row>
    <row r="28" spans="1:7">
      <c r="A28" s="3260" t="s">
        <v>180</v>
      </c>
      <c r="B28" s="3261" t="s">
        <v>255</v>
      </c>
      <c r="C28" s="3269"/>
      <c r="D28" s="3262">
        <v>6.3E-2</v>
      </c>
      <c r="E28" s="3262">
        <v>5.1999999999999998E-2</v>
      </c>
      <c r="F28" s="3269"/>
      <c r="G28" s="3263">
        <v>6.3E-2</v>
      </c>
    </row>
    <row r="29" spans="1:7" ht="14.25" thickBot="1">
      <c r="A29" s="3264" t="s">
        <v>180</v>
      </c>
      <c r="B29" s="3265" t="s">
        <v>2923</v>
      </c>
      <c r="C29" s="3270"/>
      <c r="D29" s="3266">
        <v>5.1999999999999998E-2</v>
      </c>
      <c r="E29" s="3266">
        <v>7.0000000000000007E-2</v>
      </c>
      <c r="F29" s="3270"/>
      <c r="G29" s="3268">
        <v>7.0999999999999994E-2</v>
      </c>
    </row>
    <row r="30" spans="1:7">
      <c r="A30" s="3271" t="s">
        <v>292</v>
      </c>
      <c r="B30" s="3257" t="s">
        <v>2856</v>
      </c>
      <c r="C30" s="3258">
        <v>6.6000000000000003E-2</v>
      </c>
      <c r="D30" s="3258">
        <v>6.6000000000000003E-2</v>
      </c>
      <c r="E30" s="3258">
        <v>5.7000000000000002E-2</v>
      </c>
      <c r="F30" s="3258">
        <v>0.1</v>
      </c>
      <c r="G30" s="3259">
        <v>6.8000000000000005E-2</v>
      </c>
    </row>
    <row r="31" spans="1:7">
      <c r="A31" s="3272" t="s">
        <v>292</v>
      </c>
      <c r="B31" s="3261" t="s">
        <v>125</v>
      </c>
      <c r="C31" s="3262">
        <v>5.5E-2</v>
      </c>
      <c r="D31" s="3262">
        <v>8.2000000000000003E-2</v>
      </c>
      <c r="E31" s="3262">
        <v>6.4000000000000001E-2</v>
      </c>
      <c r="F31" s="3262">
        <v>0.1</v>
      </c>
      <c r="G31" s="3263">
        <v>9.5000000000000001E-2</v>
      </c>
    </row>
    <row r="32" spans="1:7">
      <c r="A32" s="3272" t="s">
        <v>292</v>
      </c>
      <c r="B32" s="3261" t="s">
        <v>134</v>
      </c>
      <c r="C32" s="3262">
        <v>8.2000000000000003E-2</v>
      </c>
      <c r="D32" s="3262">
        <v>8.6999999999999994E-2</v>
      </c>
      <c r="E32" s="3262">
        <v>9.5000000000000001E-2</v>
      </c>
      <c r="F32" s="3262">
        <v>0.1</v>
      </c>
      <c r="G32" s="3263">
        <v>9.6000000000000002E-2</v>
      </c>
    </row>
    <row r="33" spans="1:7">
      <c r="A33" s="3272" t="s">
        <v>292</v>
      </c>
      <c r="B33" s="3261" t="s">
        <v>143</v>
      </c>
      <c r="C33" s="3262">
        <v>9.9000000000000005E-2</v>
      </c>
      <c r="D33" s="3262">
        <v>9.1999999999999998E-2</v>
      </c>
      <c r="E33" s="3262">
        <v>8.6999999999999994E-2</v>
      </c>
      <c r="F33" s="3262">
        <v>0.1</v>
      </c>
      <c r="G33" s="3263">
        <v>9.7000000000000003E-2</v>
      </c>
    </row>
    <row r="34" spans="1:7">
      <c r="A34" s="3272" t="s">
        <v>292</v>
      </c>
      <c r="B34" s="3261" t="s">
        <v>152</v>
      </c>
      <c r="C34" s="3262">
        <v>8.4000000000000005E-2</v>
      </c>
      <c r="D34" s="3262">
        <v>9.7000000000000003E-2</v>
      </c>
      <c r="E34" s="3262">
        <v>7.0999999999999994E-2</v>
      </c>
      <c r="F34" s="3262">
        <v>0.1</v>
      </c>
      <c r="G34" s="3263">
        <v>9.8000000000000004E-2</v>
      </c>
    </row>
    <row r="35" spans="1:7">
      <c r="A35" s="3272" t="s">
        <v>292</v>
      </c>
      <c r="B35" s="3261" t="s">
        <v>159</v>
      </c>
      <c r="C35" s="3262">
        <v>8.3000000000000004E-2</v>
      </c>
      <c r="D35" s="3262">
        <v>9.7000000000000003E-2</v>
      </c>
      <c r="E35" s="3262">
        <v>6.0999999999999999E-2</v>
      </c>
      <c r="F35" s="3262">
        <v>0.1</v>
      </c>
      <c r="G35" s="3263">
        <v>9.9000000000000005E-2</v>
      </c>
    </row>
    <row r="36" spans="1:7">
      <c r="A36" s="3272" t="s">
        <v>292</v>
      </c>
      <c r="B36" s="3261" t="s">
        <v>165</v>
      </c>
      <c r="C36" s="3262">
        <v>9.7000000000000003E-2</v>
      </c>
      <c r="D36" s="3262">
        <v>9.7000000000000003E-2</v>
      </c>
      <c r="E36" s="3262">
        <v>7.8E-2</v>
      </c>
      <c r="F36" s="3262">
        <v>0.1</v>
      </c>
      <c r="G36" s="3263">
        <v>9.9000000000000005E-2</v>
      </c>
    </row>
    <row r="37" spans="1:7">
      <c r="A37" s="3272" t="s">
        <v>292</v>
      </c>
      <c r="B37" s="3261" t="s">
        <v>172</v>
      </c>
      <c r="C37" s="3262">
        <v>9.7000000000000003E-2</v>
      </c>
      <c r="D37" s="3262">
        <v>9.5000000000000001E-2</v>
      </c>
      <c r="E37" s="3262">
        <v>7.8E-2</v>
      </c>
      <c r="F37" s="3262">
        <v>0.1</v>
      </c>
      <c r="G37" s="3263">
        <v>9.7000000000000003E-2</v>
      </c>
    </row>
    <row r="38" spans="1:7">
      <c r="A38" s="3272" t="s">
        <v>292</v>
      </c>
      <c r="B38" s="3261" t="s">
        <v>182</v>
      </c>
      <c r="C38" s="3262">
        <v>9.7000000000000003E-2</v>
      </c>
      <c r="D38" s="3262">
        <v>7.6999999999999999E-2</v>
      </c>
      <c r="E38" s="3262">
        <v>7.0000000000000007E-2</v>
      </c>
      <c r="F38" s="3262">
        <v>0.1</v>
      </c>
      <c r="G38" s="3263">
        <v>7.6999999999999999E-2</v>
      </c>
    </row>
    <row r="39" spans="1:7">
      <c r="A39" s="3272" t="s">
        <v>292</v>
      </c>
      <c r="B39" s="3261" t="s">
        <v>191</v>
      </c>
      <c r="C39" s="3262">
        <v>9.5000000000000001E-2</v>
      </c>
      <c r="D39" s="3262">
        <v>7.6999999999999999E-2</v>
      </c>
      <c r="E39" s="3262">
        <v>6.6000000000000003E-2</v>
      </c>
      <c r="F39" s="3262">
        <v>0.1</v>
      </c>
      <c r="G39" s="3263">
        <v>8.5999999999999993E-2</v>
      </c>
    </row>
    <row r="40" spans="1:7">
      <c r="A40" s="3272" t="s">
        <v>292</v>
      </c>
      <c r="B40" s="3261" t="s">
        <v>198</v>
      </c>
      <c r="C40" s="3262">
        <v>7.6999999999999999E-2</v>
      </c>
      <c r="D40" s="3262">
        <v>7.8E-2</v>
      </c>
      <c r="E40" s="3262">
        <v>8.2000000000000003E-2</v>
      </c>
      <c r="F40" s="3273"/>
      <c r="G40" s="3263">
        <v>7.8E-2</v>
      </c>
    </row>
    <row r="41" spans="1:7">
      <c r="A41" s="3272" t="s">
        <v>292</v>
      </c>
      <c r="B41" s="3261" t="s">
        <v>205</v>
      </c>
      <c r="C41" s="3262">
        <v>7.8E-2</v>
      </c>
      <c r="D41" s="3262">
        <v>7.8E-2</v>
      </c>
      <c r="E41" s="3262">
        <v>8.2000000000000003E-2</v>
      </c>
      <c r="F41" s="3273"/>
      <c r="G41" s="3263">
        <v>8.5999999999999993E-2</v>
      </c>
    </row>
    <row r="42" spans="1:7">
      <c r="A42" s="3272" t="s">
        <v>292</v>
      </c>
      <c r="B42" s="3261" t="s">
        <v>211</v>
      </c>
      <c r="C42" s="3262">
        <v>7.8E-2</v>
      </c>
      <c r="D42" s="3262">
        <v>9.6000000000000002E-2</v>
      </c>
      <c r="E42" s="3262">
        <v>7.1999999999999995E-2</v>
      </c>
      <c r="F42" s="3273"/>
      <c r="G42" s="3263">
        <v>9.8000000000000004E-2</v>
      </c>
    </row>
    <row r="43" spans="1:7">
      <c r="A43" s="3272" t="s">
        <v>2842</v>
      </c>
      <c r="B43" s="3261" t="s">
        <v>219</v>
      </c>
      <c r="C43" s="3262">
        <v>7.8E-2</v>
      </c>
      <c r="D43" s="3262">
        <v>9.9000000000000005E-2</v>
      </c>
      <c r="E43" s="3262">
        <v>9.6000000000000002E-2</v>
      </c>
      <c r="F43" s="3273"/>
      <c r="G43" s="3263">
        <v>0.1</v>
      </c>
    </row>
    <row r="44" spans="1:7">
      <c r="A44" s="3272" t="s">
        <v>292</v>
      </c>
      <c r="B44" s="3261" t="s">
        <v>227</v>
      </c>
      <c r="C44" s="3262">
        <v>9.6000000000000002E-2</v>
      </c>
      <c r="D44" s="3262">
        <v>0.1</v>
      </c>
      <c r="E44" s="3262">
        <v>9.8000000000000004E-2</v>
      </c>
      <c r="F44" s="3273"/>
      <c r="G44" s="3263">
        <v>0.1</v>
      </c>
    </row>
    <row r="45" spans="1:7">
      <c r="A45" s="3272" t="s">
        <v>292</v>
      </c>
      <c r="B45" s="3261" t="s">
        <v>232</v>
      </c>
      <c r="C45" s="3262">
        <v>9.9000000000000005E-2</v>
      </c>
      <c r="D45" s="3262">
        <v>9.8000000000000004E-2</v>
      </c>
      <c r="E45" s="3262">
        <v>9.5000000000000001E-2</v>
      </c>
      <c r="F45" s="3273"/>
      <c r="G45" s="3263">
        <v>9.8000000000000004E-2</v>
      </c>
    </row>
    <row r="46" spans="1:7">
      <c r="A46" s="3272" t="s">
        <v>292</v>
      </c>
      <c r="B46" s="3261" t="s">
        <v>241</v>
      </c>
      <c r="C46" s="3262">
        <v>0.1</v>
      </c>
      <c r="D46" s="3262">
        <v>9.9000000000000005E-2</v>
      </c>
      <c r="E46" s="3262">
        <v>9.6000000000000002E-2</v>
      </c>
      <c r="F46" s="3273"/>
      <c r="G46" s="3263">
        <v>0.1</v>
      </c>
    </row>
    <row r="47" spans="1:7">
      <c r="A47" s="3272" t="s">
        <v>292</v>
      </c>
      <c r="B47" s="3261" t="s">
        <v>248</v>
      </c>
      <c r="C47" s="3262">
        <v>9.8000000000000004E-2</v>
      </c>
      <c r="D47" s="3262">
        <v>8.6999999999999994E-2</v>
      </c>
      <c r="E47" s="3262">
        <v>5.8999999999999997E-2</v>
      </c>
      <c r="F47" s="3273"/>
      <c r="G47" s="3263">
        <v>9.6000000000000002E-2</v>
      </c>
    </row>
    <row r="48" spans="1:7">
      <c r="A48" s="3272" t="s">
        <v>292</v>
      </c>
      <c r="B48" s="3261" t="s">
        <v>256</v>
      </c>
      <c r="C48" s="3262">
        <v>9.9000000000000005E-2</v>
      </c>
      <c r="D48" s="3262">
        <v>9.8000000000000004E-2</v>
      </c>
      <c r="E48" s="3262">
        <v>9.5000000000000001E-2</v>
      </c>
      <c r="F48" s="3273"/>
      <c r="G48" s="3263">
        <v>9.8000000000000004E-2</v>
      </c>
    </row>
    <row r="49" spans="1:7">
      <c r="A49" s="3272" t="s">
        <v>292</v>
      </c>
      <c r="B49" s="3261" t="s">
        <v>263</v>
      </c>
      <c r="C49" s="3262">
        <v>8.7999999999999995E-2</v>
      </c>
      <c r="D49" s="3262">
        <v>9.9000000000000005E-2</v>
      </c>
      <c r="E49" s="3262">
        <v>7.0000000000000007E-2</v>
      </c>
      <c r="F49" s="3273"/>
      <c r="G49" s="3263">
        <v>0.1</v>
      </c>
    </row>
    <row r="50" spans="1:7">
      <c r="A50" s="3272" t="s">
        <v>292</v>
      </c>
      <c r="B50" s="3261" t="s">
        <v>2926</v>
      </c>
      <c r="C50" s="3262">
        <v>9.8000000000000004E-2</v>
      </c>
      <c r="D50" s="3262">
        <v>7.2999999999999995E-2</v>
      </c>
      <c r="E50" s="3262">
        <v>7.0999999999999994E-2</v>
      </c>
      <c r="F50" s="3273"/>
      <c r="G50" s="3263">
        <v>7.2999999999999995E-2</v>
      </c>
    </row>
    <row r="51" spans="1:7">
      <c r="A51" s="3272" t="s">
        <v>292</v>
      </c>
      <c r="B51" s="3261" t="s">
        <v>2928</v>
      </c>
      <c r="C51" s="3262">
        <v>9.9000000000000005E-2</v>
      </c>
      <c r="D51" s="3262">
        <v>8.5000000000000006E-2</v>
      </c>
      <c r="E51" s="3262">
        <v>6.3E-2</v>
      </c>
      <c r="F51" s="3273"/>
      <c r="G51" s="3263">
        <v>9.6000000000000002E-2</v>
      </c>
    </row>
    <row r="52" spans="1:7">
      <c r="A52" s="3272" t="s">
        <v>292</v>
      </c>
      <c r="B52" s="3261" t="s">
        <v>2932</v>
      </c>
      <c r="C52" s="3262">
        <v>7.3999999999999996E-2</v>
      </c>
      <c r="D52" s="3262">
        <v>9.6000000000000002E-2</v>
      </c>
      <c r="E52" s="3262">
        <v>0.05</v>
      </c>
      <c r="F52" s="3273"/>
      <c r="G52" s="3263">
        <v>9.8000000000000004E-2</v>
      </c>
    </row>
    <row r="53" spans="1:7">
      <c r="A53" s="3272" t="s">
        <v>292</v>
      </c>
      <c r="B53" s="3261" t="s">
        <v>2937</v>
      </c>
      <c r="C53" s="3262">
        <v>8.5999999999999993E-2</v>
      </c>
      <c r="D53" s="3273"/>
      <c r="E53" s="3262">
        <v>9.1999999999999998E-2</v>
      </c>
      <c r="F53" s="3273"/>
      <c r="G53" s="3274"/>
    </row>
    <row r="54" spans="1:7" ht="14.25" thickBot="1">
      <c r="A54" s="3275" t="s">
        <v>292</v>
      </c>
      <c r="B54" s="3265" t="s">
        <v>2940</v>
      </c>
      <c r="C54" s="3266">
        <v>9.6000000000000002E-2</v>
      </c>
      <c r="D54" s="3267"/>
      <c r="E54" s="3276"/>
      <c r="F54" s="3267"/>
      <c r="G54" s="3277"/>
    </row>
    <row r="55" spans="1:7">
      <c r="A55" s="3271" t="s">
        <v>106</v>
      </c>
      <c r="B55" s="3257" t="s">
        <v>2857</v>
      </c>
      <c r="C55" s="3258">
        <v>9.6000000000000002E-2</v>
      </c>
      <c r="D55" s="3258">
        <v>8.4000000000000005E-2</v>
      </c>
      <c r="E55" s="3258">
        <v>9.1999999999999998E-2</v>
      </c>
      <c r="F55" s="3258">
        <v>0.1</v>
      </c>
      <c r="G55" s="3259">
        <v>9.5000000000000001E-2</v>
      </c>
    </row>
    <row r="56" spans="1:7">
      <c r="A56" s="3272" t="s">
        <v>106</v>
      </c>
      <c r="B56" s="3261" t="s">
        <v>126</v>
      </c>
      <c r="C56" s="3262">
        <v>8.4000000000000005E-2</v>
      </c>
      <c r="D56" s="3262">
        <v>9.1999999999999998E-2</v>
      </c>
      <c r="E56" s="3262">
        <v>9.5000000000000001E-2</v>
      </c>
      <c r="F56" s="3262">
        <v>9.1999999999999998E-2</v>
      </c>
      <c r="G56" s="3263">
        <v>9.6000000000000002E-2</v>
      </c>
    </row>
    <row r="57" spans="1:7">
      <c r="A57" s="3272" t="s">
        <v>106</v>
      </c>
      <c r="B57" s="3261" t="s">
        <v>135</v>
      </c>
      <c r="C57" s="3262">
        <v>9.9000000000000005E-2</v>
      </c>
      <c r="D57" s="3262">
        <v>9.6000000000000002E-2</v>
      </c>
      <c r="E57" s="3262">
        <v>9.1999999999999998E-2</v>
      </c>
      <c r="F57" s="3262">
        <v>0.1</v>
      </c>
      <c r="G57" s="3263">
        <v>9.8000000000000004E-2</v>
      </c>
    </row>
    <row r="58" spans="1:7">
      <c r="A58" s="3272" t="s">
        <v>106</v>
      </c>
      <c r="B58" s="3261" t="s">
        <v>144</v>
      </c>
      <c r="C58" s="3262">
        <v>9.8000000000000004E-2</v>
      </c>
      <c r="D58" s="3262">
        <v>9.5000000000000001E-2</v>
      </c>
      <c r="E58" s="3262">
        <v>5.7000000000000002E-2</v>
      </c>
      <c r="F58" s="3262">
        <v>0.1</v>
      </c>
      <c r="G58" s="3263">
        <v>9.6000000000000002E-2</v>
      </c>
    </row>
    <row r="59" spans="1:7">
      <c r="A59" s="3272" t="s">
        <v>106</v>
      </c>
      <c r="B59" s="3261" t="s">
        <v>153</v>
      </c>
      <c r="C59" s="3262">
        <v>9.5000000000000001E-2</v>
      </c>
      <c r="D59" s="3262">
        <v>0.1</v>
      </c>
      <c r="E59" s="3262">
        <v>7.4999999999999997E-2</v>
      </c>
      <c r="F59" s="3262">
        <v>0.1</v>
      </c>
      <c r="G59" s="3263">
        <v>0.1</v>
      </c>
    </row>
    <row r="60" spans="1:7">
      <c r="A60" s="3272" t="s">
        <v>106</v>
      </c>
      <c r="B60" s="3261" t="s">
        <v>160</v>
      </c>
      <c r="C60" s="3262">
        <v>0.1</v>
      </c>
      <c r="D60" s="3262">
        <v>9.7000000000000003E-2</v>
      </c>
      <c r="E60" s="3262">
        <v>0.1</v>
      </c>
      <c r="F60" s="3262">
        <v>0.1</v>
      </c>
      <c r="G60" s="3263">
        <v>9.7000000000000003E-2</v>
      </c>
    </row>
    <row r="61" spans="1:7">
      <c r="A61" s="3272" t="s">
        <v>106</v>
      </c>
      <c r="B61" s="3261" t="s">
        <v>166</v>
      </c>
      <c r="C61" s="3262">
        <v>9.7000000000000003E-2</v>
      </c>
      <c r="D61" s="3262">
        <v>0.1</v>
      </c>
      <c r="E61" s="3262">
        <v>9.2999999999999999E-2</v>
      </c>
      <c r="F61" s="3262">
        <v>0.1</v>
      </c>
      <c r="G61" s="3263">
        <v>0.1</v>
      </c>
    </row>
    <row r="62" spans="1:7">
      <c r="A62" s="3272" t="s">
        <v>106</v>
      </c>
      <c r="B62" s="3261" t="s">
        <v>173</v>
      </c>
      <c r="C62" s="3262">
        <v>0.1</v>
      </c>
      <c r="D62" s="3262">
        <v>9.7000000000000003E-2</v>
      </c>
      <c r="E62" s="3262">
        <v>8.8999999999999996E-2</v>
      </c>
      <c r="F62" s="3262">
        <v>0.1</v>
      </c>
      <c r="G62" s="3263">
        <v>9.8000000000000004E-2</v>
      </c>
    </row>
    <row r="63" spans="1:7">
      <c r="A63" s="3272" t="s">
        <v>106</v>
      </c>
      <c r="B63" s="3261" t="s">
        <v>183</v>
      </c>
      <c r="C63" s="3262">
        <v>9.7000000000000003E-2</v>
      </c>
      <c r="D63" s="3262">
        <v>9.7000000000000003E-2</v>
      </c>
      <c r="E63" s="3262">
        <v>9.9000000000000005E-2</v>
      </c>
      <c r="F63" s="3262">
        <v>0.1</v>
      </c>
      <c r="G63" s="3263">
        <v>9.7000000000000003E-2</v>
      </c>
    </row>
    <row r="64" spans="1:7">
      <c r="A64" s="3272" t="s">
        <v>106</v>
      </c>
      <c r="B64" s="3261" t="s">
        <v>192</v>
      </c>
      <c r="C64" s="3262">
        <v>9.7000000000000003E-2</v>
      </c>
      <c r="D64" s="3262">
        <v>7.3999999999999996E-2</v>
      </c>
      <c r="E64" s="3262">
        <v>7.8E-2</v>
      </c>
      <c r="F64" s="3262">
        <v>0.1</v>
      </c>
      <c r="G64" s="3263">
        <v>8.8999999999999996E-2</v>
      </c>
    </row>
    <row r="65" spans="1:7">
      <c r="A65" s="3272" t="s">
        <v>106</v>
      </c>
      <c r="B65" s="3261" t="s">
        <v>199</v>
      </c>
      <c r="C65" s="3262">
        <v>7.2999999999999995E-2</v>
      </c>
      <c r="D65" s="3262">
        <v>9.8000000000000004E-2</v>
      </c>
      <c r="E65" s="3262">
        <v>9.5000000000000001E-2</v>
      </c>
      <c r="F65" s="3262">
        <v>0.1</v>
      </c>
      <c r="G65" s="3263">
        <v>9.9000000000000005E-2</v>
      </c>
    </row>
    <row r="66" spans="1:7">
      <c r="A66" s="3272" t="s">
        <v>106</v>
      </c>
      <c r="B66" s="3261" t="s">
        <v>206</v>
      </c>
      <c r="C66" s="3262">
        <v>9.8000000000000004E-2</v>
      </c>
      <c r="D66" s="3262">
        <v>9.5000000000000001E-2</v>
      </c>
      <c r="E66" s="3262">
        <v>0.05</v>
      </c>
      <c r="F66" s="3262">
        <v>0.1</v>
      </c>
      <c r="G66" s="3263">
        <v>9.7000000000000003E-2</v>
      </c>
    </row>
    <row r="67" spans="1:7">
      <c r="A67" s="3272" t="s">
        <v>106</v>
      </c>
      <c r="B67" s="3261" t="s">
        <v>212</v>
      </c>
      <c r="C67" s="3262">
        <v>9.5000000000000001E-2</v>
      </c>
      <c r="D67" s="3262">
        <v>9.7000000000000003E-2</v>
      </c>
      <c r="E67" s="3262">
        <v>9.7000000000000003E-2</v>
      </c>
      <c r="F67" s="3262">
        <v>0.1</v>
      </c>
      <c r="G67" s="3263">
        <v>9.9000000000000005E-2</v>
      </c>
    </row>
    <row r="68" spans="1:7">
      <c r="A68" s="3272" t="s">
        <v>106</v>
      </c>
      <c r="B68" s="3261" t="s">
        <v>220</v>
      </c>
      <c r="C68" s="3262">
        <v>9.7000000000000003E-2</v>
      </c>
      <c r="D68" s="3262">
        <v>6.8000000000000005E-2</v>
      </c>
      <c r="E68" s="3262">
        <v>6.6000000000000003E-2</v>
      </c>
      <c r="F68" s="3262">
        <v>0.1</v>
      </c>
      <c r="G68" s="3263">
        <v>8.4000000000000005E-2</v>
      </c>
    </row>
    <row r="69" spans="1:7">
      <c r="A69" s="3272" t="s">
        <v>106</v>
      </c>
      <c r="B69" s="3261" t="s">
        <v>228</v>
      </c>
      <c r="C69" s="3262">
        <v>6.8000000000000005E-2</v>
      </c>
      <c r="D69" s="3262">
        <v>9.8000000000000004E-2</v>
      </c>
      <c r="E69" s="3262">
        <v>9.5000000000000001E-2</v>
      </c>
      <c r="F69" s="3262">
        <v>0.1</v>
      </c>
      <c r="G69" s="3263">
        <v>0.1</v>
      </c>
    </row>
    <row r="70" spans="1:7">
      <c r="A70" s="3272" t="s">
        <v>106</v>
      </c>
      <c r="B70" s="3261" t="s">
        <v>233</v>
      </c>
      <c r="C70" s="3262">
        <v>9.8000000000000004E-2</v>
      </c>
      <c r="D70" s="3262">
        <v>8.8999999999999996E-2</v>
      </c>
      <c r="E70" s="3262">
        <v>5.8999999999999997E-2</v>
      </c>
      <c r="F70" s="3262">
        <v>0.1</v>
      </c>
      <c r="G70" s="3263">
        <v>9.6000000000000002E-2</v>
      </c>
    </row>
    <row r="71" spans="1:7">
      <c r="A71" s="3272" t="s">
        <v>106</v>
      </c>
      <c r="B71" s="3261" t="s">
        <v>242</v>
      </c>
      <c r="C71" s="3262">
        <v>8.8999999999999996E-2</v>
      </c>
      <c r="D71" s="3262">
        <v>9.9000000000000005E-2</v>
      </c>
      <c r="E71" s="3262">
        <v>9.6000000000000002E-2</v>
      </c>
      <c r="F71" s="3262">
        <v>0.1</v>
      </c>
      <c r="G71" s="3263">
        <v>0.1</v>
      </c>
    </row>
    <row r="72" spans="1:7">
      <c r="A72" s="3272" t="s">
        <v>106</v>
      </c>
      <c r="B72" s="3261" t="s">
        <v>249</v>
      </c>
      <c r="C72" s="3262">
        <v>9.9000000000000005E-2</v>
      </c>
      <c r="D72" s="3262">
        <v>0.1</v>
      </c>
      <c r="E72" s="3262">
        <v>7.0000000000000007E-2</v>
      </c>
      <c r="F72" s="3273"/>
      <c r="G72" s="3263">
        <v>0.1</v>
      </c>
    </row>
    <row r="73" spans="1:7">
      <c r="A73" s="3272" t="s">
        <v>106</v>
      </c>
      <c r="B73" s="3261" t="s">
        <v>257</v>
      </c>
      <c r="C73" s="3262">
        <v>0.1</v>
      </c>
      <c r="D73" s="3262">
        <v>0.1</v>
      </c>
      <c r="E73" s="3262">
        <v>9.6000000000000002E-2</v>
      </c>
      <c r="F73" s="3273"/>
      <c r="G73" s="3263">
        <v>0.1</v>
      </c>
    </row>
    <row r="74" spans="1:7">
      <c r="A74" s="3272" t="s">
        <v>106</v>
      </c>
      <c r="B74" s="3261" t="s">
        <v>264</v>
      </c>
      <c r="C74" s="3262">
        <v>0.1</v>
      </c>
      <c r="D74" s="3262">
        <v>0.1</v>
      </c>
      <c r="E74" s="3262">
        <v>9.8000000000000004E-2</v>
      </c>
      <c r="F74" s="3273"/>
      <c r="G74" s="3263">
        <v>0.1</v>
      </c>
    </row>
    <row r="75" spans="1:7">
      <c r="A75" s="3272" t="s">
        <v>106</v>
      </c>
      <c r="B75" s="3261" t="s">
        <v>268</v>
      </c>
      <c r="C75" s="3262">
        <v>0.1</v>
      </c>
      <c r="D75" s="3262">
        <v>9.9000000000000005E-2</v>
      </c>
      <c r="E75" s="3262">
        <v>9.8000000000000004E-2</v>
      </c>
      <c r="F75" s="3273"/>
      <c r="G75" s="3263">
        <v>0.1</v>
      </c>
    </row>
    <row r="76" spans="1:7">
      <c r="A76" s="3272" t="s">
        <v>106</v>
      </c>
      <c r="B76" s="3261" t="s">
        <v>274</v>
      </c>
      <c r="C76" s="3262">
        <v>9.9000000000000005E-2</v>
      </c>
      <c r="D76" s="3262">
        <v>0.1</v>
      </c>
      <c r="E76" s="3262">
        <v>9.7000000000000003E-2</v>
      </c>
      <c r="F76" s="3273"/>
      <c r="G76" s="3263">
        <v>0.1</v>
      </c>
    </row>
    <row r="77" spans="1:7">
      <c r="A77" s="3272" t="s">
        <v>106</v>
      </c>
      <c r="B77" s="3261" t="s">
        <v>277</v>
      </c>
      <c r="C77" s="3262">
        <v>0.1</v>
      </c>
      <c r="D77" s="3262">
        <v>0.1</v>
      </c>
      <c r="E77" s="3262">
        <v>9.6000000000000002E-2</v>
      </c>
      <c r="F77" s="3273"/>
      <c r="G77" s="3263">
        <v>0.1</v>
      </c>
    </row>
    <row r="78" spans="1:7">
      <c r="A78" s="3272" t="s">
        <v>106</v>
      </c>
      <c r="B78" s="3261" t="s">
        <v>2938</v>
      </c>
      <c r="C78" s="3262">
        <v>0.1</v>
      </c>
      <c r="D78" s="3262">
        <v>8.5000000000000006E-2</v>
      </c>
      <c r="E78" s="3262">
        <v>9.6000000000000002E-2</v>
      </c>
      <c r="F78" s="3273"/>
      <c r="G78" s="3263">
        <v>9.6000000000000002E-2</v>
      </c>
    </row>
    <row r="79" spans="1:7">
      <c r="A79" s="3272" t="s">
        <v>106</v>
      </c>
      <c r="B79" s="3261" t="s">
        <v>2941</v>
      </c>
      <c r="C79" s="3262">
        <v>0.05</v>
      </c>
      <c r="D79" s="3262">
        <v>9.6000000000000002E-2</v>
      </c>
      <c r="E79" s="3262">
        <v>9.5000000000000001E-2</v>
      </c>
      <c r="F79" s="3273"/>
      <c r="G79" s="3263">
        <v>9.8000000000000004E-2</v>
      </c>
    </row>
    <row r="80" spans="1:7">
      <c r="A80" s="3272" t="s">
        <v>106</v>
      </c>
      <c r="B80" s="3261" t="s">
        <v>2945</v>
      </c>
      <c r="C80" s="3262">
        <v>8.5999999999999993E-2</v>
      </c>
      <c r="D80" s="3278"/>
      <c r="E80" s="3262">
        <v>0.1</v>
      </c>
      <c r="F80" s="3273"/>
      <c r="G80" s="3274"/>
    </row>
    <row r="81" spans="1:7">
      <c r="A81" s="3272" t="s">
        <v>106</v>
      </c>
      <c r="B81" s="3261" t="s">
        <v>2950</v>
      </c>
      <c r="C81" s="3262">
        <v>9.6000000000000002E-2</v>
      </c>
      <c r="D81" s="3273"/>
      <c r="E81" s="3262">
        <v>9.8000000000000004E-2</v>
      </c>
      <c r="F81" s="3273"/>
      <c r="G81" s="3274"/>
    </row>
    <row r="82" spans="1:7">
      <c r="A82" s="3272" t="s">
        <v>106</v>
      </c>
      <c r="B82" s="3261" t="s">
        <v>2957</v>
      </c>
      <c r="C82" s="3278"/>
      <c r="D82" s="3273"/>
      <c r="E82" s="3262">
        <v>7.6999999999999999E-2</v>
      </c>
      <c r="F82" s="3273"/>
      <c r="G82" s="3274"/>
    </row>
    <row r="83" spans="1:7">
      <c r="A83" s="3272" t="s">
        <v>106</v>
      </c>
      <c r="B83" s="3261" t="s">
        <v>2963</v>
      </c>
      <c r="C83" s="3273"/>
      <c r="D83" s="3273"/>
      <c r="E83" s="3273"/>
      <c r="F83" s="3262">
        <v>0.1</v>
      </c>
      <c r="G83" s="3279"/>
    </row>
    <row r="84" spans="1:7">
      <c r="A84" s="3272" t="s">
        <v>106</v>
      </c>
      <c r="B84" s="3261" t="s">
        <v>2970</v>
      </c>
      <c r="C84" s="3273"/>
      <c r="D84" s="3273"/>
      <c r="E84" s="3273"/>
      <c r="F84" s="3262">
        <v>0.1</v>
      </c>
      <c r="G84" s="3279"/>
    </row>
    <row r="85" spans="1:7">
      <c r="A85" s="3272" t="s">
        <v>106</v>
      </c>
      <c r="B85" s="3261" t="s">
        <v>2977</v>
      </c>
      <c r="C85" s="3273"/>
      <c r="D85" s="3273"/>
      <c r="E85" s="3273"/>
      <c r="F85" s="3262">
        <v>0.1</v>
      </c>
      <c r="G85" s="3279"/>
    </row>
    <row r="86" spans="1:7" ht="14.25" thickBot="1">
      <c r="A86" s="3275" t="s">
        <v>106</v>
      </c>
      <c r="B86" s="3265" t="s">
        <v>2982</v>
      </c>
      <c r="C86" s="3266">
        <v>9.8000000000000004E-2</v>
      </c>
      <c r="D86" s="3266">
        <v>9.8000000000000004E-2</v>
      </c>
      <c r="E86" s="3266">
        <v>9.6000000000000002E-2</v>
      </c>
      <c r="F86" s="3276"/>
      <c r="G86" s="3268">
        <v>0.1</v>
      </c>
    </row>
    <row r="87" spans="1:7">
      <c r="A87" s="3271" t="s">
        <v>299</v>
      </c>
      <c r="B87" s="3257" t="s">
        <v>2858</v>
      </c>
      <c r="C87" s="3258">
        <v>0.1</v>
      </c>
      <c r="D87" s="3258">
        <v>0.1</v>
      </c>
      <c r="E87" s="3258">
        <v>9.8000000000000004E-2</v>
      </c>
      <c r="F87" s="3258">
        <v>0.1</v>
      </c>
      <c r="G87" s="3259">
        <v>0.1</v>
      </c>
    </row>
    <row r="88" spans="1:7">
      <c r="A88" s="3272" t="s">
        <v>299</v>
      </c>
      <c r="B88" s="3261" t="s">
        <v>127</v>
      </c>
      <c r="C88" s="3262">
        <v>9.0999999999999998E-2</v>
      </c>
      <c r="D88" s="3262">
        <v>9.1999999999999998E-2</v>
      </c>
      <c r="E88" s="3262">
        <v>0.1</v>
      </c>
      <c r="F88" s="3262">
        <v>0.1</v>
      </c>
      <c r="G88" s="3263">
        <v>9.6000000000000002E-2</v>
      </c>
    </row>
    <row r="89" spans="1:7">
      <c r="A89" s="3272" t="s">
        <v>299</v>
      </c>
      <c r="B89" s="3261" t="s">
        <v>136</v>
      </c>
      <c r="C89" s="3262">
        <v>0.1</v>
      </c>
      <c r="D89" s="3262">
        <v>0.1</v>
      </c>
      <c r="E89" s="3262">
        <v>6.7000000000000004E-2</v>
      </c>
      <c r="F89" s="3262">
        <v>9.2999999999999999E-2</v>
      </c>
      <c r="G89" s="3263">
        <v>0.1</v>
      </c>
    </row>
    <row r="90" spans="1:7">
      <c r="A90" s="3272" t="s">
        <v>299</v>
      </c>
      <c r="B90" s="3261" t="s">
        <v>145</v>
      </c>
      <c r="C90" s="3262">
        <v>9.6000000000000002E-2</v>
      </c>
      <c r="D90" s="3262">
        <v>9.6000000000000002E-2</v>
      </c>
      <c r="E90" s="3262">
        <v>0.1</v>
      </c>
      <c r="F90" s="3262">
        <v>0.1</v>
      </c>
      <c r="G90" s="3263">
        <v>9.8000000000000004E-2</v>
      </c>
    </row>
    <row r="91" spans="1:7">
      <c r="A91" s="3272" t="s">
        <v>299</v>
      </c>
      <c r="B91" s="3261" t="s">
        <v>154</v>
      </c>
      <c r="C91" s="3262">
        <v>7.6999999999999999E-2</v>
      </c>
      <c r="D91" s="3262">
        <v>7.6999999999999999E-2</v>
      </c>
      <c r="E91" s="3262">
        <v>9.6000000000000002E-2</v>
      </c>
      <c r="F91" s="3262">
        <v>0.1</v>
      </c>
      <c r="G91" s="3263">
        <v>7.6999999999999999E-2</v>
      </c>
    </row>
    <row r="92" spans="1:7">
      <c r="A92" s="3272" t="s">
        <v>299</v>
      </c>
      <c r="B92" s="3261" t="s">
        <v>161</v>
      </c>
      <c r="C92" s="3262">
        <v>0.1</v>
      </c>
      <c r="D92" s="3262">
        <v>0.1</v>
      </c>
      <c r="E92" s="3262">
        <v>9.1999999999999998E-2</v>
      </c>
      <c r="F92" s="3262">
        <v>0.1</v>
      </c>
      <c r="G92" s="3263">
        <v>0.1</v>
      </c>
    </row>
    <row r="93" spans="1:7">
      <c r="A93" s="3272" t="s">
        <v>299</v>
      </c>
      <c r="B93" s="3261" t="s">
        <v>167</v>
      </c>
      <c r="C93" s="3262">
        <v>9.8000000000000004E-2</v>
      </c>
      <c r="D93" s="3262">
        <v>9.8000000000000004E-2</v>
      </c>
      <c r="E93" s="3262">
        <v>9.6000000000000002E-2</v>
      </c>
      <c r="F93" s="3262">
        <v>0.1</v>
      </c>
      <c r="G93" s="3263">
        <v>9.9000000000000005E-2</v>
      </c>
    </row>
    <row r="94" spans="1:7">
      <c r="A94" s="3272" t="s">
        <v>299</v>
      </c>
      <c r="B94" s="3261" t="s">
        <v>174</v>
      </c>
      <c r="C94" s="3262">
        <v>8.7999999999999995E-2</v>
      </c>
      <c r="D94" s="3262">
        <v>8.7999999999999995E-2</v>
      </c>
      <c r="E94" s="3262">
        <v>9.6000000000000002E-2</v>
      </c>
      <c r="F94" s="3262">
        <v>0.1</v>
      </c>
      <c r="G94" s="3263">
        <v>8.7999999999999995E-2</v>
      </c>
    </row>
    <row r="95" spans="1:7">
      <c r="A95" s="3272" t="s">
        <v>299</v>
      </c>
      <c r="B95" s="3261" t="s">
        <v>184</v>
      </c>
      <c r="C95" s="3262">
        <v>9.6000000000000002E-2</v>
      </c>
      <c r="D95" s="3262">
        <v>9.6000000000000002E-2</v>
      </c>
      <c r="E95" s="3262">
        <v>0.1</v>
      </c>
      <c r="F95" s="3262">
        <v>0.1</v>
      </c>
      <c r="G95" s="3263">
        <v>9.8000000000000004E-2</v>
      </c>
    </row>
    <row r="96" spans="1:7">
      <c r="A96" s="3272" t="s">
        <v>299</v>
      </c>
      <c r="B96" s="3261" t="s">
        <v>193</v>
      </c>
      <c r="C96" s="3262">
        <v>9.7000000000000003E-2</v>
      </c>
      <c r="D96" s="3262">
        <v>9.7000000000000003E-2</v>
      </c>
      <c r="E96" s="3262">
        <v>0.1</v>
      </c>
      <c r="F96" s="3262">
        <v>0.1</v>
      </c>
      <c r="G96" s="3263">
        <v>9.8000000000000004E-2</v>
      </c>
    </row>
    <row r="97" spans="1:7">
      <c r="A97" s="3272" t="s">
        <v>299</v>
      </c>
      <c r="B97" s="3261" t="s">
        <v>200</v>
      </c>
      <c r="C97" s="3262">
        <v>9.6000000000000002E-2</v>
      </c>
      <c r="D97" s="3262">
        <v>9.6000000000000002E-2</v>
      </c>
      <c r="E97" s="3262">
        <v>9.9000000000000005E-2</v>
      </c>
      <c r="F97" s="3262">
        <v>0.1</v>
      </c>
      <c r="G97" s="3263">
        <v>9.8000000000000004E-2</v>
      </c>
    </row>
    <row r="98" spans="1:7">
      <c r="A98" s="3272" t="s">
        <v>299</v>
      </c>
      <c r="B98" s="3261" t="s">
        <v>207</v>
      </c>
      <c r="C98" s="3262">
        <v>9.8000000000000004E-2</v>
      </c>
      <c r="D98" s="3262">
        <v>9.8000000000000004E-2</v>
      </c>
      <c r="E98" s="3262">
        <v>0.1</v>
      </c>
      <c r="F98" s="3262">
        <v>0.1</v>
      </c>
      <c r="G98" s="3263">
        <v>9.9000000000000005E-2</v>
      </c>
    </row>
    <row r="99" spans="1:7">
      <c r="A99" s="3272" t="s">
        <v>299</v>
      </c>
      <c r="B99" s="3261" t="s">
        <v>213</v>
      </c>
      <c r="C99" s="3262">
        <v>9.6000000000000002E-2</v>
      </c>
      <c r="D99" s="3262">
        <v>9.6000000000000002E-2</v>
      </c>
      <c r="E99" s="3262">
        <v>0.1</v>
      </c>
      <c r="F99" s="3262">
        <v>0.1</v>
      </c>
      <c r="G99" s="3263">
        <v>9.7000000000000003E-2</v>
      </c>
    </row>
    <row r="100" spans="1:7">
      <c r="A100" s="3272" t="s">
        <v>299</v>
      </c>
      <c r="B100" s="3261" t="s">
        <v>221</v>
      </c>
      <c r="C100" s="3262">
        <v>0.1</v>
      </c>
      <c r="D100" s="3262">
        <v>0.1</v>
      </c>
      <c r="E100" s="3262">
        <v>9.7000000000000003E-2</v>
      </c>
      <c r="F100" s="3262">
        <v>9.8000000000000004E-2</v>
      </c>
      <c r="G100" s="3263">
        <v>0.1</v>
      </c>
    </row>
    <row r="101" spans="1:7">
      <c r="A101" s="3272" t="s">
        <v>299</v>
      </c>
      <c r="B101" s="3261" t="s">
        <v>229</v>
      </c>
      <c r="C101" s="3262">
        <v>0.1</v>
      </c>
      <c r="D101" s="3262">
        <v>0.1</v>
      </c>
      <c r="E101" s="3262">
        <v>9.5000000000000001E-2</v>
      </c>
      <c r="F101" s="3262">
        <v>0.1</v>
      </c>
      <c r="G101" s="3263">
        <v>0.1</v>
      </c>
    </row>
    <row r="102" spans="1:7">
      <c r="A102" s="3272" t="s">
        <v>299</v>
      </c>
      <c r="B102" s="3261" t="s">
        <v>234</v>
      </c>
      <c r="C102" s="3262">
        <v>0.1</v>
      </c>
      <c r="D102" s="3262">
        <v>0.1</v>
      </c>
      <c r="E102" s="3262">
        <v>9.9000000000000005E-2</v>
      </c>
      <c r="F102" s="3262">
        <v>9.7000000000000003E-2</v>
      </c>
      <c r="G102" s="3263">
        <v>0.1</v>
      </c>
    </row>
    <row r="103" spans="1:7">
      <c r="A103" s="3272" t="s">
        <v>299</v>
      </c>
      <c r="B103" s="3261" t="s">
        <v>243</v>
      </c>
      <c r="C103" s="3262">
        <v>0.1</v>
      </c>
      <c r="D103" s="3262">
        <v>0.1</v>
      </c>
      <c r="E103" s="3262">
        <v>9.8000000000000004E-2</v>
      </c>
      <c r="F103" s="3262">
        <v>0.1</v>
      </c>
      <c r="G103" s="3263">
        <v>0.1</v>
      </c>
    </row>
    <row r="104" spans="1:7">
      <c r="A104" s="3272" t="s">
        <v>299</v>
      </c>
      <c r="B104" s="3261" t="s">
        <v>250</v>
      </c>
      <c r="C104" s="3262">
        <v>0.1</v>
      </c>
      <c r="D104" s="3262">
        <v>0.1</v>
      </c>
      <c r="E104" s="3262">
        <v>9.8000000000000004E-2</v>
      </c>
      <c r="F104" s="3262">
        <v>0.1</v>
      </c>
      <c r="G104" s="3263">
        <v>0.1</v>
      </c>
    </row>
    <row r="105" spans="1:7">
      <c r="A105" s="3272" t="s">
        <v>299</v>
      </c>
      <c r="B105" s="3261" t="s">
        <v>258</v>
      </c>
      <c r="C105" s="3262">
        <v>9.8000000000000004E-2</v>
      </c>
      <c r="D105" s="3262">
        <v>9.8000000000000004E-2</v>
      </c>
      <c r="E105" s="3262">
        <v>9.8000000000000004E-2</v>
      </c>
      <c r="F105" s="3262">
        <v>0.1</v>
      </c>
      <c r="G105" s="3263">
        <v>9.9000000000000005E-2</v>
      </c>
    </row>
    <row r="106" spans="1:7">
      <c r="A106" s="3272" t="s">
        <v>299</v>
      </c>
      <c r="B106" s="3261" t="s">
        <v>265</v>
      </c>
      <c r="C106" s="3262">
        <v>9.7000000000000003E-2</v>
      </c>
      <c r="D106" s="3262">
        <v>9.7000000000000003E-2</v>
      </c>
      <c r="E106" s="3262">
        <v>9.7000000000000003E-2</v>
      </c>
      <c r="F106" s="3262">
        <v>0.1</v>
      </c>
      <c r="G106" s="3263">
        <v>9.9000000000000005E-2</v>
      </c>
    </row>
    <row r="107" spans="1:7">
      <c r="A107" s="3272" t="s">
        <v>299</v>
      </c>
      <c r="B107" s="3261" t="s">
        <v>269</v>
      </c>
      <c r="C107" s="3262">
        <v>0.1</v>
      </c>
      <c r="D107" s="3262">
        <v>0.1</v>
      </c>
      <c r="E107" s="3262">
        <v>8.5999999999999993E-2</v>
      </c>
      <c r="F107" s="3262">
        <v>0.09</v>
      </c>
      <c r="G107" s="3263">
        <v>0.1</v>
      </c>
    </row>
    <row r="108" spans="1:7">
      <c r="A108" s="3272" t="s">
        <v>299</v>
      </c>
      <c r="B108" s="3261" t="s">
        <v>275</v>
      </c>
      <c r="C108" s="3262">
        <v>0.1</v>
      </c>
      <c r="D108" s="3262">
        <v>0.1</v>
      </c>
      <c r="E108" s="3262">
        <v>9.6000000000000002E-2</v>
      </c>
      <c r="F108" s="3273"/>
      <c r="G108" s="3263">
        <v>0.1</v>
      </c>
    </row>
    <row r="109" spans="1:7">
      <c r="A109" s="3272" t="s">
        <v>299</v>
      </c>
      <c r="B109" s="3261" t="s">
        <v>278</v>
      </c>
      <c r="C109" s="3262">
        <v>0.1</v>
      </c>
      <c r="D109" s="3262">
        <v>0.1</v>
      </c>
      <c r="E109" s="3262">
        <v>0.1</v>
      </c>
      <c r="F109" s="3273"/>
      <c r="G109" s="3263">
        <v>0.1</v>
      </c>
    </row>
    <row r="110" spans="1:7">
      <c r="A110" s="3272" t="s">
        <v>299</v>
      </c>
      <c r="B110" s="3261" t="s">
        <v>280</v>
      </c>
      <c r="C110" s="3262">
        <v>0.1</v>
      </c>
      <c r="D110" s="3262">
        <v>0.1</v>
      </c>
      <c r="E110" s="3262">
        <v>0.1</v>
      </c>
      <c r="F110" s="3273"/>
      <c r="G110" s="3263">
        <v>0.1</v>
      </c>
    </row>
    <row r="111" spans="1:7">
      <c r="A111" s="3272" t="s">
        <v>299</v>
      </c>
      <c r="B111" s="3261" t="s">
        <v>283</v>
      </c>
      <c r="C111" s="3262">
        <v>0.1</v>
      </c>
      <c r="D111" s="3262">
        <v>0.1</v>
      </c>
      <c r="E111" s="3262">
        <v>9.5000000000000001E-2</v>
      </c>
      <c r="F111" s="3273"/>
      <c r="G111" s="3263">
        <v>0.1</v>
      </c>
    </row>
    <row r="112" spans="1:7">
      <c r="A112" s="3272" t="s">
        <v>299</v>
      </c>
      <c r="B112" s="3261" t="s">
        <v>287</v>
      </c>
      <c r="C112" s="3262">
        <v>9.7000000000000003E-2</v>
      </c>
      <c r="D112" s="3262">
        <v>9.7000000000000003E-2</v>
      </c>
      <c r="E112" s="3262">
        <v>0.05</v>
      </c>
      <c r="F112" s="3273"/>
      <c r="G112" s="3263">
        <v>9.8000000000000004E-2</v>
      </c>
    </row>
    <row r="113" spans="1:7">
      <c r="A113" s="3272" t="s">
        <v>299</v>
      </c>
      <c r="B113" s="3261" t="s">
        <v>2951</v>
      </c>
      <c r="C113" s="3262">
        <v>0.1</v>
      </c>
      <c r="D113" s="3262">
        <v>0.1</v>
      </c>
      <c r="E113" s="3273"/>
      <c r="F113" s="3273"/>
      <c r="G113" s="3263">
        <v>0.1</v>
      </c>
    </row>
    <row r="114" spans="1:7">
      <c r="A114" s="3272" t="s">
        <v>299</v>
      </c>
      <c r="B114" s="3261" t="s">
        <v>2958</v>
      </c>
      <c r="C114" s="3262">
        <v>9.7000000000000003E-2</v>
      </c>
      <c r="D114" s="3262">
        <v>9.7000000000000003E-2</v>
      </c>
      <c r="E114" s="3273"/>
      <c r="F114" s="3273"/>
      <c r="G114" s="3263">
        <v>9.9000000000000005E-2</v>
      </c>
    </row>
    <row r="115" spans="1:7">
      <c r="A115" s="3272" t="s">
        <v>299</v>
      </c>
      <c r="B115" s="3261" t="s">
        <v>2964</v>
      </c>
      <c r="C115" s="3262">
        <v>0.1</v>
      </c>
      <c r="D115" s="3262">
        <v>0.1</v>
      </c>
      <c r="E115" s="3273"/>
      <c r="F115" s="3273"/>
      <c r="G115" s="3263">
        <v>0.1</v>
      </c>
    </row>
    <row r="116" spans="1:7">
      <c r="A116" s="3272" t="s">
        <v>299</v>
      </c>
      <c r="B116" s="3261" t="s">
        <v>2971</v>
      </c>
      <c r="C116" s="3262">
        <v>0.1</v>
      </c>
      <c r="D116" s="3262">
        <v>0.1</v>
      </c>
      <c r="E116" s="3273"/>
      <c r="F116" s="3273"/>
      <c r="G116" s="3263">
        <v>0.1</v>
      </c>
    </row>
    <row r="117" spans="1:7">
      <c r="A117" s="3272" t="s">
        <v>299</v>
      </c>
      <c r="B117" s="3261" t="s">
        <v>2978</v>
      </c>
      <c r="C117" s="3262">
        <v>9.7000000000000003E-2</v>
      </c>
      <c r="D117" s="3262">
        <v>9.7000000000000003E-2</v>
      </c>
      <c r="E117" s="3273"/>
      <c r="F117" s="3273"/>
      <c r="G117" s="3263">
        <v>9.7000000000000003E-2</v>
      </c>
    </row>
    <row r="118" spans="1:7">
      <c r="A118" s="3272" t="s">
        <v>299</v>
      </c>
      <c r="B118" s="3261" t="s">
        <v>2983</v>
      </c>
      <c r="C118" s="3262">
        <v>0.1</v>
      </c>
      <c r="D118" s="3262">
        <v>0.1</v>
      </c>
      <c r="E118" s="3273"/>
      <c r="F118" s="3273"/>
      <c r="G118" s="3263">
        <v>0.1</v>
      </c>
    </row>
    <row r="119" spans="1:7">
      <c r="A119" s="3272" t="s">
        <v>299</v>
      </c>
      <c r="B119" s="3261" t="s">
        <v>2987</v>
      </c>
      <c r="C119" s="3262">
        <v>5.0999999999999997E-2</v>
      </c>
      <c r="D119" s="3262">
        <v>5.1999999999999998E-2</v>
      </c>
      <c r="E119" s="3273"/>
      <c r="F119" s="3278"/>
      <c r="G119" s="3263">
        <v>0.06</v>
      </c>
    </row>
    <row r="120" spans="1:7">
      <c r="A120" s="3272" t="s">
        <v>299</v>
      </c>
      <c r="B120" s="3261" t="s">
        <v>2991</v>
      </c>
      <c r="C120" s="3273"/>
      <c r="D120" s="3273"/>
      <c r="E120" s="3273"/>
      <c r="F120" s="3262">
        <v>0.1</v>
      </c>
      <c r="G120" s="3279"/>
    </row>
    <row r="121" spans="1:7">
      <c r="A121" s="3272" t="s">
        <v>299</v>
      </c>
      <c r="B121" s="3261" t="s">
        <v>2996</v>
      </c>
      <c r="C121" s="3273"/>
      <c r="D121" s="3273"/>
      <c r="E121" s="3273"/>
      <c r="F121" s="3262">
        <v>0.1</v>
      </c>
      <c r="G121" s="3279"/>
    </row>
    <row r="122" spans="1:7">
      <c r="A122" s="3272" t="s">
        <v>299</v>
      </c>
      <c r="B122" s="3261" t="s">
        <v>3001</v>
      </c>
      <c r="C122" s="3262">
        <v>0.1</v>
      </c>
      <c r="D122" s="3262">
        <v>0.1</v>
      </c>
      <c r="E122" s="3262">
        <v>9.8000000000000004E-2</v>
      </c>
      <c r="F122" s="3262">
        <v>0.1</v>
      </c>
      <c r="G122" s="3263">
        <v>0.1</v>
      </c>
    </row>
    <row r="123" spans="1:7">
      <c r="A123" s="3272" t="s">
        <v>299</v>
      </c>
      <c r="B123" s="3261" t="s">
        <v>3006</v>
      </c>
      <c r="C123" s="3262">
        <v>0.1</v>
      </c>
      <c r="D123" s="3262">
        <v>0.1</v>
      </c>
      <c r="E123" s="3262">
        <v>9.8000000000000004E-2</v>
      </c>
      <c r="F123" s="3262">
        <v>0.1</v>
      </c>
      <c r="G123" s="3263">
        <v>0.1</v>
      </c>
    </row>
    <row r="124" spans="1:7">
      <c r="A124" s="3272" t="s">
        <v>299</v>
      </c>
      <c r="B124" s="3261" t="s">
        <v>3011</v>
      </c>
      <c r="C124" s="3262">
        <v>0.1</v>
      </c>
      <c r="D124" s="3262">
        <v>0.1</v>
      </c>
      <c r="E124" s="3262">
        <v>9.8000000000000004E-2</v>
      </c>
      <c r="F124" s="3278"/>
      <c r="G124" s="3263">
        <v>0.1</v>
      </c>
    </row>
    <row r="125" spans="1:7">
      <c r="A125" s="3272" t="s">
        <v>299</v>
      </c>
      <c r="B125" s="3261" t="s">
        <v>3016</v>
      </c>
      <c r="C125" s="3262">
        <v>9.8000000000000004E-2</v>
      </c>
      <c r="D125" s="3262">
        <v>9.8000000000000004E-2</v>
      </c>
      <c r="E125" s="3262">
        <v>9.6000000000000002E-2</v>
      </c>
      <c r="F125" s="3278"/>
      <c r="G125" s="3263">
        <v>0.1</v>
      </c>
    </row>
    <row r="126" spans="1:7" ht="14.25" thickBot="1">
      <c r="A126" s="3275" t="s">
        <v>299</v>
      </c>
      <c r="B126" s="3265" t="s">
        <v>3182</v>
      </c>
      <c r="C126" s="3266">
        <v>0.1</v>
      </c>
      <c r="D126" s="3266">
        <v>0.1</v>
      </c>
      <c r="E126" s="3266">
        <v>9.8000000000000004E-2</v>
      </c>
      <c r="F126" s="3266">
        <v>0.1</v>
      </c>
      <c r="G126" s="3268">
        <v>0.1</v>
      </c>
    </row>
    <row r="127" spans="1:7">
      <c r="A127" s="3271" t="s">
        <v>25</v>
      </c>
      <c r="B127" s="3257" t="s">
        <v>2859</v>
      </c>
      <c r="C127" s="3258">
        <v>0.121</v>
      </c>
      <c r="D127" s="3258">
        <v>0.121</v>
      </c>
      <c r="E127" s="3258">
        <v>0.107</v>
      </c>
      <c r="F127" s="3258">
        <v>0.13</v>
      </c>
      <c r="G127" s="3259">
        <v>0.122</v>
      </c>
    </row>
    <row r="128" spans="1:7">
      <c r="A128" s="3272" t="s">
        <v>25</v>
      </c>
      <c r="B128" s="3261" t="s">
        <v>128</v>
      </c>
      <c r="C128" s="3262">
        <v>0.11600000000000001</v>
      </c>
      <c r="D128" s="3262">
        <v>0.11700000000000001</v>
      </c>
      <c r="E128" s="3262">
        <v>0.104</v>
      </c>
      <c r="F128" s="3262">
        <v>0.13</v>
      </c>
      <c r="G128" s="3263">
        <v>0.11700000000000001</v>
      </c>
    </row>
    <row r="129" spans="1:7">
      <c r="A129" s="3272" t="s">
        <v>25</v>
      </c>
      <c r="B129" s="3261" t="s">
        <v>137</v>
      </c>
      <c r="C129" s="3262">
        <v>0.107</v>
      </c>
      <c r="D129" s="3262">
        <v>0.108</v>
      </c>
      <c r="E129" s="3262">
        <v>0.1</v>
      </c>
      <c r="F129" s="3262">
        <v>0.13</v>
      </c>
      <c r="G129" s="3263">
        <v>0.11700000000000001</v>
      </c>
    </row>
    <row r="130" spans="1:7">
      <c r="A130" s="3272" t="s">
        <v>25</v>
      </c>
      <c r="B130" s="3261" t="s">
        <v>146</v>
      </c>
      <c r="C130" s="3262">
        <v>0.13</v>
      </c>
      <c r="D130" s="3262">
        <v>0.13</v>
      </c>
      <c r="E130" s="3262">
        <v>0.126</v>
      </c>
      <c r="F130" s="3262">
        <v>0.13</v>
      </c>
      <c r="G130" s="3263">
        <v>0.13</v>
      </c>
    </row>
    <row r="131" spans="1:7">
      <c r="A131" s="3272" t="s">
        <v>25</v>
      </c>
      <c r="B131" s="3261" t="s">
        <v>155</v>
      </c>
      <c r="C131" s="3262">
        <v>0.13</v>
      </c>
      <c r="D131" s="3262">
        <v>0.13</v>
      </c>
      <c r="E131" s="3262">
        <v>0.13</v>
      </c>
      <c r="F131" s="3262">
        <v>0.13</v>
      </c>
      <c r="G131" s="3263">
        <v>0.13</v>
      </c>
    </row>
    <row r="132" spans="1:7">
      <c r="A132" s="3272" t="s">
        <v>25</v>
      </c>
      <c r="B132" s="3261" t="s">
        <v>162</v>
      </c>
      <c r="C132" s="3262">
        <v>0.13</v>
      </c>
      <c r="D132" s="3262">
        <v>0.13</v>
      </c>
      <c r="E132" s="3262">
        <v>0.126</v>
      </c>
      <c r="F132" s="3262">
        <v>0.13</v>
      </c>
      <c r="G132" s="3263">
        <v>0.13</v>
      </c>
    </row>
    <row r="133" spans="1:7">
      <c r="A133" s="3272" t="s">
        <v>25</v>
      </c>
      <c r="B133" s="3261" t="s">
        <v>168</v>
      </c>
      <c r="C133" s="3262">
        <v>0.111</v>
      </c>
      <c r="D133" s="3262">
        <v>0.111</v>
      </c>
      <c r="E133" s="3262">
        <v>0.10199999999999999</v>
      </c>
      <c r="F133" s="3262">
        <v>0.13</v>
      </c>
      <c r="G133" s="3263">
        <v>0.121</v>
      </c>
    </row>
    <row r="134" spans="1:7">
      <c r="A134" s="3272" t="s">
        <v>25</v>
      </c>
      <c r="B134" s="3261" t="s">
        <v>175</v>
      </c>
      <c r="C134" s="3262">
        <v>0.121</v>
      </c>
      <c r="D134" s="3262">
        <v>0.121</v>
      </c>
      <c r="E134" s="3262">
        <v>0.1</v>
      </c>
      <c r="F134" s="3262">
        <v>0.13</v>
      </c>
      <c r="G134" s="3263">
        <v>0.123</v>
      </c>
    </row>
    <row r="135" spans="1:7">
      <c r="A135" s="3272" t="s">
        <v>25</v>
      </c>
      <c r="B135" s="3261" t="s">
        <v>185</v>
      </c>
      <c r="C135" s="3262">
        <v>0.105</v>
      </c>
      <c r="D135" s="3262">
        <v>0.106</v>
      </c>
      <c r="E135" s="3262">
        <v>0.1</v>
      </c>
      <c r="F135" s="3262">
        <v>0.13</v>
      </c>
      <c r="G135" s="3263">
        <v>0.115</v>
      </c>
    </row>
    <row r="136" spans="1:7">
      <c r="A136" s="3272" t="s">
        <v>25</v>
      </c>
      <c r="B136" s="3261" t="s">
        <v>194</v>
      </c>
      <c r="C136" s="3262">
        <v>0.127</v>
      </c>
      <c r="D136" s="3262">
        <v>0.127</v>
      </c>
      <c r="E136" s="3262">
        <v>0.121</v>
      </c>
      <c r="F136" s="3262">
        <v>0.123</v>
      </c>
      <c r="G136" s="3263">
        <v>0.129</v>
      </c>
    </row>
    <row r="137" spans="1:7">
      <c r="A137" s="3272" t="s">
        <v>25</v>
      </c>
      <c r="B137" s="3261" t="s">
        <v>201</v>
      </c>
      <c r="C137" s="3262">
        <v>0.13</v>
      </c>
      <c r="D137" s="3262">
        <v>0.13</v>
      </c>
      <c r="E137" s="3262">
        <v>0.129</v>
      </c>
      <c r="F137" s="3262">
        <v>0.13</v>
      </c>
      <c r="G137" s="3263">
        <v>0.13</v>
      </c>
    </row>
    <row r="138" spans="1:7">
      <c r="A138" s="3272" t="s">
        <v>25</v>
      </c>
      <c r="B138" s="3261" t="s">
        <v>208</v>
      </c>
      <c r="C138" s="3262">
        <v>0.13</v>
      </c>
      <c r="D138" s="3262">
        <v>0.13</v>
      </c>
      <c r="E138" s="3262">
        <v>0.125</v>
      </c>
      <c r="F138" s="3262">
        <v>0.13</v>
      </c>
      <c r="G138" s="3263">
        <v>0.13</v>
      </c>
    </row>
    <row r="139" spans="1:7">
      <c r="A139" s="3272" t="s">
        <v>25</v>
      </c>
      <c r="B139" s="3261" t="s">
        <v>214</v>
      </c>
      <c r="C139" s="3262">
        <v>0.13</v>
      </c>
      <c r="D139" s="3262">
        <v>0.13</v>
      </c>
      <c r="E139" s="3262">
        <v>0.126</v>
      </c>
      <c r="F139" s="3262">
        <v>0.13</v>
      </c>
      <c r="G139" s="3263">
        <v>0.13</v>
      </c>
    </row>
    <row r="140" spans="1:7">
      <c r="A140" s="3272" t="s">
        <v>25</v>
      </c>
      <c r="B140" s="3261" t="s">
        <v>222</v>
      </c>
      <c r="C140" s="3262">
        <v>0.1</v>
      </c>
      <c r="D140" s="3262">
        <v>0.1</v>
      </c>
      <c r="E140" s="3262">
        <v>0.1</v>
      </c>
      <c r="F140" s="3262">
        <v>0.123</v>
      </c>
      <c r="G140" s="3263">
        <v>0.107</v>
      </c>
    </row>
    <row r="141" spans="1:7">
      <c r="A141" s="3272" t="s">
        <v>25</v>
      </c>
      <c r="B141" s="3261" t="s">
        <v>230</v>
      </c>
      <c r="C141" s="3262">
        <v>0.127</v>
      </c>
      <c r="D141" s="3262">
        <v>0.127</v>
      </c>
      <c r="E141" s="3262">
        <v>0.122</v>
      </c>
      <c r="F141" s="3262">
        <v>0.1</v>
      </c>
      <c r="G141" s="3263">
        <v>0.129</v>
      </c>
    </row>
    <row r="142" spans="1:7">
      <c r="A142" s="3272" t="s">
        <v>25</v>
      </c>
      <c r="B142" s="3261" t="s">
        <v>235</v>
      </c>
      <c r="C142" s="3262">
        <v>0.121</v>
      </c>
      <c r="D142" s="3262">
        <v>0.122</v>
      </c>
      <c r="E142" s="3262">
        <v>0.1</v>
      </c>
      <c r="F142" s="3262">
        <v>0.123</v>
      </c>
      <c r="G142" s="3263">
        <v>0.123</v>
      </c>
    </row>
    <row r="143" spans="1:7">
      <c r="A143" s="3272" t="s">
        <v>25</v>
      </c>
      <c r="B143" s="3261" t="s">
        <v>244</v>
      </c>
      <c r="C143" s="3262">
        <v>0.1</v>
      </c>
      <c r="D143" s="3262">
        <v>0.1</v>
      </c>
      <c r="E143" s="3262">
        <v>0.1</v>
      </c>
      <c r="F143" s="3262">
        <v>0.13</v>
      </c>
      <c r="G143" s="3263">
        <v>0.1</v>
      </c>
    </row>
    <row r="144" spans="1:7">
      <c r="A144" s="3272" t="s">
        <v>25</v>
      </c>
      <c r="B144" s="3261" t="s">
        <v>251</v>
      </c>
      <c r="C144" s="3262">
        <v>0.106</v>
      </c>
      <c r="D144" s="3262">
        <v>0.105</v>
      </c>
      <c r="E144" s="3262">
        <v>0.1</v>
      </c>
      <c r="F144" s="3262">
        <v>0.13</v>
      </c>
      <c r="G144" s="3263">
        <v>0.11799999999999999</v>
      </c>
    </row>
    <row r="145" spans="1:7">
      <c r="A145" s="3272" t="s">
        <v>25</v>
      </c>
      <c r="B145" s="3261" t="s">
        <v>259</v>
      </c>
      <c r="C145" s="3262">
        <v>0.123</v>
      </c>
      <c r="D145" s="3262">
        <v>0.123</v>
      </c>
      <c r="E145" s="3262">
        <v>0.11700000000000001</v>
      </c>
      <c r="F145" s="3262">
        <v>0.13</v>
      </c>
      <c r="G145" s="3263">
        <v>0.126</v>
      </c>
    </row>
    <row r="146" spans="1:7">
      <c r="A146" s="3272" t="s">
        <v>25</v>
      </c>
      <c r="B146" s="3261" t="s">
        <v>266</v>
      </c>
      <c r="C146" s="3262">
        <v>0.127</v>
      </c>
      <c r="D146" s="3262">
        <v>0.127</v>
      </c>
      <c r="E146" s="3262">
        <v>0.12</v>
      </c>
      <c r="F146" s="3273"/>
      <c r="G146" s="3263">
        <v>0.129</v>
      </c>
    </row>
    <row r="147" spans="1:7">
      <c r="A147" s="3272" t="s">
        <v>25</v>
      </c>
      <c r="B147" s="3261" t="s">
        <v>270</v>
      </c>
      <c r="C147" s="3262">
        <v>0.13</v>
      </c>
      <c r="D147" s="3262">
        <v>0.13</v>
      </c>
      <c r="E147" s="3262">
        <v>0.126</v>
      </c>
      <c r="F147" s="3273"/>
      <c r="G147" s="3263">
        <v>0.13</v>
      </c>
    </row>
    <row r="148" spans="1:7">
      <c r="A148" s="3272" t="s">
        <v>25</v>
      </c>
      <c r="B148" s="3261" t="s">
        <v>2929</v>
      </c>
      <c r="C148" s="3262">
        <v>0.13</v>
      </c>
      <c r="D148" s="3262">
        <v>0.13</v>
      </c>
      <c r="E148" s="3262">
        <v>0.13</v>
      </c>
      <c r="F148" s="3273"/>
      <c r="G148" s="3263">
        <v>0.13</v>
      </c>
    </row>
    <row r="149" spans="1:7">
      <c r="A149" s="3272" t="s">
        <v>25</v>
      </c>
      <c r="B149" s="3261" t="s">
        <v>2933</v>
      </c>
      <c r="C149" s="3262">
        <v>0.13</v>
      </c>
      <c r="D149" s="3262">
        <v>0.13</v>
      </c>
      <c r="E149" s="3262">
        <v>0.13</v>
      </c>
      <c r="F149" s="3262">
        <v>0.13</v>
      </c>
      <c r="G149" s="3263">
        <v>0.13</v>
      </c>
    </row>
    <row r="150" spans="1:7">
      <c r="A150" s="3272" t="s">
        <v>25</v>
      </c>
      <c r="B150" s="3261" t="s">
        <v>288</v>
      </c>
      <c r="C150" s="3262">
        <v>0.13</v>
      </c>
      <c r="D150" s="3262">
        <v>0.13</v>
      </c>
      <c r="E150" s="3262">
        <v>0.127</v>
      </c>
      <c r="F150" s="3262">
        <v>0.13</v>
      </c>
      <c r="G150" s="3263">
        <v>0.13</v>
      </c>
    </row>
    <row r="151" spans="1:7">
      <c r="A151" s="3272" t="s">
        <v>25</v>
      </c>
      <c r="B151" s="3261" t="s">
        <v>290</v>
      </c>
      <c r="C151" s="3262">
        <v>0.13</v>
      </c>
      <c r="D151" s="3262">
        <v>0.13</v>
      </c>
      <c r="E151" s="3262">
        <v>0.13</v>
      </c>
      <c r="F151" s="3262">
        <v>0.13</v>
      </c>
      <c r="G151" s="3263">
        <v>0.13</v>
      </c>
    </row>
    <row r="152" spans="1:7">
      <c r="A152" s="3272" t="s">
        <v>25</v>
      </c>
      <c r="B152" s="3261" t="s">
        <v>293</v>
      </c>
      <c r="C152" s="3262">
        <v>0.13</v>
      </c>
      <c r="D152" s="3262">
        <v>0.13</v>
      </c>
      <c r="E152" s="3262">
        <v>0.13</v>
      </c>
      <c r="F152" s="3262">
        <v>0.13</v>
      </c>
      <c r="G152" s="3263">
        <v>0.13</v>
      </c>
    </row>
    <row r="153" spans="1:7">
      <c r="A153" s="3272" t="s">
        <v>25</v>
      </c>
      <c r="B153" s="3261" t="s">
        <v>2952</v>
      </c>
      <c r="C153" s="3262">
        <v>0.13</v>
      </c>
      <c r="D153" s="3262">
        <v>0.13</v>
      </c>
      <c r="E153" s="3262">
        <v>0.13</v>
      </c>
      <c r="F153" s="3262">
        <v>0.13</v>
      </c>
      <c r="G153" s="3263">
        <v>0.13</v>
      </c>
    </row>
    <row r="154" spans="1:7">
      <c r="A154" s="3272" t="s">
        <v>25</v>
      </c>
      <c r="B154" s="3261" t="s">
        <v>2959</v>
      </c>
      <c r="C154" s="3262">
        <v>0.121</v>
      </c>
      <c r="D154" s="3262">
        <v>0.121</v>
      </c>
      <c r="E154" s="3262">
        <v>0.105</v>
      </c>
      <c r="F154" s="3262">
        <v>0.121</v>
      </c>
      <c r="G154" s="3263">
        <v>0.123</v>
      </c>
    </row>
    <row r="155" spans="1:7">
      <c r="A155" s="3272" t="s">
        <v>25</v>
      </c>
      <c r="B155" s="3261" t="s">
        <v>2965</v>
      </c>
      <c r="C155" s="3262">
        <v>0.1</v>
      </c>
      <c r="D155" s="3262">
        <v>0.1</v>
      </c>
      <c r="E155" s="3262">
        <v>0.1</v>
      </c>
      <c r="F155" s="3262">
        <v>0.1</v>
      </c>
      <c r="G155" s="3263">
        <v>0.1</v>
      </c>
    </row>
    <row r="156" spans="1:7">
      <c r="A156" s="3272" t="s">
        <v>25</v>
      </c>
      <c r="B156" s="3261" t="s">
        <v>2972</v>
      </c>
      <c r="C156" s="3262">
        <v>0.13</v>
      </c>
      <c r="D156" s="3262">
        <v>0.13</v>
      </c>
      <c r="E156" s="3262">
        <v>0.13</v>
      </c>
      <c r="F156" s="3262">
        <v>0.13</v>
      </c>
      <c r="G156" s="3263">
        <v>0.13</v>
      </c>
    </row>
    <row r="157" spans="1:7">
      <c r="A157" s="3272" t="s">
        <v>25</v>
      </c>
      <c r="B157" s="3261" t="s">
        <v>296</v>
      </c>
      <c r="C157" s="3262">
        <v>0.13</v>
      </c>
      <c r="D157" s="3262">
        <v>0.13</v>
      </c>
      <c r="E157" s="3262">
        <v>0.125</v>
      </c>
      <c r="F157" s="3262">
        <v>0.13</v>
      </c>
      <c r="G157" s="3263">
        <v>0.13</v>
      </c>
    </row>
    <row r="158" spans="1:7">
      <c r="A158" s="3272" t="s">
        <v>25</v>
      </c>
      <c r="B158" s="3261" t="s">
        <v>297</v>
      </c>
      <c r="C158" s="3262">
        <v>0.124</v>
      </c>
      <c r="D158" s="3262">
        <v>0.124</v>
      </c>
      <c r="E158" s="3262">
        <v>0.11700000000000001</v>
      </c>
      <c r="F158" s="3262">
        <v>0.121</v>
      </c>
      <c r="G158" s="3263">
        <v>0.124</v>
      </c>
    </row>
    <row r="159" spans="1:7">
      <c r="A159" s="3272" t="s">
        <v>25</v>
      </c>
      <c r="B159" s="3261" t="s">
        <v>298</v>
      </c>
      <c r="C159" s="3262">
        <v>0.127</v>
      </c>
      <c r="D159" s="3262">
        <v>0.127</v>
      </c>
      <c r="E159" s="3262">
        <v>0.122</v>
      </c>
      <c r="F159" s="3262">
        <v>0.13</v>
      </c>
      <c r="G159" s="3263">
        <v>0.129</v>
      </c>
    </row>
    <row r="160" spans="1:7">
      <c r="A160" s="3272" t="s">
        <v>25</v>
      </c>
      <c r="B160" s="3261" t="s">
        <v>2992</v>
      </c>
      <c r="C160" s="3262">
        <v>0.13</v>
      </c>
      <c r="D160" s="3262">
        <v>0.13</v>
      </c>
      <c r="E160" s="3262">
        <v>0.124</v>
      </c>
      <c r="F160" s="3262">
        <v>0.126</v>
      </c>
      <c r="G160" s="3263">
        <v>0.13</v>
      </c>
    </row>
    <row r="161" spans="1:7">
      <c r="A161" s="3272" t="s">
        <v>25</v>
      </c>
      <c r="B161" s="3261" t="s">
        <v>2997</v>
      </c>
      <c r="C161" s="3262">
        <v>0.13</v>
      </c>
      <c r="D161" s="3262">
        <v>0.13</v>
      </c>
      <c r="E161" s="3262">
        <v>0.124</v>
      </c>
      <c r="F161" s="3262">
        <v>0.127</v>
      </c>
      <c r="G161" s="3263">
        <v>0.13</v>
      </c>
    </row>
    <row r="162" spans="1:7">
      <c r="A162" s="3272" t="s">
        <v>25</v>
      </c>
      <c r="B162" s="3261" t="s">
        <v>3002</v>
      </c>
      <c r="C162" s="3262">
        <v>0.1</v>
      </c>
      <c r="D162" s="3262">
        <v>0.1</v>
      </c>
      <c r="E162" s="3262">
        <v>0.1</v>
      </c>
      <c r="F162" s="3262">
        <v>0.121</v>
      </c>
      <c r="G162" s="3263">
        <v>0.105</v>
      </c>
    </row>
    <row r="163" spans="1:7">
      <c r="A163" s="3272" t="s">
        <v>25</v>
      </c>
      <c r="B163" s="3261" t="s">
        <v>3007</v>
      </c>
      <c r="C163" s="3262">
        <v>0.1</v>
      </c>
      <c r="D163" s="3262">
        <v>0.1</v>
      </c>
      <c r="E163" s="3262">
        <v>0.1</v>
      </c>
      <c r="F163" s="3262">
        <v>0.1</v>
      </c>
      <c r="G163" s="3263">
        <v>0.1</v>
      </c>
    </row>
    <row r="164" spans="1:7">
      <c r="A164" s="3272" t="s">
        <v>25</v>
      </c>
      <c r="B164" s="3261" t="s">
        <v>3012</v>
      </c>
      <c r="C164" s="3278"/>
      <c r="D164" s="3278"/>
      <c r="E164" s="3278"/>
      <c r="F164" s="3262">
        <v>0.1</v>
      </c>
      <c r="G164" s="3274"/>
    </row>
    <row r="165" spans="1:7">
      <c r="A165" s="3272" t="s">
        <v>25</v>
      </c>
      <c r="B165" s="3261" t="s">
        <v>3183</v>
      </c>
      <c r="C165" s="3262">
        <v>0.126</v>
      </c>
      <c r="D165" s="3262">
        <v>0.126</v>
      </c>
      <c r="E165" s="3262">
        <v>0.11899999999999999</v>
      </c>
      <c r="F165" s="3262">
        <v>0.13</v>
      </c>
      <c r="G165" s="3263">
        <v>0.128</v>
      </c>
    </row>
    <row r="166" spans="1:7">
      <c r="A166" s="3272" t="s">
        <v>25</v>
      </c>
      <c r="B166" s="3261" t="s">
        <v>3022</v>
      </c>
      <c r="C166" s="3262">
        <v>0.129</v>
      </c>
      <c r="D166" s="3262">
        <v>0.129</v>
      </c>
      <c r="E166" s="3262">
        <v>0.123</v>
      </c>
      <c r="F166" s="3262">
        <v>0.128</v>
      </c>
      <c r="G166" s="3263">
        <v>0.13</v>
      </c>
    </row>
    <row r="167" spans="1:7">
      <c r="A167" s="3272" t="s">
        <v>25</v>
      </c>
      <c r="B167" s="3261" t="s">
        <v>3026</v>
      </c>
      <c r="C167" s="3262">
        <v>0.125</v>
      </c>
      <c r="D167" s="3262">
        <v>0.125</v>
      </c>
      <c r="E167" s="3262">
        <v>0.11700000000000001</v>
      </c>
      <c r="F167" s="3262">
        <v>0.13</v>
      </c>
      <c r="G167" s="3263">
        <v>0.126</v>
      </c>
    </row>
    <row r="168" spans="1:7">
      <c r="A168" s="3272" t="s">
        <v>25</v>
      </c>
      <c r="B168" s="3261" t="s">
        <v>3031</v>
      </c>
      <c r="C168" s="3262">
        <v>0.128</v>
      </c>
      <c r="D168" s="3262">
        <v>0.128</v>
      </c>
      <c r="E168" s="3262">
        <v>0.123</v>
      </c>
      <c r="F168" s="3273"/>
      <c r="G168" s="3263">
        <v>0.13</v>
      </c>
    </row>
    <row r="169" spans="1:7">
      <c r="A169" s="3272" t="s">
        <v>25</v>
      </c>
      <c r="B169" s="3261" t="s">
        <v>3184</v>
      </c>
      <c r="C169" s="3278"/>
      <c r="D169" s="3278"/>
      <c r="E169" s="3278"/>
      <c r="F169" s="3262">
        <v>0.05</v>
      </c>
      <c r="G169" s="3274"/>
    </row>
    <row r="170" spans="1:7">
      <c r="A170" s="3272" t="s">
        <v>25</v>
      </c>
      <c r="B170" s="3261" t="s">
        <v>3185</v>
      </c>
      <c r="C170" s="3278"/>
      <c r="D170" s="3278"/>
      <c r="E170" s="3278"/>
      <c r="F170" s="3262">
        <v>0.05</v>
      </c>
      <c r="G170" s="3274"/>
    </row>
    <row r="171" spans="1:7">
      <c r="A171" s="3272" t="s">
        <v>25</v>
      </c>
      <c r="B171" s="3261" t="s">
        <v>3186</v>
      </c>
      <c r="C171" s="3278"/>
      <c r="D171" s="3278"/>
      <c r="E171" s="3278"/>
      <c r="F171" s="3262">
        <v>0.05</v>
      </c>
      <c r="G171" s="3279"/>
    </row>
    <row r="172" spans="1:7">
      <c r="A172" s="3272" t="s">
        <v>25</v>
      </c>
      <c r="B172" s="3261" t="s">
        <v>3187</v>
      </c>
      <c r="C172" s="3278"/>
      <c r="D172" s="3278"/>
      <c r="E172" s="3278"/>
      <c r="F172" s="3262">
        <v>0.05</v>
      </c>
      <c r="G172" s="3279"/>
    </row>
    <row r="173" spans="1:7">
      <c r="A173" s="3272" t="s">
        <v>25</v>
      </c>
      <c r="B173" s="3261" t="s">
        <v>3188</v>
      </c>
      <c r="C173" s="3278"/>
      <c r="D173" s="3278"/>
      <c r="E173" s="3278"/>
      <c r="F173" s="3262">
        <v>0.05</v>
      </c>
      <c r="G173" s="3274"/>
    </row>
    <row r="174" spans="1:7">
      <c r="A174" s="3272" t="s">
        <v>25</v>
      </c>
      <c r="B174" s="3261" t="s">
        <v>3189</v>
      </c>
      <c r="C174" s="3278"/>
      <c r="D174" s="3278"/>
      <c r="E174" s="3278"/>
      <c r="F174" s="3262">
        <v>0.05</v>
      </c>
      <c r="G174" s="3274"/>
    </row>
    <row r="175" spans="1:7">
      <c r="A175" s="3272" t="s">
        <v>25</v>
      </c>
      <c r="B175" s="3261" t="s">
        <v>3190</v>
      </c>
      <c r="C175" s="3278"/>
      <c r="D175" s="3278"/>
      <c r="E175" s="3278"/>
      <c r="F175" s="3262">
        <v>0.05</v>
      </c>
      <c r="G175" s="3274"/>
    </row>
    <row r="176" spans="1:7">
      <c r="A176" s="3272" t="s">
        <v>25</v>
      </c>
      <c r="B176" s="3261" t="s">
        <v>3191</v>
      </c>
      <c r="C176" s="3278"/>
      <c r="D176" s="3278"/>
      <c r="E176" s="3278"/>
      <c r="F176" s="3262">
        <v>0.05</v>
      </c>
      <c r="G176" s="3274"/>
    </row>
    <row r="177" spans="1:7">
      <c r="A177" s="3272" t="s">
        <v>25</v>
      </c>
      <c r="B177" s="3261" t="s">
        <v>3192</v>
      </c>
      <c r="C177" s="3273"/>
      <c r="D177" s="3273"/>
      <c r="E177" s="3273"/>
      <c r="F177" s="3262">
        <v>0.05</v>
      </c>
      <c r="G177" s="3279"/>
    </row>
    <row r="178" spans="1:7">
      <c r="A178" s="3272" t="s">
        <v>25</v>
      </c>
      <c r="B178" s="3261" t="s">
        <v>3193</v>
      </c>
      <c r="C178" s="3273"/>
      <c r="D178" s="3273"/>
      <c r="E178" s="3273"/>
      <c r="F178" s="3262">
        <v>0.05</v>
      </c>
      <c r="G178" s="3279"/>
    </row>
    <row r="179" spans="1:7">
      <c r="A179" s="3272" t="s">
        <v>25</v>
      </c>
      <c r="B179" s="3261" t="s">
        <v>3194</v>
      </c>
      <c r="C179" s="3273"/>
      <c r="D179" s="3273"/>
      <c r="E179" s="3273"/>
      <c r="F179" s="3262">
        <v>0.05</v>
      </c>
      <c r="G179" s="3279"/>
    </row>
    <row r="180" spans="1:7">
      <c r="A180" s="3272" t="s">
        <v>25</v>
      </c>
      <c r="B180" s="3261" t="s">
        <v>3195</v>
      </c>
      <c r="C180" s="3273"/>
      <c r="D180" s="3273"/>
      <c r="E180" s="3273"/>
      <c r="F180" s="3262">
        <v>0.05</v>
      </c>
      <c r="G180" s="3279"/>
    </row>
    <row r="181" spans="1:7">
      <c r="A181" s="3272" t="s">
        <v>25</v>
      </c>
      <c r="B181" s="3261" t="s">
        <v>3196</v>
      </c>
      <c r="C181" s="3273"/>
      <c r="D181" s="3273"/>
      <c r="E181" s="3273"/>
      <c r="F181" s="3262">
        <v>0.05</v>
      </c>
      <c r="G181" s="3279"/>
    </row>
    <row r="182" spans="1:7">
      <c r="A182" s="3272" t="s">
        <v>25</v>
      </c>
      <c r="B182" s="3261" t="s">
        <v>3197</v>
      </c>
      <c r="C182" s="3273"/>
      <c r="D182" s="3273"/>
      <c r="E182" s="3273"/>
      <c r="F182" s="3262">
        <v>0.05</v>
      </c>
      <c r="G182" s="3279"/>
    </row>
    <row r="183" spans="1:7">
      <c r="A183" s="3272" t="s">
        <v>25</v>
      </c>
      <c r="B183" s="3261" t="s">
        <v>3198</v>
      </c>
      <c r="C183" s="3273"/>
      <c r="D183" s="3273"/>
      <c r="E183" s="3273"/>
      <c r="F183" s="3262">
        <v>0.05</v>
      </c>
      <c r="G183" s="3279"/>
    </row>
    <row r="184" spans="1:7">
      <c r="A184" s="3272" t="s">
        <v>25</v>
      </c>
      <c r="B184" s="3261" t="s">
        <v>3199</v>
      </c>
      <c r="C184" s="3273"/>
      <c r="D184" s="3273"/>
      <c r="E184" s="3273"/>
      <c r="F184" s="3262">
        <v>0.05</v>
      </c>
      <c r="G184" s="3279"/>
    </row>
    <row r="185" spans="1:7">
      <c r="A185" s="3272" t="s">
        <v>25</v>
      </c>
      <c r="B185" s="3261" t="s">
        <v>3200</v>
      </c>
      <c r="C185" s="3273"/>
      <c r="D185" s="3273"/>
      <c r="E185" s="3273"/>
      <c r="F185" s="3262">
        <v>0.05</v>
      </c>
      <c r="G185" s="3279"/>
    </row>
    <row r="186" spans="1:7">
      <c r="A186" s="3272" t="s">
        <v>25</v>
      </c>
      <c r="B186" s="3261" t="s">
        <v>3201</v>
      </c>
      <c r="C186" s="3273"/>
      <c r="D186" s="3273"/>
      <c r="E186" s="3273"/>
      <c r="F186" s="3262">
        <v>0.05</v>
      </c>
      <c r="G186" s="3279"/>
    </row>
    <row r="187" spans="1:7">
      <c r="A187" s="3272" t="s">
        <v>25</v>
      </c>
      <c r="B187" s="3261" t="s">
        <v>3202</v>
      </c>
      <c r="C187" s="3273"/>
      <c r="D187" s="3273"/>
      <c r="E187" s="3273"/>
      <c r="F187" s="3262">
        <v>0.05</v>
      </c>
      <c r="G187" s="3279"/>
    </row>
    <row r="188" spans="1:7">
      <c r="A188" s="3272" t="s">
        <v>25</v>
      </c>
      <c r="B188" s="3261" t="s">
        <v>3203</v>
      </c>
      <c r="C188" s="3273"/>
      <c r="D188" s="3273"/>
      <c r="E188" s="3273"/>
      <c r="F188" s="3262">
        <v>0.05</v>
      </c>
      <c r="G188" s="3279"/>
    </row>
    <row r="189" spans="1:7" ht="14.25" thickBot="1">
      <c r="A189" s="3275" t="s">
        <v>25</v>
      </c>
      <c r="B189" s="3265" t="s">
        <v>3204</v>
      </c>
      <c r="C189" s="3267"/>
      <c r="D189" s="3267"/>
      <c r="E189" s="3267"/>
      <c r="F189" s="3266">
        <v>0.05</v>
      </c>
      <c r="G189" s="3280"/>
    </row>
    <row r="190" spans="1:7">
      <c r="A190" s="3271" t="s">
        <v>300</v>
      </c>
      <c r="B190" s="3257" t="s">
        <v>2860</v>
      </c>
      <c r="C190" s="3258">
        <v>0.124</v>
      </c>
      <c r="D190" s="3258">
        <v>0.124</v>
      </c>
      <c r="E190" s="3258">
        <v>0.129</v>
      </c>
      <c r="F190" s="3258">
        <v>0.13</v>
      </c>
      <c r="G190" s="3259">
        <v>0.127</v>
      </c>
    </row>
    <row r="191" spans="1:7">
      <c r="A191" s="3272" t="s">
        <v>300</v>
      </c>
      <c r="B191" s="3261" t="s">
        <v>129</v>
      </c>
      <c r="C191" s="3262">
        <v>0.13</v>
      </c>
      <c r="D191" s="3262">
        <v>0.13</v>
      </c>
      <c r="E191" s="3262">
        <v>0.13</v>
      </c>
      <c r="F191" s="3262">
        <v>0.13</v>
      </c>
      <c r="G191" s="3263">
        <v>0.13</v>
      </c>
    </row>
    <row r="192" spans="1:7">
      <c r="A192" s="3272" t="s">
        <v>300</v>
      </c>
      <c r="B192" s="3261" t="s">
        <v>138</v>
      </c>
      <c r="C192" s="3262">
        <v>0.13</v>
      </c>
      <c r="D192" s="3262">
        <v>0.13</v>
      </c>
      <c r="E192" s="3262">
        <v>0.13</v>
      </c>
      <c r="F192" s="3262">
        <v>0.13</v>
      </c>
      <c r="G192" s="3263">
        <v>0.13</v>
      </c>
    </row>
    <row r="193" spans="1:7">
      <c r="A193" s="3272" t="s">
        <v>300</v>
      </c>
      <c r="B193" s="3261" t="s">
        <v>147</v>
      </c>
      <c r="C193" s="3262">
        <v>0.13</v>
      </c>
      <c r="D193" s="3262">
        <v>0.13</v>
      </c>
      <c r="E193" s="3262">
        <v>0.13</v>
      </c>
      <c r="F193" s="3262">
        <v>0.13</v>
      </c>
      <c r="G193" s="3263">
        <v>0.13</v>
      </c>
    </row>
    <row r="194" spans="1:7">
      <c r="A194" s="3272" t="s">
        <v>300</v>
      </c>
      <c r="B194" s="3261" t="s">
        <v>156</v>
      </c>
      <c r="C194" s="3262">
        <v>0.123</v>
      </c>
      <c r="D194" s="3262">
        <v>0.123</v>
      </c>
      <c r="E194" s="3262">
        <v>0.128</v>
      </c>
      <c r="F194" s="3262">
        <v>0.13</v>
      </c>
      <c r="G194" s="3263">
        <v>0.126</v>
      </c>
    </row>
    <row r="195" spans="1:7">
      <c r="A195" s="3272" t="s">
        <v>300</v>
      </c>
      <c r="B195" s="3261" t="s">
        <v>163</v>
      </c>
      <c r="C195" s="3262">
        <v>0.127</v>
      </c>
      <c r="D195" s="3262">
        <v>0.127</v>
      </c>
      <c r="E195" s="3262">
        <v>0.121</v>
      </c>
      <c r="F195" s="3262">
        <v>0.129</v>
      </c>
      <c r="G195" s="3263">
        <v>0.129</v>
      </c>
    </row>
    <row r="196" spans="1:7">
      <c r="A196" s="3272" t="s">
        <v>300</v>
      </c>
      <c r="B196" s="3261" t="s">
        <v>169</v>
      </c>
      <c r="C196" s="3262">
        <v>0.127</v>
      </c>
      <c r="D196" s="3262">
        <v>0.128</v>
      </c>
      <c r="E196" s="3262">
        <v>0.122</v>
      </c>
      <c r="F196" s="3262">
        <v>0.13</v>
      </c>
      <c r="G196" s="3263">
        <v>0.129</v>
      </c>
    </row>
    <row r="197" spans="1:7">
      <c r="A197" s="3272" t="s">
        <v>300</v>
      </c>
      <c r="B197" s="3261" t="s">
        <v>176</v>
      </c>
      <c r="C197" s="3262">
        <v>0.126</v>
      </c>
      <c r="D197" s="3262">
        <v>0.126</v>
      </c>
      <c r="E197" s="3262">
        <v>0.11899999999999999</v>
      </c>
      <c r="F197" s="3262">
        <v>0.13</v>
      </c>
      <c r="G197" s="3263">
        <v>0.128</v>
      </c>
    </row>
    <row r="198" spans="1:7">
      <c r="A198" s="3272" t="s">
        <v>300</v>
      </c>
      <c r="B198" s="3261" t="s">
        <v>186</v>
      </c>
      <c r="C198" s="3262">
        <v>0.13</v>
      </c>
      <c r="D198" s="3262">
        <v>0.13</v>
      </c>
      <c r="E198" s="3262">
        <v>0.126</v>
      </c>
      <c r="F198" s="3278"/>
      <c r="G198" s="3263">
        <v>0.13</v>
      </c>
    </row>
    <row r="199" spans="1:7">
      <c r="A199" s="3272" t="s">
        <v>300</v>
      </c>
      <c r="B199" s="3261" t="s">
        <v>2896</v>
      </c>
      <c r="C199" s="3262">
        <v>0.13</v>
      </c>
      <c r="D199" s="3262">
        <v>0.13</v>
      </c>
      <c r="E199" s="3262">
        <v>0.13</v>
      </c>
      <c r="F199" s="3262">
        <v>0.13</v>
      </c>
      <c r="G199" s="3263">
        <v>0.13</v>
      </c>
    </row>
    <row r="200" spans="1:7">
      <c r="A200" s="3272" t="s">
        <v>300</v>
      </c>
      <c r="B200" s="3261" t="s">
        <v>2899</v>
      </c>
      <c r="C200" s="3278"/>
      <c r="D200" s="3278"/>
      <c r="E200" s="3278"/>
      <c r="F200" s="3262">
        <v>0.13</v>
      </c>
      <c r="G200" s="3274"/>
    </row>
    <row r="201" spans="1:7">
      <c r="A201" s="3272" t="s">
        <v>300</v>
      </c>
      <c r="B201" s="3261" t="s">
        <v>2904</v>
      </c>
      <c r="C201" s="3262">
        <v>0.13</v>
      </c>
      <c r="D201" s="3262">
        <v>0.13</v>
      </c>
      <c r="E201" s="3262">
        <v>0.13</v>
      </c>
      <c r="F201" s="3262">
        <v>0.129</v>
      </c>
      <c r="G201" s="3263">
        <v>0.13</v>
      </c>
    </row>
    <row r="202" spans="1:7">
      <c r="A202" s="3272" t="s">
        <v>300</v>
      </c>
      <c r="B202" s="3261" t="s">
        <v>236</v>
      </c>
      <c r="C202" s="3262">
        <v>0.13</v>
      </c>
      <c r="D202" s="3262">
        <v>0.13</v>
      </c>
      <c r="E202" s="3262">
        <v>0.13</v>
      </c>
      <c r="F202" s="3262">
        <v>0.13</v>
      </c>
      <c r="G202" s="3263">
        <v>0.13</v>
      </c>
    </row>
    <row r="203" spans="1:7">
      <c r="A203" s="3272" t="s">
        <v>300</v>
      </c>
      <c r="B203" s="3261" t="s">
        <v>2907</v>
      </c>
      <c r="C203" s="3262">
        <v>0.129</v>
      </c>
      <c r="D203" s="3262">
        <v>0.129</v>
      </c>
      <c r="E203" s="3262">
        <v>0.13</v>
      </c>
      <c r="F203" s="3262">
        <v>0.13</v>
      </c>
      <c r="G203" s="3263">
        <v>0.13</v>
      </c>
    </row>
    <row r="204" spans="1:7">
      <c r="A204" s="3272" t="s">
        <v>300</v>
      </c>
      <c r="B204" s="3261" t="s">
        <v>2910</v>
      </c>
      <c r="C204" s="3262">
        <v>0.129</v>
      </c>
      <c r="D204" s="3262">
        <v>0.129</v>
      </c>
      <c r="E204" s="3262">
        <v>0.123</v>
      </c>
      <c r="F204" s="3262">
        <v>0.13</v>
      </c>
      <c r="G204" s="3263">
        <v>0.13</v>
      </c>
    </row>
    <row r="205" spans="1:7">
      <c r="A205" s="3272" t="s">
        <v>300</v>
      </c>
      <c r="B205" s="3261" t="s">
        <v>2912</v>
      </c>
      <c r="C205" s="3262">
        <v>0.13</v>
      </c>
      <c r="D205" s="3262">
        <v>0.13</v>
      </c>
      <c r="E205" s="3262">
        <v>0.13</v>
      </c>
      <c r="F205" s="3262">
        <v>0.13</v>
      </c>
      <c r="G205" s="3263">
        <v>0.13</v>
      </c>
    </row>
    <row r="206" spans="1:7">
      <c r="A206" s="3272" t="s">
        <v>300</v>
      </c>
      <c r="B206" s="3261" t="s">
        <v>2915</v>
      </c>
      <c r="C206" s="3262">
        <v>0.13</v>
      </c>
      <c r="D206" s="3262">
        <v>0.13</v>
      </c>
      <c r="E206" s="3262">
        <v>0.13</v>
      </c>
      <c r="F206" s="3262">
        <v>0.128</v>
      </c>
      <c r="G206" s="3263">
        <v>0.13</v>
      </c>
    </row>
    <row r="207" spans="1:7">
      <c r="A207" s="3272" t="s">
        <v>300</v>
      </c>
      <c r="B207" s="3261" t="s">
        <v>2917</v>
      </c>
      <c r="C207" s="3262">
        <v>0.13</v>
      </c>
      <c r="D207" s="3262">
        <v>0.13</v>
      </c>
      <c r="E207" s="3262">
        <v>0.13</v>
      </c>
      <c r="F207" s="3262">
        <v>0.13</v>
      </c>
      <c r="G207" s="3263">
        <v>0.13</v>
      </c>
    </row>
    <row r="208" spans="1:7">
      <c r="A208" s="3272" t="s">
        <v>300</v>
      </c>
      <c r="B208" s="3261" t="s">
        <v>2920</v>
      </c>
      <c r="C208" s="3262">
        <v>0.13</v>
      </c>
      <c r="D208" s="3262">
        <v>0.13</v>
      </c>
      <c r="E208" s="3262">
        <v>0.13</v>
      </c>
      <c r="F208" s="3262">
        <v>0.13</v>
      </c>
      <c r="G208" s="3263">
        <v>0.13</v>
      </c>
    </row>
    <row r="209" spans="1:7">
      <c r="A209" s="3272" t="s">
        <v>300</v>
      </c>
      <c r="B209" s="3261" t="s">
        <v>260</v>
      </c>
      <c r="C209" s="3262">
        <v>0.13</v>
      </c>
      <c r="D209" s="3262">
        <v>0.13</v>
      </c>
      <c r="E209" s="3262">
        <v>0.13</v>
      </c>
      <c r="F209" s="3262">
        <v>0.13</v>
      </c>
      <c r="G209" s="3263">
        <v>0.13</v>
      </c>
    </row>
    <row r="210" spans="1:7">
      <c r="A210" s="3272" t="s">
        <v>300</v>
      </c>
      <c r="B210" s="3261" t="s">
        <v>2927</v>
      </c>
      <c r="C210" s="3262">
        <v>0.121</v>
      </c>
      <c r="D210" s="3262">
        <v>0.121</v>
      </c>
      <c r="E210" s="3262">
        <v>0.125</v>
      </c>
      <c r="F210" s="3262">
        <v>0.13</v>
      </c>
      <c r="G210" s="3263">
        <v>0.123</v>
      </c>
    </row>
    <row r="211" spans="1:7">
      <c r="A211" s="3272" t="s">
        <v>300</v>
      </c>
      <c r="B211" s="3261" t="s">
        <v>2930</v>
      </c>
      <c r="C211" s="3262">
        <v>0.123</v>
      </c>
      <c r="D211" s="3262">
        <v>0.123</v>
      </c>
      <c r="E211" s="3262">
        <v>0.127</v>
      </c>
      <c r="F211" s="3262">
        <v>0.115</v>
      </c>
      <c r="G211" s="3263">
        <v>0.126</v>
      </c>
    </row>
    <row r="212" spans="1:7">
      <c r="A212" s="3272" t="s">
        <v>300</v>
      </c>
      <c r="B212" s="3261" t="s">
        <v>281</v>
      </c>
      <c r="C212" s="3262">
        <v>0.126</v>
      </c>
      <c r="D212" s="3262">
        <v>0.126</v>
      </c>
      <c r="E212" s="3262">
        <v>0.13</v>
      </c>
      <c r="F212" s="3262">
        <v>0.13</v>
      </c>
      <c r="G212" s="3263">
        <v>0.129</v>
      </c>
    </row>
    <row r="213" spans="1:7">
      <c r="A213" s="3272" t="s">
        <v>300</v>
      </c>
      <c r="B213" s="3261" t="s">
        <v>284</v>
      </c>
      <c r="C213" s="3262">
        <v>0.129</v>
      </c>
      <c r="D213" s="3262">
        <v>0.13</v>
      </c>
      <c r="E213" s="3262">
        <v>0.127</v>
      </c>
      <c r="F213" s="3262">
        <v>0.13</v>
      </c>
      <c r="G213" s="3263">
        <v>0.13</v>
      </c>
    </row>
    <row r="214" spans="1:7">
      <c r="A214" s="3272" t="s">
        <v>300</v>
      </c>
      <c r="B214" s="3261" t="s">
        <v>2942</v>
      </c>
      <c r="C214" s="3262">
        <v>0.128</v>
      </c>
      <c r="D214" s="3262">
        <v>0.128</v>
      </c>
      <c r="E214" s="3262">
        <v>0.13</v>
      </c>
      <c r="F214" s="3262">
        <v>0.13</v>
      </c>
      <c r="G214" s="3263">
        <v>0.13</v>
      </c>
    </row>
    <row r="215" spans="1:7">
      <c r="A215" s="3272" t="s">
        <v>300</v>
      </c>
      <c r="B215" s="3261" t="s">
        <v>2946</v>
      </c>
      <c r="C215" s="3262">
        <v>0.13</v>
      </c>
      <c r="D215" s="3262">
        <v>0.13</v>
      </c>
      <c r="E215" s="3262">
        <v>0.13</v>
      </c>
      <c r="F215" s="3262">
        <v>0.129</v>
      </c>
      <c r="G215" s="3263">
        <v>0.13</v>
      </c>
    </row>
    <row r="216" spans="1:7">
      <c r="A216" s="3272" t="s">
        <v>300</v>
      </c>
      <c r="B216" s="3261" t="s">
        <v>2953</v>
      </c>
      <c r="C216" s="3262">
        <v>0.13</v>
      </c>
      <c r="D216" s="3262">
        <v>0.13</v>
      </c>
      <c r="E216" s="3262">
        <v>0.13</v>
      </c>
      <c r="F216" s="3262">
        <v>0.13</v>
      </c>
      <c r="G216" s="3263">
        <v>0.13</v>
      </c>
    </row>
    <row r="217" spans="1:7">
      <c r="A217" s="3272" t="s">
        <v>300</v>
      </c>
      <c r="B217" s="3261" t="s">
        <v>2960</v>
      </c>
      <c r="C217" s="3262">
        <v>0.129</v>
      </c>
      <c r="D217" s="3262">
        <v>0.129</v>
      </c>
      <c r="E217" s="3262">
        <v>0.13</v>
      </c>
      <c r="F217" s="3262">
        <v>0.13</v>
      </c>
      <c r="G217" s="3263">
        <v>0.13</v>
      </c>
    </row>
    <row r="218" spans="1:7">
      <c r="A218" s="3272" t="s">
        <v>300</v>
      </c>
      <c r="B218" s="3261" t="s">
        <v>2966</v>
      </c>
      <c r="C218" s="3273"/>
      <c r="D218" s="3273"/>
      <c r="E218" s="3273"/>
      <c r="F218" s="3262">
        <v>0.05</v>
      </c>
      <c r="G218" s="3279"/>
    </row>
    <row r="219" spans="1:7">
      <c r="A219" s="3272" t="s">
        <v>300</v>
      </c>
      <c r="B219" s="3261" t="s">
        <v>2973</v>
      </c>
      <c r="C219" s="3273"/>
      <c r="D219" s="3273"/>
      <c r="E219" s="3273"/>
      <c r="F219" s="3262">
        <v>0.05</v>
      </c>
      <c r="G219" s="3279"/>
    </row>
    <row r="220" spans="1:7">
      <c r="A220" s="3272" t="s">
        <v>300</v>
      </c>
      <c r="B220" s="3261" t="s">
        <v>2979</v>
      </c>
      <c r="C220" s="3273"/>
      <c r="D220" s="3273"/>
      <c r="E220" s="3273"/>
      <c r="F220" s="3262">
        <v>0.05</v>
      </c>
      <c r="G220" s="3279"/>
    </row>
    <row r="221" spans="1:7">
      <c r="A221" s="3272" t="s">
        <v>300</v>
      </c>
      <c r="B221" s="3261" t="s">
        <v>2984</v>
      </c>
      <c r="C221" s="3273"/>
      <c r="D221" s="3273"/>
      <c r="E221" s="3273"/>
      <c r="F221" s="3262">
        <v>0.05</v>
      </c>
      <c r="G221" s="3279"/>
    </row>
    <row r="222" spans="1:7">
      <c r="A222" s="3272" t="s">
        <v>300</v>
      </c>
      <c r="B222" s="3261" t="s">
        <v>2988</v>
      </c>
      <c r="C222" s="3273"/>
      <c r="D222" s="3273"/>
      <c r="E222" s="3273"/>
      <c r="F222" s="3262">
        <v>0.05</v>
      </c>
      <c r="G222" s="3279"/>
    </row>
    <row r="223" spans="1:7">
      <c r="A223" s="3272" t="s">
        <v>300</v>
      </c>
      <c r="B223" s="3261" t="s">
        <v>2993</v>
      </c>
      <c r="C223" s="3273"/>
      <c r="D223" s="3273"/>
      <c r="E223" s="3273"/>
      <c r="F223" s="3262">
        <v>0.05</v>
      </c>
      <c r="G223" s="3279"/>
    </row>
    <row r="224" spans="1:7">
      <c r="A224" s="3272" t="s">
        <v>300</v>
      </c>
      <c r="B224" s="3261" t="s">
        <v>2998</v>
      </c>
      <c r="C224" s="3273"/>
      <c r="D224" s="3273"/>
      <c r="E224" s="3273"/>
      <c r="F224" s="3262">
        <v>0.05</v>
      </c>
      <c r="G224" s="3279"/>
    </row>
    <row r="225" spans="1:7">
      <c r="A225" s="3272" t="s">
        <v>300</v>
      </c>
      <c r="B225" s="3261" t="s">
        <v>3003</v>
      </c>
      <c r="C225" s="3273"/>
      <c r="D225" s="3273"/>
      <c r="E225" s="3273"/>
      <c r="F225" s="3262">
        <v>0.05</v>
      </c>
      <c r="G225" s="3279"/>
    </row>
    <row r="226" spans="1:7">
      <c r="A226" s="3272" t="s">
        <v>300</v>
      </c>
      <c r="B226" s="3261" t="s">
        <v>3205</v>
      </c>
      <c r="C226" s="3273"/>
      <c r="D226" s="3273"/>
      <c r="E226" s="3273"/>
      <c r="F226" s="3262">
        <v>0.05</v>
      </c>
      <c r="G226" s="3279"/>
    </row>
    <row r="227" spans="1:7">
      <c r="A227" s="3272" t="s">
        <v>300</v>
      </c>
      <c r="B227" s="3261" t="s">
        <v>3206</v>
      </c>
      <c r="C227" s="3273"/>
      <c r="D227" s="3273"/>
      <c r="E227" s="3273"/>
      <c r="F227" s="3262">
        <v>0.05</v>
      </c>
      <c r="G227" s="3279"/>
    </row>
    <row r="228" spans="1:7">
      <c r="A228" s="3272" t="s">
        <v>300</v>
      </c>
      <c r="B228" s="3261" t="s">
        <v>3207</v>
      </c>
      <c r="C228" s="3273"/>
      <c r="D228" s="3273"/>
      <c r="E228" s="3273"/>
      <c r="F228" s="3262">
        <v>0.05</v>
      </c>
      <c r="G228" s="3279"/>
    </row>
    <row r="229" spans="1:7">
      <c r="A229" s="3272" t="s">
        <v>300</v>
      </c>
      <c r="B229" s="3261" t="s">
        <v>3208</v>
      </c>
      <c r="C229" s="3273"/>
      <c r="D229" s="3273"/>
      <c r="E229" s="3273"/>
      <c r="F229" s="3262">
        <v>0.05</v>
      </c>
      <c r="G229" s="3279"/>
    </row>
    <row r="230" spans="1:7">
      <c r="A230" s="3272" t="s">
        <v>300</v>
      </c>
      <c r="B230" s="3261" t="s">
        <v>3209</v>
      </c>
      <c r="C230" s="3273"/>
      <c r="D230" s="3273"/>
      <c r="E230" s="3273"/>
      <c r="F230" s="3262">
        <v>0.05</v>
      </c>
      <c r="G230" s="3279"/>
    </row>
    <row r="231" spans="1:7">
      <c r="A231" s="3272" t="s">
        <v>300</v>
      </c>
      <c r="B231" s="3261" t="s">
        <v>3210</v>
      </c>
      <c r="C231" s="3273"/>
      <c r="D231" s="3273"/>
      <c r="E231" s="3273"/>
      <c r="F231" s="3262">
        <v>0.05</v>
      </c>
      <c r="G231" s="3279"/>
    </row>
    <row r="232" spans="1:7">
      <c r="A232" s="3272" t="s">
        <v>300</v>
      </c>
      <c r="B232" s="3261" t="s">
        <v>3211</v>
      </c>
      <c r="C232" s="3273"/>
      <c r="D232" s="3273"/>
      <c r="E232" s="3273"/>
      <c r="F232" s="3262">
        <v>0.05</v>
      </c>
      <c r="G232" s="3279"/>
    </row>
    <row r="233" spans="1:7" ht="14.25" thickBot="1">
      <c r="A233" s="3275" t="s">
        <v>300</v>
      </c>
      <c r="B233" s="3265" t="s">
        <v>3212</v>
      </c>
      <c r="C233" s="3267"/>
      <c r="D233" s="3267"/>
      <c r="E233" s="3267"/>
      <c r="F233" s="3266">
        <v>0.05</v>
      </c>
      <c r="G233" s="3280"/>
    </row>
    <row r="234" spans="1:7">
      <c r="A234" s="3271" t="s">
        <v>301</v>
      </c>
      <c r="B234" s="3257" t="s">
        <v>2861</v>
      </c>
      <c r="C234" s="3258">
        <v>0.13</v>
      </c>
      <c r="D234" s="3258">
        <v>0.128</v>
      </c>
      <c r="E234" s="3258">
        <v>0.14199999999999999</v>
      </c>
      <c r="F234" s="3258">
        <v>0.14699999999999999</v>
      </c>
      <c r="G234" s="3259">
        <v>0.14000000000000001</v>
      </c>
    </row>
    <row r="235" spans="1:7">
      <c r="A235" s="3272" t="s">
        <v>301</v>
      </c>
      <c r="B235" s="3261" t="s">
        <v>130</v>
      </c>
      <c r="C235" s="3262">
        <v>0.13600000000000001</v>
      </c>
      <c r="D235" s="3262">
        <v>0.13800000000000001</v>
      </c>
      <c r="E235" s="3262">
        <v>0.14499999999999999</v>
      </c>
      <c r="F235" s="3262">
        <v>0.14299999999999999</v>
      </c>
      <c r="G235" s="3263">
        <v>0.14099999999999999</v>
      </c>
    </row>
    <row r="236" spans="1:7">
      <c r="A236" s="3272" t="s">
        <v>301</v>
      </c>
      <c r="B236" s="3261" t="s">
        <v>139</v>
      </c>
      <c r="C236" s="3262">
        <v>0.15</v>
      </c>
      <c r="D236" s="3262">
        <v>0.15</v>
      </c>
      <c r="E236" s="3262">
        <v>0.15</v>
      </c>
      <c r="F236" s="3262">
        <v>0.15</v>
      </c>
      <c r="G236" s="3263">
        <v>0.15</v>
      </c>
    </row>
    <row r="237" spans="1:7">
      <c r="A237" s="3272" t="s">
        <v>301</v>
      </c>
      <c r="B237" s="3261" t="s">
        <v>148</v>
      </c>
      <c r="C237" s="3262">
        <v>0.15</v>
      </c>
      <c r="D237" s="3262">
        <v>0.15</v>
      </c>
      <c r="E237" s="3262">
        <v>0.15</v>
      </c>
      <c r="F237" s="3262">
        <v>0.15</v>
      </c>
      <c r="G237" s="3263">
        <v>0.15</v>
      </c>
    </row>
    <row r="238" spans="1:7">
      <c r="A238" s="3272" t="s">
        <v>301</v>
      </c>
      <c r="B238" s="3261" t="s">
        <v>2881</v>
      </c>
      <c r="C238" s="3262">
        <v>0.14899999999999999</v>
      </c>
      <c r="D238" s="3262">
        <v>0.14899999999999999</v>
      </c>
      <c r="E238" s="3262">
        <v>0.15</v>
      </c>
      <c r="F238" s="3262">
        <v>0.15</v>
      </c>
      <c r="G238" s="3263">
        <v>0.15</v>
      </c>
    </row>
    <row r="239" spans="1:7">
      <c r="A239" s="3272" t="s">
        <v>301</v>
      </c>
      <c r="B239" s="3261" t="s">
        <v>2885</v>
      </c>
      <c r="C239" s="3262">
        <v>0.15</v>
      </c>
      <c r="D239" s="3262">
        <v>0.15</v>
      </c>
      <c r="E239" s="3262">
        <v>0.15</v>
      </c>
      <c r="F239" s="3262">
        <v>0.15</v>
      </c>
      <c r="G239" s="3263">
        <v>0.15</v>
      </c>
    </row>
    <row r="240" spans="1:7">
      <c r="A240" s="3272" t="s">
        <v>301</v>
      </c>
      <c r="B240" s="3261" t="s">
        <v>2890</v>
      </c>
      <c r="C240" s="3262">
        <v>0.15</v>
      </c>
      <c r="D240" s="3262">
        <v>0.15</v>
      </c>
      <c r="E240" s="3262">
        <v>0.15</v>
      </c>
      <c r="F240" s="3262">
        <v>0.15</v>
      </c>
      <c r="G240" s="3263">
        <v>0.15</v>
      </c>
    </row>
    <row r="241" spans="1:7">
      <c r="A241" s="3272" t="s">
        <v>301</v>
      </c>
      <c r="B241" s="3261" t="s">
        <v>2894</v>
      </c>
      <c r="C241" s="3262">
        <v>0.14099999999999999</v>
      </c>
      <c r="D241" s="3262">
        <v>0.14199999999999999</v>
      </c>
      <c r="E241" s="3262">
        <v>0.14899999999999999</v>
      </c>
      <c r="F241" s="3262">
        <v>0.15</v>
      </c>
      <c r="G241" s="3263">
        <v>0.14399999999999999</v>
      </c>
    </row>
    <row r="242" spans="1:7">
      <c r="A242" s="3272" t="s">
        <v>301</v>
      </c>
      <c r="B242" s="3261" t="s">
        <v>177</v>
      </c>
      <c r="C242" s="3262">
        <v>0.14099999999999999</v>
      </c>
      <c r="D242" s="3262">
        <v>0.14199999999999999</v>
      </c>
      <c r="E242" s="3262">
        <v>0.14799999999999999</v>
      </c>
      <c r="F242" s="3262">
        <v>0.127</v>
      </c>
      <c r="G242" s="3263">
        <v>0.14399999999999999</v>
      </c>
    </row>
    <row r="243" spans="1:7">
      <c r="A243" s="3272" t="s">
        <v>301</v>
      </c>
      <c r="B243" s="3261" t="s">
        <v>187</v>
      </c>
      <c r="C243" s="3262">
        <v>0.14699999999999999</v>
      </c>
      <c r="D243" s="3262">
        <v>0.14699999999999999</v>
      </c>
      <c r="E243" s="3262">
        <v>0.15</v>
      </c>
      <c r="F243" s="3262">
        <v>0.15</v>
      </c>
      <c r="G243" s="3263">
        <v>0.14899999999999999</v>
      </c>
    </row>
    <row r="244" spans="1:7">
      <c r="A244" s="3272" t="s">
        <v>301</v>
      </c>
      <c r="B244" s="3261" t="s">
        <v>2900</v>
      </c>
      <c r="C244" s="3262">
        <v>0.15</v>
      </c>
      <c r="D244" s="3262">
        <v>0.15</v>
      </c>
      <c r="E244" s="3262">
        <v>0.15</v>
      </c>
      <c r="F244" s="3262">
        <v>0.15</v>
      </c>
      <c r="G244" s="3263">
        <v>0.15</v>
      </c>
    </row>
    <row r="245" spans="1:7">
      <c r="A245" s="3272" t="s">
        <v>301</v>
      </c>
      <c r="B245" s="3261" t="s">
        <v>202</v>
      </c>
      <c r="C245" s="3262">
        <v>0.14199999999999999</v>
      </c>
      <c r="D245" s="3262">
        <v>0.14199999999999999</v>
      </c>
      <c r="E245" s="3262">
        <v>0.15</v>
      </c>
      <c r="F245" s="3262">
        <v>0.15</v>
      </c>
      <c r="G245" s="3263">
        <v>0.14499999999999999</v>
      </c>
    </row>
    <row r="246" spans="1:7">
      <c r="A246" s="3272" t="s">
        <v>301</v>
      </c>
      <c r="B246" s="3261" t="s">
        <v>209</v>
      </c>
      <c r="C246" s="3262">
        <v>0.14199999999999999</v>
      </c>
      <c r="D246" s="3262">
        <v>0.14299999999999999</v>
      </c>
      <c r="E246" s="3262">
        <v>0.15</v>
      </c>
      <c r="F246" s="3262">
        <v>0.14199999999999999</v>
      </c>
      <c r="G246" s="3263">
        <v>0.14399999999999999</v>
      </c>
    </row>
    <row r="247" spans="1:7">
      <c r="A247" s="3272" t="s">
        <v>301</v>
      </c>
      <c r="B247" s="3261" t="s">
        <v>2908</v>
      </c>
      <c r="C247" s="3262">
        <v>0.14899999999999999</v>
      </c>
      <c r="D247" s="3262">
        <v>0.14899999999999999</v>
      </c>
      <c r="E247" s="3262">
        <v>0.15</v>
      </c>
      <c r="F247" s="3262">
        <v>0.15</v>
      </c>
      <c r="G247" s="3263">
        <v>0.15</v>
      </c>
    </row>
    <row r="248" spans="1:7">
      <c r="A248" s="3272" t="s">
        <v>301</v>
      </c>
      <c r="B248" s="3261" t="s">
        <v>223</v>
      </c>
      <c r="C248" s="3262">
        <v>0.14399999999999999</v>
      </c>
      <c r="D248" s="3262">
        <v>0.14399999999999999</v>
      </c>
      <c r="E248" s="3262">
        <v>0.14899999999999999</v>
      </c>
      <c r="F248" s="3262">
        <v>0.14799999999999999</v>
      </c>
      <c r="G248" s="3263">
        <v>0.14599999999999999</v>
      </c>
    </row>
    <row r="249" spans="1:7">
      <c r="A249" s="3272" t="s">
        <v>301</v>
      </c>
      <c r="B249" s="3261" t="s">
        <v>2913</v>
      </c>
      <c r="C249" s="3262">
        <v>0.14000000000000001</v>
      </c>
      <c r="D249" s="3262">
        <v>0.14000000000000001</v>
      </c>
      <c r="E249" s="3262">
        <v>0.14699999999999999</v>
      </c>
      <c r="F249" s="3262">
        <v>0.14899999999999999</v>
      </c>
      <c r="G249" s="3263">
        <v>0.14199999999999999</v>
      </c>
    </row>
    <row r="250" spans="1:7">
      <c r="A250" s="3272" t="s">
        <v>301</v>
      </c>
      <c r="B250" s="3261" t="s">
        <v>237</v>
      </c>
      <c r="C250" s="3262">
        <v>0.14399999999999999</v>
      </c>
      <c r="D250" s="3262">
        <v>0.14299999999999999</v>
      </c>
      <c r="E250" s="3262">
        <v>0.14899999999999999</v>
      </c>
      <c r="F250" s="3262">
        <v>0.15</v>
      </c>
      <c r="G250" s="3263">
        <v>0.14599999999999999</v>
      </c>
    </row>
    <row r="251" spans="1:7">
      <c r="A251" s="3272" t="s">
        <v>301</v>
      </c>
      <c r="B251" s="3261" t="s">
        <v>245</v>
      </c>
      <c r="C251" s="3278"/>
      <c r="D251" s="3273"/>
      <c r="E251" s="3273"/>
      <c r="F251" s="3262">
        <v>0.1</v>
      </c>
      <c r="G251" s="3279"/>
    </row>
    <row r="252" spans="1:7">
      <c r="A252" s="3272" t="s">
        <v>301</v>
      </c>
      <c r="B252" s="3261" t="s">
        <v>2921</v>
      </c>
      <c r="C252" s="3262">
        <v>0.14399999999999999</v>
      </c>
      <c r="D252" s="3262">
        <v>0.14399999999999999</v>
      </c>
      <c r="E252" s="3262">
        <v>0.15</v>
      </c>
      <c r="F252" s="3262">
        <v>0.14899999999999999</v>
      </c>
      <c r="G252" s="3263">
        <v>0.14599999999999999</v>
      </c>
    </row>
    <row r="253" spans="1:7">
      <c r="A253" s="3272" t="s">
        <v>301</v>
      </c>
      <c r="B253" s="3261" t="s">
        <v>279</v>
      </c>
      <c r="C253" s="3262">
        <v>0.14199999999999999</v>
      </c>
      <c r="D253" s="3262">
        <v>0.14199999999999999</v>
      </c>
      <c r="E253" s="3262">
        <v>0.14599999999999999</v>
      </c>
      <c r="F253" s="3262">
        <v>0.14799999999999999</v>
      </c>
      <c r="G253" s="3263">
        <v>0.14499999999999999</v>
      </c>
    </row>
    <row r="254" spans="1:7">
      <c r="A254" s="3272" t="s">
        <v>301</v>
      </c>
      <c r="B254" s="3261" t="s">
        <v>282</v>
      </c>
      <c r="C254" s="3262">
        <v>0.15</v>
      </c>
      <c r="D254" s="3262">
        <v>0.15</v>
      </c>
      <c r="E254" s="3262">
        <v>0.15</v>
      </c>
      <c r="F254" s="3262">
        <v>0.15</v>
      </c>
      <c r="G254" s="3263">
        <v>0.15</v>
      </c>
    </row>
    <row r="255" spans="1:7">
      <c r="A255" s="3272" t="s">
        <v>301</v>
      </c>
      <c r="B255" s="3261" t="s">
        <v>285</v>
      </c>
      <c r="C255" s="3262">
        <v>0.14299999999999999</v>
      </c>
      <c r="D255" s="3262">
        <v>0.14299999999999999</v>
      </c>
      <c r="E255" s="3262">
        <v>0.15</v>
      </c>
      <c r="F255" s="3262">
        <v>0.15</v>
      </c>
      <c r="G255" s="3263">
        <v>0.14499999999999999</v>
      </c>
    </row>
    <row r="256" spans="1:7">
      <c r="A256" s="3272" t="s">
        <v>301</v>
      </c>
      <c r="B256" s="3261" t="s">
        <v>2934</v>
      </c>
      <c r="C256" s="3262">
        <v>0.15</v>
      </c>
      <c r="D256" s="3262">
        <v>0.15</v>
      </c>
      <c r="E256" s="3262">
        <v>0.15</v>
      </c>
      <c r="F256" s="3262">
        <v>0.14599999999999999</v>
      </c>
      <c r="G256" s="3263">
        <v>0.15</v>
      </c>
    </row>
    <row r="257" spans="1:7">
      <c r="A257" s="3272" t="s">
        <v>301</v>
      </c>
      <c r="B257" s="3261" t="s">
        <v>271</v>
      </c>
      <c r="C257" s="3262">
        <v>0.14199999999999999</v>
      </c>
      <c r="D257" s="3262">
        <v>0.14299999999999999</v>
      </c>
      <c r="E257" s="3262">
        <v>0.14799999999999999</v>
      </c>
      <c r="F257" s="3262">
        <v>0.15</v>
      </c>
      <c r="G257" s="3263">
        <v>0.14499999999999999</v>
      </c>
    </row>
    <row r="258" spans="1:7">
      <c r="A258" s="3272" t="s">
        <v>301</v>
      </c>
      <c r="B258" s="3261" t="s">
        <v>2943</v>
      </c>
      <c r="C258" s="3262">
        <v>0.14299999999999999</v>
      </c>
      <c r="D258" s="3262">
        <v>0.14299999999999999</v>
      </c>
      <c r="E258" s="3262">
        <v>0.15</v>
      </c>
      <c r="F258" s="3262">
        <v>0.14799999999999999</v>
      </c>
      <c r="G258" s="3263">
        <v>0.14599999999999999</v>
      </c>
    </row>
    <row r="259" spans="1:7">
      <c r="A259" s="3272" t="s">
        <v>301</v>
      </c>
      <c r="B259" s="3261" t="s">
        <v>2947</v>
      </c>
      <c r="C259" s="3262">
        <v>0.14399999999999999</v>
      </c>
      <c r="D259" s="3262">
        <v>0.14399999999999999</v>
      </c>
      <c r="E259" s="3262">
        <v>0.14899999999999999</v>
      </c>
      <c r="F259" s="3262">
        <v>0.14699999999999999</v>
      </c>
      <c r="G259" s="3263">
        <v>0.14599999999999999</v>
      </c>
    </row>
    <row r="260" spans="1:7">
      <c r="A260" s="3272" t="s">
        <v>301</v>
      </c>
      <c r="B260" s="3261" t="s">
        <v>2954</v>
      </c>
      <c r="C260" s="3262">
        <v>0.109</v>
      </c>
      <c r="D260" s="3262">
        <v>0.111</v>
      </c>
      <c r="E260" s="3262">
        <v>0.13100000000000001</v>
      </c>
      <c r="F260" s="3262">
        <v>0.126</v>
      </c>
      <c r="G260" s="3263">
        <v>0.11899999999999999</v>
      </c>
    </row>
    <row r="261" spans="1:7">
      <c r="A261" s="3272" t="s">
        <v>301</v>
      </c>
      <c r="B261" s="3261" t="s">
        <v>2961</v>
      </c>
      <c r="C261" s="3262">
        <v>0.1</v>
      </c>
      <c r="D261" s="3262">
        <v>0.1</v>
      </c>
      <c r="E261" s="3262">
        <v>0.11799999999999999</v>
      </c>
      <c r="F261" s="3262">
        <v>0.108</v>
      </c>
      <c r="G261" s="3263">
        <v>0.107</v>
      </c>
    </row>
    <row r="262" spans="1:7">
      <c r="A262" s="3272" t="s">
        <v>301</v>
      </c>
      <c r="B262" s="3261" t="s">
        <v>2967</v>
      </c>
      <c r="C262" s="3262">
        <v>0.1</v>
      </c>
      <c r="D262" s="3262">
        <v>0.1</v>
      </c>
      <c r="E262" s="3262">
        <v>0.1</v>
      </c>
      <c r="F262" s="3262">
        <v>0.14099999999999999</v>
      </c>
      <c r="G262" s="3263">
        <v>0.1</v>
      </c>
    </row>
    <row r="263" spans="1:7">
      <c r="A263" s="3272" t="s">
        <v>301</v>
      </c>
      <c r="B263" s="3261" t="s">
        <v>2974</v>
      </c>
      <c r="C263" s="3262">
        <v>0.14799999999999999</v>
      </c>
      <c r="D263" s="3262">
        <v>0.14799999999999999</v>
      </c>
      <c r="E263" s="3262">
        <v>0.15</v>
      </c>
      <c r="F263" s="3262">
        <v>0.14699999999999999</v>
      </c>
      <c r="G263" s="3263">
        <v>0.15</v>
      </c>
    </row>
    <row r="264" spans="1:7">
      <c r="A264" s="3272" t="s">
        <v>301</v>
      </c>
      <c r="B264" s="3261" t="s">
        <v>295</v>
      </c>
      <c r="C264" s="3262">
        <v>0.14299999999999999</v>
      </c>
      <c r="D264" s="3262">
        <v>0.14299999999999999</v>
      </c>
      <c r="E264" s="3262">
        <v>0.15</v>
      </c>
      <c r="F264" s="3262">
        <v>0.14899999999999999</v>
      </c>
      <c r="G264" s="3263">
        <v>0.14599999999999999</v>
      </c>
    </row>
    <row r="265" spans="1:7">
      <c r="A265" s="3272" t="s">
        <v>301</v>
      </c>
      <c r="B265" s="3261" t="s">
        <v>2985</v>
      </c>
      <c r="C265" s="3273"/>
      <c r="D265" s="3273"/>
      <c r="E265" s="3273"/>
      <c r="F265" s="3262">
        <v>0.05</v>
      </c>
      <c r="G265" s="3279"/>
    </row>
    <row r="266" spans="1:7">
      <c r="A266" s="3272" t="s">
        <v>301</v>
      </c>
      <c r="B266" s="3261" t="s">
        <v>2989</v>
      </c>
      <c r="C266" s="3273"/>
      <c r="D266" s="3273"/>
      <c r="E266" s="3273"/>
      <c r="F266" s="3262">
        <v>0.05</v>
      </c>
      <c r="G266" s="3279"/>
    </row>
    <row r="267" spans="1:7">
      <c r="A267" s="3272" t="s">
        <v>301</v>
      </c>
      <c r="B267" s="3261" t="s">
        <v>2994</v>
      </c>
      <c r="C267" s="3273"/>
      <c r="D267" s="3273"/>
      <c r="E267" s="3273"/>
      <c r="F267" s="3262">
        <v>0.05</v>
      </c>
      <c r="G267" s="3279"/>
    </row>
    <row r="268" spans="1:7">
      <c r="A268" s="3272" t="s">
        <v>301</v>
      </c>
      <c r="B268" s="3261" t="s">
        <v>2999</v>
      </c>
      <c r="C268" s="3273"/>
      <c r="D268" s="3273"/>
      <c r="E268" s="3273"/>
      <c r="F268" s="3262">
        <v>0.05</v>
      </c>
      <c r="G268" s="3279"/>
    </row>
    <row r="269" spans="1:7">
      <c r="A269" s="3272" t="s">
        <v>301</v>
      </c>
      <c r="B269" s="3261" t="s">
        <v>3004</v>
      </c>
      <c r="C269" s="3273"/>
      <c r="D269" s="3273"/>
      <c r="E269" s="3273"/>
      <c r="F269" s="3262">
        <v>0.05</v>
      </c>
      <c r="G269" s="3279"/>
    </row>
    <row r="270" spans="1:7">
      <c r="A270" s="3272" t="s">
        <v>301</v>
      </c>
      <c r="B270" s="3261" t="s">
        <v>3009</v>
      </c>
      <c r="C270" s="3273"/>
      <c r="D270" s="3273"/>
      <c r="E270" s="3273"/>
      <c r="F270" s="3262">
        <v>0.05</v>
      </c>
      <c r="G270" s="3279"/>
    </row>
    <row r="271" spans="1:7">
      <c r="A271" s="3272" t="s">
        <v>301</v>
      </c>
      <c r="B271" s="3261" t="s">
        <v>3213</v>
      </c>
      <c r="C271" s="3273"/>
      <c r="D271" s="3273"/>
      <c r="E271" s="3273"/>
      <c r="F271" s="3262">
        <v>0.05</v>
      </c>
      <c r="G271" s="3279"/>
    </row>
    <row r="272" spans="1:7">
      <c r="A272" s="3272" t="s">
        <v>301</v>
      </c>
      <c r="B272" s="3261" t="s">
        <v>3214</v>
      </c>
      <c r="C272" s="3273"/>
      <c r="D272" s="3273"/>
      <c r="E272" s="3273"/>
      <c r="F272" s="3262">
        <v>0.05</v>
      </c>
      <c r="G272" s="3279"/>
    </row>
    <row r="273" spans="1:7">
      <c r="A273" s="3272" t="s">
        <v>301</v>
      </c>
      <c r="B273" s="3261" t="s">
        <v>3215</v>
      </c>
      <c r="C273" s="3273"/>
      <c r="D273" s="3273"/>
      <c r="E273" s="3273"/>
      <c r="F273" s="3262">
        <v>0.05</v>
      </c>
      <c r="G273" s="3279"/>
    </row>
    <row r="274" spans="1:7">
      <c r="A274" s="3272" t="s">
        <v>301</v>
      </c>
      <c r="B274" s="3261" t="s">
        <v>3216</v>
      </c>
      <c r="C274" s="3273"/>
      <c r="D274" s="3273"/>
      <c r="E274" s="3273"/>
      <c r="F274" s="3262">
        <v>0.05</v>
      </c>
      <c r="G274" s="3279"/>
    </row>
    <row r="275" spans="1:7">
      <c r="A275" s="3272" t="s">
        <v>301</v>
      </c>
      <c r="B275" s="3261" t="s">
        <v>3217</v>
      </c>
      <c r="C275" s="3273"/>
      <c r="D275" s="3273"/>
      <c r="E275" s="3273"/>
      <c r="F275" s="3262">
        <v>0.05</v>
      </c>
      <c r="G275" s="3279"/>
    </row>
    <row r="276" spans="1:7" ht="14.25" thickBot="1">
      <c r="A276" s="3275" t="s">
        <v>301</v>
      </c>
      <c r="B276" s="3265" t="s">
        <v>3218</v>
      </c>
      <c r="C276" s="3267"/>
      <c r="D276" s="3267"/>
      <c r="E276" s="3267"/>
      <c r="F276" s="3266">
        <v>0.05</v>
      </c>
      <c r="G276" s="3280"/>
    </row>
    <row r="277" spans="1:7">
      <c r="A277" s="3271" t="s">
        <v>302</v>
      </c>
      <c r="B277" s="3257" t="s">
        <v>2862</v>
      </c>
      <c r="C277" s="3258">
        <v>0.15</v>
      </c>
      <c r="D277" s="3258">
        <v>0.15</v>
      </c>
      <c r="E277" s="3258">
        <v>0.15</v>
      </c>
      <c r="F277" s="3258">
        <v>0.15</v>
      </c>
      <c r="G277" s="3259">
        <v>0.15</v>
      </c>
    </row>
    <row r="278" spans="1:7">
      <c r="A278" s="3272" t="s">
        <v>302</v>
      </c>
      <c r="B278" s="3261" t="s">
        <v>131</v>
      </c>
      <c r="C278" s="3262">
        <v>0.15</v>
      </c>
      <c r="D278" s="3262">
        <v>0.15</v>
      </c>
      <c r="E278" s="3262">
        <v>0.15</v>
      </c>
      <c r="F278" s="3262">
        <v>0.15</v>
      </c>
      <c r="G278" s="3263">
        <v>0.15</v>
      </c>
    </row>
    <row r="279" spans="1:7">
      <c r="A279" s="3272" t="s">
        <v>302</v>
      </c>
      <c r="B279" s="3261" t="s">
        <v>2874</v>
      </c>
      <c r="C279" s="3262">
        <v>0.15</v>
      </c>
      <c r="D279" s="3262">
        <v>0.15</v>
      </c>
      <c r="E279" s="3262">
        <v>0.15</v>
      </c>
      <c r="F279" s="3262">
        <v>0.15</v>
      </c>
      <c r="G279" s="3263">
        <v>0.15</v>
      </c>
    </row>
    <row r="280" spans="1:7">
      <c r="A280" s="3272" t="s">
        <v>302</v>
      </c>
      <c r="B280" s="3261" t="s">
        <v>2878</v>
      </c>
      <c r="C280" s="3262">
        <v>0.15</v>
      </c>
      <c r="D280" s="3262">
        <v>0.15</v>
      </c>
      <c r="E280" s="3262">
        <v>0.15</v>
      </c>
      <c r="F280" s="3262">
        <v>0.15</v>
      </c>
      <c r="G280" s="3263">
        <v>0.15</v>
      </c>
    </row>
    <row r="281" spans="1:7">
      <c r="A281" s="3272" t="s">
        <v>302</v>
      </c>
      <c r="B281" s="3261" t="s">
        <v>2882</v>
      </c>
      <c r="C281" s="3262">
        <v>0.15</v>
      </c>
      <c r="D281" s="3262">
        <v>0.15</v>
      </c>
      <c r="E281" s="3262">
        <v>0.15</v>
      </c>
      <c r="F281" s="3262">
        <v>0.15</v>
      </c>
      <c r="G281" s="3263">
        <v>0.15</v>
      </c>
    </row>
    <row r="282" spans="1:7">
      <c r="A282" s="3272" t="s">
        <v>302</v>
      </c>
      <c r="B282" s="3261" t="s">
        <v>2886</v>
      </c>
      <c r="C282" s="3262">
        <v>0.15</v>
      </c>
      <c r="D282" s="3262">
        <v>0.15</v>
      </c>
      <c r="E282" s="3262">
        <v>0.15</v>
      </c>
      <c r="F282" s="3262">
        <v>0.14499999999999999</v>
      </c>
      <c r="G282" s="3263">
        <v>0.15</v>
      </c>
    </row>
    <row r="283" spans="1:7">
      <c r="A283" s="3272" t="s">
        <v>302</v>
      </c>
      <c r="B283" s="3261" t="s">
        <v>170</v>
      </c>
      <c r="C283" s="3262">
        <v>0.15</v>
      </c>
      <c r="D283" s="3262">
        <v>0.15</v>
      </c>
      <c r="E283" s="3262">
        <v>0.15</v>
      </c>
      <c r="F283" s="3262">
        <v>0.14199999999999999</v>
      </c>
      <c r="G283" s="3263">
        <v>0.15</v>
      </c>
    </row>
    <row r="284" spans="1:7">
      <c r="A284" s="3272" t="s">
        <v>302</v>
      </c>
      <c r="B284" s="3261" t="s">
        <v>178</v>
      </c>
      <c r="C284" s="3262">
        <v>0.15</v>
      </c>
      <c r="D284" s="3262">
        <v>0.15</v>
      </c>
      <c r="E284" s="3262">
        <v>0.15</v>
      </c>
      <c r="F284" s="3262">
        <v>0.15</v>
      </c>
      <c r="G284" s="3263">
        <v>0.15</v>
      </c>
    </row>
    <row r="285" spans="1:7">
      <c r="A285" s="3272" t="s">
        <v>302</v>
      </c>
      <c r="B285" s="3261" t="s">
        <v>188</v>
      </c>
      <c r="C285" s="3262">
        <v>0.15</v>
      </c>
      <c r="D285" s="3262">
        <v>0.15</v>
      </c>
      <c r="E285" s="3262">
        <v>0.15</v>
      </c>
      <c r="F285" s="3262">
        <v>0.15</v>
      </c>
      <c r="G285" s="3263">
        <v>0.15</v>
      </c>
    </row>
    <row r="286" spans="1:7">
      <c r="A286" s="3272" t="s">
        <v>302</v>
      </c>
      <c r="B286" s="3261" t="s">
        <v>195</v>
      </c>
      <c r="C286" s="3262">
        <v>0.14499999999999999</v>
      </c>
      <c r="D286" s="3262">
        <v>0.14499999999999999</v>
      </c>
      <c r="E286" s="3262">
        <v>0.15</v>
      </c>
      <c r="F286" s="3262">
        <v>0.14099999999999999</v>
      </c>
      <c r="G286" s="3263">
        <v>0.14499999999999999</v>
      </c>
    </row>
    <row r="287" spans="1:7">
      <c r="A287" s="3272" t="s">
        <v>302</v>
      </c>
      <c r="B287" s="3261" t="s">
        <v>2901</v>
      </c>
      <c r="C287" s="3262">
        <v>0.11</v>
      </c>
      <c r="D287" s="3262">
        <v>0.111</v>
      </c>
      <c r="E287" s="3262">
        <v>0.14099999999999999</v>
      </c>
      <c r="F287" s="3262">
        <v>0.11</v>
      </c>
      <c r="G287" s="3263">
        <v>0.12</v>
      </c>
    </row>
    <row r="288" spans="1:7">
      <c r="A288" s="3272" t="s">
        <v>302</v>
      </c>
      <c r="B288" s="3261" t="s">
        <v>215</v>
      </c>
      <c r="C288" s="3262">
        <v>0.14199999999999999</v>
      </c>
      <c r="D288" s="3262">
        <v>0.14299999999999999</v>
      </c>
      <c r="E288" s="3262">
        <v>0.15</v>
      </c>
      <c r="F288" s="3262">
        <v>0.14199999999999999</v>
      </c>
      <c r="G288" s="3263">
        <v>0.14399999999999999</v>
      </c>
    </row>
    <row r="289" spans="1:7">
      <c r="A289" s="3272" t="s">
        <v>302</v>
      </c>
      <c r="B289" s="3261" t="s">
        <v>2906</v>
      </c>
      <c r="C289" s="3262">
        <v>0.14299999999999999</v>
      </c>
      <c r="D289" s="3262">
        <v>0.14299999999999999</v>
      </c>
      <c r="E289" s="3262">
        <v>0.14799999999999999</v>
      </c>
      <c r="F289" s="3262">
        <v>0.14399999999999999</v>
      </c>
      <c r="G289" s="3263">
        <v>0.14399999999999999</v>
      </c>
    </row>
    <row r="290" spans="1:7">
      <c r="A290" s="3272" t="s">
        <v>302</v>
      </c>
      <c r="B290" s="3261" t="s">
        <v>238</v>
      </c>
      <c r="C290" s="3262">
        <v>0.14799999999999999</v>
      </c>
      <c r="D290" s="3262">
        <v>0.14899999999999999</v>
      </c>
      <c r="E290" s="3262">
        <v>0.15</v>
      </c>
      <c r="F290" s="3262">
        <v>0.127</v>
      </c>
      <c r="G290" s="3263">
        <v>0.15</v>
      </c>
    </row>
    <row r="291" spans="1:7">
      <c r="A291" s="3272" t="s">
        <v>302</v>
      </c>
      <c r="B291" s="3261" t="s">
        <v>246</v>
      </c>
      <c r="C291" s="3262">
        <v>0.15</v>
      </c>
      <c r="D291" s="3262">
        <v>0.15</v>
      </c>
      <c r="E291" s="3262">
        <v>0.15</v>
      </c>
      <c r="F291" s="3262">
        <v>0.14899999999999999</v>
      </c>
      <c r="G291" s="3263">
        <v>0.15</v>
      </c>
    </row>
    <row r="292" spans="1:7">
      <c r="A292" s="3272" t="s">
        <v>302</v>
      </c>
      <c r="B292" s="3261" t="s">
        <v>252</v>
      </c>
      <c r="C292" s="3262">
        <v>0.15</v>
      </c>
      <c r="D292" s="3262">
        <v>0.15</v>
      </c>
      <c r="E292" s="3262">
        <v>0.15</v>
      </c>
      <c r="F292" s="3262">
        <v>0.14399999999999999</v>
      </c>
      <c r="G292" s="3263">
        <v>0.15</v>
      </c>
    </row>
    <row r="293" spans="1:7">
      <c r="A293" s="3272" t="s">
        <v>302</v>
      </c>
      <c r="B293" s="3261" t="s">
        <v>2916</v>
      </c>
      <c r="C293" s="3262">
        <v>0.15</v>
      </c>
      <c r="D293" s="3262">
        <v>0.15</v>
      </c>
      <c r="E293" s="3262">
        <v>0.15</v>
      </c>
      <c r="F293" s="3262">
        <v>0.14499999999999999</v>
      </c>
      <c r="G293" s="3263">
        <v>0.15</v>
      </c>
    </row>
    <row r="294" spans="1:7">
      <c r="A294" s="3272" t="s">
        <v>302</v>
      </c>
      <c r="B294" s="3261" t="s">
        <v>2918</v>
      </c>
      <c r="C294" s="3262">
        <v>0.15</v>
      </c>
      <c r="D294" s="3262">
        <v>0.15</v>
      </c>
      <c r="E294" s="3262">
        <v>0.15</v>
      </c>
      <c r="F294" s="3262">
        <v>0.14899999999999999</v>
      </c>
      <c r="G294" s="3263">
        <v>0.15</v>
      </c>
    </row>
    <row r="295" spans="1:7">
      <c r="A295" s="3272" t="s">
        <v>302</v>
      </c>
      <c r="B295" s="3261" t="s">
        <v>286</v>
      </c>
      <c r="C295" s="3262">
        <v>0.15</v>
      </c>
      <c r="D295" s="3262">
        <v>0.15</v>
      </c>
      <c r="E295" s="3262">
        <v>0.15</v>
      </c>
      <c r="F295" s="3262">
        <v>0.14799999999999999</v>
      </c>
      <c r="G295" s="3263">
        <v>0.15</v>
      </c>
    </row>
    <row r="296" spans="1:7">
      <c r="A296" s="3272" t="s">
        <v>302</v>
      </c>
      <c r="B296" s="3261" t="s">
        <v>289</v>
      </c>
      <c r="C296" s="3262">
        <v>0.15</v>
      </c>
      <c r="D296" s="3262">
        <v>0.15</v>
      </c>
      <c r="E296" s="3262">
        <v>0.15</v>
      </c>
      <c r="F296" s="3262">
        <v>0.14399999999999999</v>
      </c>
      <c r="G296" s="3263">
        <v>0.15</v>
      </c>
    </row>
    <row r="297" spans="1:7">
      <c r="A297" s="3272" t="s">
        <v>302</v>
      </c>
      <c r="B297" s="3261" t="s">
        <v>291</v>
      </c>
      <c r="C297" s="3262">
        <v>0.15</v>
      </c>
      <c r="D297" s="3262">
        <v>0.15</v>
      </c>
      <c r="E297" s="3262">
        <v>0.15</v>
      </c>
      <c r="F297" s="3262">
        <v>0.14499999999999999</v>
      </c>
      <c r="G297" s="3263">
        <v>0.15</v>
      </c>
    </row>
    <row r="298" spans="1:7">
      <c r="A298" s="3272" t="s">
        <v>302</v>
      </c>
      <c r="B298" s="3261" t="s">
        <v>294</v>
      </c>
      <c r="C298" s="3262">
        <v>0.15</v>
      </c>
      <c r="D298" s="3262">
        <v>0.15</v>
      </c>
      <c r="E298" s="3262">
        <v>0.15</v>
      </c>
      <c r="F298" s="3262">
        <v>0.15</v>
      </c>
      <c r="G298" s="3263">
        <v>0.15</v>
      </c>
    </row>
    <row r="299" spans="1:7">
      <c r="A299" s="3272" t="s">
        <v>302</v>
      </c>
      <c r="B299" s="3281" t="s">
        <v>2935</v>
      </c>
      <c r="C299" s="3262">
        <v>0.15</v>
      </c>
      <c r="D299" s="3262">
        <v>0.15</v>
      </c>
      <c r="E299" s="3262">
        <v>0.15</v>
      </c>
      <c r="F299" s="3262">
        <v>0.14499999999999999</v>
      </c>
      <c r="G299" s="3263">
        <v>0.15</v>
      </c>
    </row>
    <row r="300" spans="1:7">
      <c r="A300" s="3272" t="s">
        <v>302</v>
      </c>
      <c r="B300" s="3281" t="s">
        <v>267</v>
      </c>
      <c r="C300" s="3262">
        <v>0.15</v>
      </c>
      <c r="D300" s="3262">
        <v>0.15</v>
      </c>
      <c r="E300" s="3262">
        <v>0.15</v>
      </c>
      <c r="F300" s="3262">
        <v>0.14599999999999999</v>
      </c>
      <c r="G300" s="3263">
        <v>0.15</v>
      </c>
    </row>
    <row r="301" spans="1:7">
      <c r="A301" s="3272" t="s">
        <v>302</v>
      </c>
      <c r="B301" s="3281" t="s">
        <v>272</v>
      </c>
      <c r="C301" s="3262">
        <v>0.126</v>
      </c>
      <c r="D301" s="3262">
        <v>0.124</v>
      </c>
      <c r="E301" s="3262">
        <v>0.14099999999999999</v>
      </c>
      <c r="F301" s="3262">
        <v>0.14399999999999999</v>
      </c>
      <c r="G301" s="3263">
        <v>0.13</v>
      </c>
    </row>
    <row r="302" spans="1:7">
      <c r="A302" s="3272" t="s">
        <v>302</v>
      </c>
      <c r="B302" s="3261" t="s">
        <v>2948</v>
      </c>
      <c r="C302" s="3262">
        <v>0.15</v>
      </c>
      <c r="D302" s="3262">
        <v>0.15</v>
      </c>
      <c r="E302" s="3262">
        <v>0.15</v>
      </c>
      <c r="F302" s="3262">
        <v>0.14699999999999999</v>
      </c>
      <c r="G302" s="3263">
        <v>0.15</v>
      </c>
    </row>
    <row r="303" spans="1:7">
      <c r="A303" s="3272" t="s">
        <v>302</v>
      </c>
      <c r="B303" s="3261" t="s">
        <v>2955</v>
      </c>
      <c r="C303" s="3262">
        <v>0.15</v>
      </c>
      <c r="D303" s="3262">
        <v>0.15</v>
      </c>
      <c r="E303" s="3262">
        <v>0.15</v>
      </c>
      <c r="F303" s="3262">
        <v>0.14199999999999999</v>
      </c>
      <c r="G303" s="3263">
        <v>0.15</v>
      </c>
    </row>
    <row r="304" spans="1:7">
      <c r="A304" s="3272" t="s">
        <v>302</v>
      </c>
      <c r="B304" s="3261" t="s">
        <v>2962</v>
      </c>
      <c r="C304" s="3262">
        <v>0.15</v>
      </c>
      <c r="D304" s="3262">
        <v>0.15</v>
      </c>
      <c r="E304" s="3262">
        <v>0.15</v>
      </c>
      <c r="F304" s="3262">
        <v>0.14499999999999999</v>
      </c>
      <c r="G304" s="3263">
        <v>0.15</v>
      </c>
    </row>
    <row r="305" spans="1:7">
      <c r="A305" s="3272" t="s">
        <v>302</v>
      </c>
      <c r="B305" s="3261" t="s">
        <v>2968</v>
      </c>
      <c r="C305" s="3262">
        <v>0.15</v>
      </c>
      <c r="D305" s="3262">
        <v>0.15</v>
      </c>
      <c r="E305" s="3262">
        <v>0.15</v>
      </c>
      <c r="F305" s="3262">
        <v>0.111</v>
      </c>
      <c r="G305" s="3263">
        <v>0.15</v>
      </c>
    </row>
    <row r="306" spans="1:7">
      <c r="A306" s="3272" t="s">
        <v>302</v>
      </c>
      <c r="B306" s="3261" t="s">
        <v>2975</v>
      </c>
      <c r="C306" s="3262">
        <v>0.15</v>
      </c>
      <c r="D306" s="3262">
        <v>0.15</v>
      </c>
      <c r="E306" s="3262">
        <v>0.15</v>
      </c>
      <c r="F306" s="3262">
        <v>0.126</v>
      </c>
      <c r="G306" s="3263">
        <v>0.15</v>
      </c>
    </row>
    <row r="307" spans="1:7">
      <c r="A307" s="3272" t="s">
        <v>302</v>
      </c>
      <c r="B307" s="3261" t="s">
        <v>2980</v>
      </c>
      <c r="C307" s="3262">
        <v>0.15</v>
      </c>
      <c r="D307" s="3262">
        <v>0.15</v>
      </c>
      <c r="E307" s="3262">
        <v>0.15</v>
      </c>
      <c r="F307" s="3262">
        <v>0.12</v>
      </c>
      <c r="G307" s="3263">
        <v>0.15</v>
      </c>
    </row>
    <row r="308" spans="1:7">
      <c r="A308" s="3272" t="s">
        <v>302</v>
      </c>
      <c r="B308" s="3261" t="s">
        <v>2986</v>
      </c>
      <c r="C308" s="3262">
        <v>0.15</v>
      </c>
      <c r="D308" s="3262">
        <v>0.15</v>
      </c>
      <c r="E308" s="3262">
        <v>0.15</v>
      </c>
      <c r="F308" s="3262">
        <v>0.13</v>
      </c>
      <c r="G308" s="3263">
        <v>0.15</v>
      </c>
    </row>
    <row r="309" spans="1:7">
      <c r="A309" s="3272" t="s">
        <v>302</v>
      </c>
      <c r="B309" s="3261" t="s">
        <v>2990</v>
      </c>
      <c r="C309" s="3262">
        <v>0.15</v>
      </c>
      <c r="D309" s="3262">
        <v>0.15</v>
      </c>
      <c r="E309" s="3262">
        <v>0.15</v>
      </c>
      <c r="F309" s="3262">
        <v>0.14099999999999999</v>
      </c>
      <c r="G309" s="3263">
        <v>0.15</v>
      </c>
    </row>
    <row r="310" spans="1:7">
      <c r="A310" s="3272" t="s">
        <v>302</v>
      </c>
      <c r="B310" s="3261" t="s">
        <v>2995</v>
      </c>
      <c r="C310" s="3262">
        <v>0.15</v>
      </c>
      <c r="D310" s="3262">
        <v>0.15</v>
      </c>
      <c r="E310" s="3262">
        <v>0.15</v>
      </c>
      <c r="F310" s="3262">
        <v>0.15</v>
      </c>
      <c r="G310" s="3263">
        <v>0.15</v>
      </c>
    </row>
    <row r="311" spans="1:7">
      <c r="A311" s="3272" t="s">
        <v>302</v>
      </c>
      <c r="B311" s="3261" t="s">
        <v>3000</v>
      </c>
      <c r="C311" s="3262">
        <v>0.13200000000000001</v>
      </c>
      <c r="D311" s="3262">
        <v>0.13300000000000001</v>
      </c>
      <c r="E311" s="3262">
        <v>0.14499999999999999</v>
      </c>
      <c r="F311" s="3262">
        <v>0.14199999999999999</v>
      </c>
      <c r="G311" s="3263">
        <v>0.14000000000000001</v>
      </c>
    </row>
    <row r="312" spans="1:7">
      <c r="A312" s="3272" t="s">
        <v>302</v>
      </c>
      <c r="B312" s="3261" t="s">
        <v>3005</v>
      </c>
      <c r="C312" s="3262">
        <v>0.13800000000000001</v>
      </c>
      <c r="D312" s="3262">
        <v>0.14000000000000001</v>
      </c>
      <c r="E312" s="3262">
        <v>0.14599999999999999</v>
      </c>
      <c r="F312" s="3262">
        <v>0.14899999999999999</v>
      </c>
      <c r="G312" s="3263">
        <v>0.14199999999999999</v>
      </c>
    </row>
    <row r="313" spans="1:7">
      <c r="A313" s="3272" t="s">
        <v>302</v>
      </c>
      <c r="B313" s="3261" t="s">
        <v>3010</v>
      </c>
      <c r="C313" s="3262">
        <v>0.125</v>
      </c>
      <c r="D313" s="3262">
        <v>0.127</v>
      </c>
      <c r="E313" s="3262">
        <v>0.14399999999999999</v>
      </c>
      <c r="F313" s="3262">
        <v>0.115</v>
      </c>
      <c r="G313" s="3263">
        <v>0.13600000000000001</v>
      </c>
    </row>
    <row r="314" spans="1:7">
      <c r="A314" s="3272" t="s">
        <v>302</v>
      </c>
      <c r="B314" s="3261" t="s">
        <v>3219</v>
      </c>
      <c r="C314" s="3278"/>
      <c r="D314" s="3278"/>
      <c r="E314" s="3278"/>
      <c r="F314" s="3262">
        <v>0.05</v>
      </c>
      <c r="G314" s="3279"/>
    </row>
    <row r="315" spans="1:7">
      <c r="A315" s="3272" t="s">
        <v>302</v>
      </c>
      <c r="B315" s="3261" t="s">
        <v>3220</v>
      </c>
      <c r="C315" s="3278"/>
      <c r="D315" s="3278"/>
      <c r="E315" s="3278"/>
      <c r="F315" s="3262">
        <v>0.05</v>
      </c>
      <c r="G315" s="3279"/>
    </row>
    <row r="316" spans="1:7">
      <c r="A316" s="3272" t="s">
        <v>302</v>
      </c>
      <c r="B316" s="3261" t="s">
        <v>3221</v>
      </c>
      <c r="C316" s="3273"/>
      <c r="D316" s="3273"/>
      <c r="E316" s="3273"/>
      <c r="F316" s="3262">
        <v>0.05</v>
      </c>
      <c r="G316" s="3279"/>
    </row>
    <row r="317" spans="1:7">
      <c r="A317" s="3272" t="s">
        <v>302</v>
      </c>
      <c r="B317" s="3261" t="s">
        <v>3222</v>
      </c>
      <c r="C317" s="3273"/>
      <c r="D317" s="3273"/>
      <c r="E317" s="3273"/>
      <c r="F317" s="3262">
        <v>0.05</v>
      </c>
      <c r="G317" s="3279"/>
    </row>
    <row r="318" spans="1:7">
      <c r="A318" s="3272" t="s">
        <v>302</v>
      </c>
      <c r="B318" s="3261" t="s">
        <v>3223</v>
      </c>
      <c r="C318" s="3273"/>
      <c r="D318" s="3273"/>
      <c r="E318" s="3273"/>
      <c r="F318" s="3262">
        <v>0.05</v>
      </c>
      <c r="G318" s="3279"/>
    </row>
    <row r="319" spans="1:7">
      <c r="A319" s="3272" t="s">
        <v>302</v>
      </c>
      <c r="B319" s="3261" t="s">
        <v>3224</v>
      </c>
      <c r="C319" s="3273"/>
      <c r="D319" s="3273"/>
      <c r="E319" s="3273"/>
      <c r="F319" s="3262">
        <v>0.05</v>
      </c>
      <c r="G319" s="3279"/>
    </row>
    <row r="320" spans="1:7">
      <c r="A320" s="3272" t="s">
        <v>302</v>
      </c>
      <c r="B320" s="3261" t="s">
        <v>3225</v>
      </c>
      <c r="C320" s="3273"/>
      <c r="D320" s="3273"/>
      <c r="E320" s="3273"/>
      <c r="F320" s="3262">
        <v>0.05</v>
      </c>
      <c r="G320" s="3279"/>
    </row>
    <row r="321" spans="1:7">
      <c r="A321" s="3272" t="s">
        <v>302</v>
      </c>
      <c r="B321" s="3261" t="s">
        <v>3226</v>
      </c>
      <c r="C321" s="3273"/>
      <c r="D321" s="3273"/>
      <c r="E321" s="3273"/>
      <c r="F321" s="3262">
        <v>0.05</v>
      </c>
      <c r="G321" s="3279"/>
    </row>
    <row r="322" spans="1:7">
      <c r="A322" s="3272" t="s">
        <v>302</v>
      </c>
      <c r="B322" s="3261" t="s">
        <v>3227</v>
      </c>
      <c r="C322" s="3273"/>
      <c r="D322" s="3273"/>
      <c r="E322" s="3273"/>
      <c r="F322" s="3262">
        <v>0.05</v>
      </c>
      <c r="G322" s="3279"/>
    </row>
    <row r="323" spans="1:7">
      <c r="A323" s="3272" t="s">
        <v>302</v>
      </c>
      <c r="B323" s="3261" t="s">
        <v>3228</v>
      </c>
      <c r="C323" s="3273"/>
      <c r="D323" s="3273"/>
      <c r="E323" s="3273"/>
      <c r="F323" s="3262">
        <v>0.05</v>
      </c>
      <c r="G323" s="3279"/>
    </row>
    <row r="324" spans="1:7">
      <c r="A324" s="3272" t="s">
        <v>302</v>
      </c>
      <c r="B324" s="3261" t="s">
        <v>3229</v>
      </c>
      <c r="C324" s="3273"/>
      <c r="D324" s="3273"/>
      <c r="E324" s="3273"/>
      <c r="F324" s="3262">
        <v>0.05</v>
      </c>
      <c r="G324" s="3279"/>
    </row>
    <row r="325" spans="1:7">
      <c r="A325" s="3272" t="s">
        <v>302</v>
      </c>
      <c r="B325" s="3261" t="s">
        <v>3230</v>
      </c>
      <c r="C325" s="3273"/>
      <c r="D325" s="3273"/>
      <c r="E325" s="3273"/>
      <c r="F325" s="3262">
        <v>0.05</v>
      </c>
      <c r="G325" s="3279"/>
    </row>
    <row r="326" spans="1:7" ht="14.25" thickBot="1">
      <c r="A326" s="3275" t="s">
        <v>302</v>
      </c>
      <c r="B326" s="3265" t="s">
        <v>3231</v>
      </c>
      <c r="C326" s="3267"/>
      <c r="D326" s="3267"/>
      <c r="E326" s="3267"/>
      <c r="F326" s="3266">
        <v>0.05</v>
      </c>
      <c r="G326" s="3280"/>
    </row>
    <row r="327" spans="1:7">
      <c r="A327" s="3271" t="s">
        <v>303</v>
      </c>
      <c r="B327" s="3257" t="s">
        <v>2863</v>
      </c>
      <c r="C327" s="3258">
        <v>0.15</v>
      </c>
      <c r="D327" s="3258">
        <v>0.15</v>
      </c>
      <c r="E327" s="3258">
        <v>0.15</v>
      </c>
      <c r="F327" s="3258">
        <v>0.15</v>
      </c>
      <c r="G327" s="3259">
        <v>0.15</v>
      </c>
    </row>
    <row r="328" spans="1:7">
      <c r="A328" s="3272" t="s">
        <v>303</v>
      </c>
      <c r="B328" s="3261" t="s">
        <v>132</v>
      </c>
      <c r="C328" s="3262">
        <v>0.15</v>
      </c>
      <c r="D328" s="3262">
        <v>0.15</v>
      </c>
      <c r="E328" s="3262">
        <v>0.15</v>
      </c>
      <c r="F328" s="3262">
        <v>0.126</v>
      </c>
      <c r="G328" s="3263">
        <v>0.15</v>
      </c>
    </row>
    <row r="329" spans="1:7">
      <c r="A329" s="3272" t="s">
        <v>303</v>
      </c>
      <c r="B329" s="3261" t="s">
        <v>2875</v>
      </c>
      <c r="C329" s="3262">
        <v>0.15</v>
      </c>
      <c r="D329" s="3262">
        <v>0.15</v>
      </c>
      <c r="E329" s="3262">
        <v>0.15</v>
      </c>
      <c r="F329" s="3262">
        <v>0.15</v>
      </c>
      <c r="G329" s="3263">
        <v>0.15</v>
      </c>
    </row>
    <row r="330" spans="1:7">
      <c r="A330" s="3272" t="s">
        <v>303</v>
      </c>
      <c r="B330" s="3261" t="s">
        <v>2879</v>
      </c>
      <c r="C330" s="3262">
        <v>0.15</v>
      </c>
      <c r="D330" s="3262">
        <v>0.15</v>
      </c>
      <c r="E330" s="3262">
        <v>0.15</v>
      </c>
      <c r="F330" s="3262">
        <v>0.15</v>
      </c>
      <c r="G330" s="3263">
        <v>0.15</v>
      </c>
    </row>
    <row r="331" spans="1:7">
      <c r="A331" s="3272" t="s">
        <v>303</v>
      </c>
      <c r="B331" s="3261" t="s">
        <v>157</v>
      </c>
      <c r="C331" s="3262">
        <v>0.15</v>
      </c>
      <c r="D331" s="3262">
        <v>0.15</v>
      </c>
      <c r="E331" s="3262">
        <v>0.15</v>
      </c>
      <c r="F331" s="3262">
        <v>0.15</v>
      </c>
      <c r="G331" s="3263">
        <v>0.15</v>
      </c>
    </row>
    <row r="332" spans="1:7">
      <c r="A332" s="3272" t="s">
        <v>303</v>
      </c>
      <c r="B332" s="3261" t="s">
        <v>2887</v>
      </c>
      <c r="C332" s="3262">
        <v>0.15</v>
      </c>
      <c r="D332" s="3262">
        <v>0.15</v>
      </c>
      <c r="E332" s="3262">
        <v>0.15</v>
      </c>
      <c r="F332" s="3262">
        <v>0.15</v>
      </c>
      <c r="G332" s="3263">
        <v>0.15</v>
      </c>
    </row>
    <row r="333" spans="1:7">
      <c r="A333" s="3272" t="s">
        <v>303</v>
      </c>
      <c r="B333" s="3261" t="s">
        <v>2891</v>
      </c>
      <c r="C333" s="3262">
        <v>0.14899999999999999</v>
      </c>
      <c r="D333" s="3262">
        <v>0.14899999999999999</v>
      </c>
      <c r="E333" s="3262">
        <v>0.15</v>
      </c>
      <c r="F333" s="3262">
        <v>0.11600000000000001</v>
      </c>
      <c r="G333" s="3263">
        <v>0.15</v>
      </c>
    </row>
    <row r="334" spans="1:7">
      <c r="A334" s="3272" t="s">
        <v>303</v>
      </c>
      <c r="B334" s="3261" t="s">
        <v>179</v>
      </c>
      <c r="C334" s="3262">
        <v>0.15</v>
      </c>
      <c r="D334" s="3262">
        <v>0.15</v>
      </c>
      <c r="E334" s="3262">
        <v>0.15</v>
      </c>
      <c r="F334" s="3262">
        <v>0.13</v>
      </c>
      <c r="G334" s="3263">
        <v>0.15</v>
      </c>
    </row>
    <row r="335" spans="1:7">
      <c r="A335" s="3272" t="s">
        <v>303</v>
      </c>
      <c r="B335" s="3261" t="s">
        <v>189</v>
      </c>
      <c r="C335" s="3262">
        <v>0.15</v>
      </c>
      <c r="D335" s="3262">
        <v>0.15</v>
      </c>
      <c r="E335" s="3262">
        <v>0.15</v>
      </c>
      <c r="F335" s="3262">
        <v>0.14399999999999999</v>
      </c>
      <c r="G335" s="3263">
        <v>0.15</v>
      </c>
    </row>
    <row r="336" spans="1:7">
      <c r="A336" s="3272" t="s">
        <v>303</v>
      </c>
      <c r="B336" s="3261" t="s">
        <v>2897</v>
      </c>
      <c r="C336" s="3262">
        <v>0.15</v>
      </c>
      <c r="D336" s="3262">
        <v>0.15</v>
      </c>
      <c r="E336" s="3262">
        <v>0.15</v>
      </c>
      <c r="F336" s="3262">
        <v>0.14199999999999999</v>
      </c>
      <c r="G336" s="3263">
        <v>0.15</v>
      </c>
    </row>
    <row r="337" spans="1:7">
      <c r="A337" s="3272" t="s">
        <v>303</v>
      </c>
      <c r="B337" s="3261" t="s">
        <v>2902</v>
      </c>
      <c r="C337" s="3262">
        <v>0.15</v>
      </c>
      <c r="D337" s="3262">
        <v>0.15</v>
      </c>
      <c r="E337" s="3262">
        <v>0.15</v>
      </c>
      <c r="F337" s="3262">
        <v>0.14499999999999999</v>
      </c>
      <c r="G337" s="3263">
        <v>0.15</v>
      </c>
    </row>
    <row r="338" spans="1:7">
      <c r="A338" s="3272" t="s">
        <v>303</v>
      </c>
      <c r="B338" s="3261" t="s">
        <v>216</v>
      </c>
      <c r="C338" s="3262">
        <v>0.15</v>
      </c>
      <c r="D338" s="3262">
        <v>0.15</v>
      </c>
      <c r="E338" s="3262">
        <v>0.15</v>
      </c>
      <c r="F338" s="3262">
        <v>0.15</v>
      </c>
      <c r="G338" s="3263">
        <v>0.15</v>
      </c>
    </row>
    <row r="339" spans="1:7">
      <c r="A339" s="3272" t="s">
        <v>303</v>
      </c>
      <c r="B339" s="3261" t="s">
        <v>224</v>
      </c>
      <c r="C339" s="3262">
        <v>0.15</v>
      </c>
      <c r="D339" s="3262">
        <v>0.15</v>
      </c>
      <c r="E339" s="3262">
        <v>0.15</v>
      </c>
      <c r="F339" s="3262">
        <v>0.14699999999999999</v>
      </c>
      <c r="G339" s="3263">
        <v>0.15</v>
      </c>
    </row>
    <row r="340" spans="1:7">
      <c r="A340" s="3272" t="s">
        <v>303</v>
      </c>
      <c r="B340" s="3261" t="s">
        <v>2909</v>
      </c>
      <c r="C340" s="3262">
        <v>0.14599999999999999</v>
      </c>
      <c r="D340" s="3262">
        <v>0.14599999999999999</v>
      </c>
      <c r="E340" s="3262">
        <v>0.15</v>
      </c>
      <c r="F340" s="3262">
        <v>0.14099999999999999</v>
      </c>
      <c r="G340" s="3263">
        <v>0.14699999999999999</v>
      </c>
    </row>
    <row r="341" spans="1:7">
      <c r="A341" s="3272" t="s">
        <v>303</v>
      </c>
      <c r="B341" s="3261" t="s">
        <v>203</v>
      </c>
      <c r="C341" s="3262">
        <v>0.126</v>
      </c>
      <c r="D341" s="3262">
        <v>0.124</v>
      </c>
      <c r="E341" s="3262">
        <v>0.14099999999999999</v>
      </c>
      <c r="F341" s="3262">
        <v>0.14399999999999999</v>
      </c>
      <c r="G341" s="3263">
        <v>0.13</v>
      </c>
    </row>
    <row r="342" spans="1:7">
      <c r="A342" s="3272" t="s">
        <v>303</v>
      </c>
      <c r="B342" s="3261" t="s">
        <v>2914</v>
      </c>
      <c r="C342" s="3262">
        <v>0.15</v>
      </c>
      <c r="D342" s="3262">
        <v>0.15</v>
      </c>
      <c r="E342" s="3262">
        <v>0.15</v>
      </c>
      <c r="F342" s="3262">
        <v>0.14399999999999999</v>
      </c>
      <c r="G342" s="3263">
        <v>0.15</v>
      </c>
    </row>
    <row r="343" spans="1:7">
      <c r="A343" s="3272" t="s">
        <v>303</v>
      </c>
      <c r="B343" s="3261" t="s">
        <v>253</v>
      </c>
      <c r="C343" s="3262">
        <v>0.15</v>
      </c>
      <c r="D343" s="3262">
        <v>0.15</v>
      </c>
      <c r="E343" s="3262">
        <v>0.15</v>
      </c>
      <c r="F343" s="3262">
        <v>0.128</v>
      </c>
      <c r="G343" s="3263">
        <v>0.15</v>
      </c>
    </row>
    <row r="344" spans="1:7">
      <c r="A344" s="3272" t="s">
        <v>303</v>
      </c>
      <c r="B344" s="3261" t="s">
        <v>261</v>
      </c>
      <c r="C344" s="3262">
        <v>0.15</v>
      </c>
      <c r="D344" s="3262">
        <v>0.15</v>
      </c>
      <c r="E344" s="3262">
        <v>0.15</v>
      </c>
      <c r="F344" s="3262">
        <v>0.14799999999999999</v>
      </c>
      <c r="G344" s="3263">
        <v>0.15</v>
      </c>
    </row>
    <row r="345" spans="1:7">
      <c r="A345" s="3272" t="s">
        <v>303</v>
      </c>
      <c r="B345" s="3261" t="s">
        <v>2922</v>
      </c>
      <c r="C345" s="3262">
        <v>0.15</v>
      </c>
      <c r="D345" s="3262">
        <v>0.15</v>
      </c>
      <c r="E345" s="3262">
        <v>0.15</v>
      </c>
      <c r="F345" s="3262">
        <v>0.13800000000000001</v>
      </c>
      <c r="G345" s="3263">
        <v>0.15</v>
      </c>
    </row>
    <row r="346" spans="1:7">
      <c r="A346" s="3272" t="s">
        <v>303</v>
      </c>
      <c r="B346" s="3261" t="s">
        <v>2924</v>
      </c>
      <c r="C346" s="3262">
        <v>0.15</v>
      </c>
      <c r="D346" s="3262">
        <v>0.15</v>
      </c>
      <c r="E346" s="3262">
        <v>0.15</v>
      </c>
      <c r="F346" s="3262">
        <v>0.14399999999999999</v>
      </c>
      <c r="G346" s="3263">
        <v>0.15</v>
      </c>
    </row>
    <row r="347" spans="1:7">
      <c r="A347" s="3272" t="s">
        <v>303</v>
      </c>
      <c r="B347" s="3261" t="s">
        <v>239</v>
      </c>
      <c r="C347" s="3262">
        <v>0.15</v>
      </c>
      <c r="D347" s="3262">
        <v>0.15</v>
      </c>
      <c r="E347" s="3262">
        <v>0.15</v>
      </c>
      <c r="F347" s="3262">
        <v>0.14599999999999999</v>
      </c>
      <c r="G347" s="3263">
        <v>0.15</v>
      </c>
    </row>
    <row r="348" spans="1:7">
      <c r="A348" s="3272" t="s">
        <v>303</v>
      </c>
      <c r="B348" s="3261" t="s">
        <v>2931</v>
      </c>
      <c r="C348" s="3262">
        <v>0.15</v>
      </c>
      <c r="D348" s="3262">
        <v>0.15</v>
      </c>
      <c r="E348" s="3262">
        <v>0.15</v>
      </c>
      <c r="F348" s="3262">
        <v>0.14399999999999999</v>
      </c>
      <c r="G348" s="3263">
        <v>0.15</v>
      </c>
    </row>
    <row r="349" spans="1:7">
      <c r="A349" s="3272" t="s">
        <v>303</v>
      </c>
      <c r="B349" s="3261" t="s">
        <v>2936</v>
      </c>
      <c r="C349" s="3262">
        <v>0.15</v>
      </c>
      <c r="D349" s="3262">
        <v>0.15</v>
      </c>
      <c r="E349" s="3262">
        <v>0.15</v>
      </c>
      <c r="F349" s="3262">
        <v>0.15</v>
      </c>
      <c r="G349" s="3263">
        <v>0.15</v>
      </c>
    </row>
    <row r="350" spans="1:7">
      <c r="A350" s="3272" t="s">
        <v>303</v>
      </c>
      <c r="B350" s="3261" t="s">
        <v>2939</v>
      </c>
      <c r="C350" s="3262">
        <v>0.15</v>
      </c>
      <c r="D350" s="3262">
        <v>0.15</v>
      </c>
      <c r="E350" s="3262">
        <v>0.15</v>
      </c>
      <c r="F350" s="3262">
        <v>0.14699999999999999</v>
      </c>
      <c r="G350" s="3263">
        <v>0.15</v>
      </c>
    </row>
    <row r="351" spans="1:7">
      <c r="A351" s="3272" t="s">
        <v>303</v>
      </c>
      <c r="B351" s="3261" t="s">
        <v>2944</v>
      </c>
      <c r="C351" s="3262">
        <v>0.15</v>
      </c>
      <c r="D351" s="3262">
        <v>0.15</v>
      </c>
      <c r="E351" s="3262">
        <v>0.15</v>
      </c>
      <c r="F351" s="3262">
        <v>0.13</v>
      </c>
      <c r="G351" s="3263">
        <v>0.15</v>
      </c>
    </row>
    <row r="352" spans="1:7">
      <c r="A352" s="3272" t="s">
        <v>303</v>
      </c>
      <c r="B352" s="3261" t="s">
        <v>2949</v>
      </c>
      <c r="C352" s="3262">
        <v>0.15</v>
      </c>
      <c r="D352" s="3262">
        <v>0.15</v>
      </c>
      <c r="E352" s="3262">
        <v>0.15</v>
      </c>
      <c r="F352" s="3262">
        <v>0.14599999999999999</v>
      </c>
      <c r="G352" s="3263">
        <v>0.15</v>
      </c>
    </row>
    <row r="353" spans="1:7">
      <c r="A353" s="3272" t="s">
        <v>303</v>
      </c>
      <c r="B353" s="3261" t="s">
        <v>2956</v>
      </c>
      <c r="C353" s="3262">
        <v>0.15</v>
      </c>
      <c r="D353" s="3262">
        <v>0.15</v>
      </c>
      <c r="E353" s="3262">
        <v>0.15</v>
      </c>
      <c r="F353" s="3262">
        <v>0.14499999999999999</v>
      </c>
      <c r="G353" s="3263">
        <v>0.15</v>
      </c>
    </row>
    <row r="354" spans="1:7">
      <c r="A354" s="3272" t="s">
        <v>303</v>
      </c>
      <c r="B354" s="3261" t="s">
        <v>276</v>
      </c>
      <c r="C354" s="3262">
        <v>0.15</v>
      </c>
      <c r="D354" s="3262">
        <v>0.15</v>
      </c>
      <c r="E354" s="3262">
        <v>0.15</v>
      </c>
      <c r="F354" s="3262">
        <v>0.14099999999999999</v>
      </c>
      <c r="G354" s="3263">
        <v>0.15</v>
      </c>
    </row>
    <row r="355" spans="1:7">
      <c r="A355" s="3272" t="s">
        <v>303</v>
      </c>
      <c r="B355" s="3261" t="s">
        <v>2969</v>
      </c>
      <c r="C355" s="3262">
        <v>0.15</v>
      </c>
      <c r="D355" s="3262">
        <v>0.15</v>
      </c>
      <c r="E355" s="3262">
        <v>0.15</v>
      </c>
      <c r="F355" s="3262">
        <v>0.15</v>
      </c>
      <c r="G355" s="3263">
        <v>0.15</v>
      </c>
    </row>
    <row r="356" spans="1:7">
      <c r="A356" s="3272" t="s">
        <v>303</v>
      </c>
      <c r="B356" s="3261" t="s">
        <v>2976</v>
      </c>
      <c r="C356" s="3262">
        <v>0.15</v>
      </c>
      <c r="D356" s="3262">
        <v>0.15</v>
      </c>
      <c r="E356" s="3262">
        <v>0.15</v>
      </c>
      <c r="F356" s="3262">
        <v>0.15</v>
      </c>
      <c r="G356" s="3263">
        <v>0.15</v>
      </c>
    </row>
    <row r="357" spans="1:7" ht="14.25" thickBot="1">
      <c r="A357" s="3275" t="s">
        <v>303</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149</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196</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210</v>
      </c>
      <c r="C369" s="3262">
        <v>0.15</v>
      </c>
      <c r="D369" s="3262">
        <v>0.15</v>
      </c>
      <c r="E369" s="3262">
        <v>0.15</v>
      </c>
      <c r="F369" s="3262">
        <v>0.14399999999999999</v>
      </c>
      <c r="G369" s="3263">
        <v>0.15</v>
      </c>
    </row>
    <row r="370" spans="1:7">
      <c r="A370" s="3272" t="s">
        <v>2850</v>
      </c>
      <c r="B370" s="3261" t="s">
        <v>217</v>
      </c>
      <c r="C370" s="3262">
        <v>0.15</v>
      </c>
      <c r="D370" s="3262">
        <v>0.15</v>
      </c>
      <c r="E370" s="3262">
        <v>0.15</v>
      </c>
      <c r="F370" s="3262">
        <v>0.14599999999999999</v>
      </c>
      <c r="G370" s="3263">
        <v>0.15</v>
      </c>
    </row>
    <row r="371" spans="1:7">
      <c r="A371" s="3272" t="s">
        <v>2850</v>
      </c>
      <c r="B371" s="3261" t="s">
        <v>225</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254</v>
      </c>
      <c r="C373" s="3262">
        <v>0.15</v>
      </c>
      <c r="D373" s="3262">
        <v>0.15</v>
      </c>
      <c r="E373" s="3262">
        <v>0.15</v>
      </c>
      <c r="F373" s="3262">
        <v>0.14599999999999999</v>
      </c>
      <c r="G373" s="3263">
        <v>0.15</v>
      </c>
    </row>
    <row r="374" spans="1:7">
      <c r="A374" s="3272" t="s">
        <v>2850</v>
      </c>
      <c r="B374" s="3261" t="s">
        <v>262</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273</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87"/>
  </cols>
  <sheetData>
    <row r="1" spans="1:6" ht="15">
      <c r="A1" s="3933" t="s">
        <v>3232</v>
      </c>
      <c r="B1" s="3933"/>
      <c r="C1" s="3933"/>
      <c r="D1" s="3933"/>
      <c r="E1" s="3933"/>
      <c r="F1" s="3934"/>
    </row>
    <row r="2" spans="1:6" ht="15">
      <c r="A2" s="3288" t="s">
        <v>3233</v>
      </c>
      <c r="B2" s="3289"/>
      <c r="C2" s="3289"/>
      <c r="D2" s="3289"/>
      <c r="E2" s="3289"/>
      <c r="F2" s="3289"/>
    </row>
    <row r="3" spans="1:6" ht="15">
      <c r="A3" s="3288" t="s">
        <v>3234</v>
      </c>
      <c r="B3" s="3289"/>
      <c r="C3" s="3289"/>
      <c r="D3" s="3289"/>
      <c r="E3" s="3289"/>
      <c r="F3" s="3290" t="s">
        <v>3235</v>
      </c>
    </row>
    <row r="4" spans="1:6">
      <c r="A4" s="3291" t="s">
        <v>668</v>
      </c>
      <c r="B4" s="3291" t="s">
        <v>669</v>
      </c>
      <c r="C4" s="3291" t="s">
        <v>17</v>
      </c>
      <c r="D4" s="3291" t="s">
        <v>670</v>
      </c>
      <c r="E4" s="3291" t="s">
        <v>3</v>
      </c>
      <c r="F4" s="3291" t="s">
        <v>3236</v>
      </c>
    </row>
    <row r="5" spans="1:6">
      <c r="A5" s="3292" t="s">
        <v>671</v>
      </c>
      <c r="B5" s="3291"/>
      <c r="C5" s="3291"/>
      <c r="D5" s="3291"/>
      <c r="E5" s="3291"/>
      <c r="F5" s="3293"/>
    </row>
    <row r="6" spans="1:6">
      <c r="A6" s="3292" t="s">
        <v>140</v>
      </c>
      <c r="B6" s="3294">
        <v>35380</v>
      </c>
      <c r="C6" s="3294">
        <v>35180</v>
      </c>
      <c r="D6" s="3294">
        <v>35030</v>
      </c>
      <c r="E6" s="3294">
        <v>13780</v>
      </c>
      <c r="F6" s="3294">
        <v>25980</v>
      </c>
    </row>
    <row r="7" spans="1:6">
      <c r="A7" s="3292" t="s">
        <v>180</v>
      </c>
      <c r="B7" s="3294">
        <v>29960</v>
      </c>
      <c r="C7" s="3294">
        <v>29800</v>
      </c>
      <c r="D7" s="3294">
        <v>29690</v>
      </c>
      <c r="E7" s="3294">
        <v>10100</v>
      </c>
      <c r="F7" s="3294">
        <v>21690</v>
      </c>
    </row>
    <row r="8" spans="1:6">
      <c r="A8" s="3292" t="s">
        <v>292</v>
      </c>
      <c r="B8" s="3294">
        <v>24480</v>
      </c>
      <c r="C8" s="3294">
        <v>24380</v>
      </c>
      <c r="D8" s="3294">
        <v>25590</v>
      </c>
      <c r="E8" s="3294">
        <v>7010</v>
      </c>
      <c r="F8" s="3294">
        <v>17060</v>
      </c>
    </row>
    <row r="9" spans="1:6">
      <c r="A9" s="3292" t="s">
        <v>106</v>
      </c>
      <c r="B9" s="3294">
        <v>19370</v>
      </c>
      <c r="C9" s="3294">
        <v>19290</v>
      </c>
      <c r="D9" s="3294">
        <v>21280</v>
      </c>
      <c r="E9" s="3294">
        <v>4910</v>
      </c>
      <c r="F9" s="3294">
        <v>13090</v>
      </c>
    </row>
    <row r="10" spans="1:6">
      <c r="A10" s="3292" t="s">
        <v>299</v>
      </c>
      <c r="B10" s="3294">
        <v>15050</v>
      </c>
      <c r="C10" s="3294">
        <v>14980</v>
      </c>
      <c r="D10" s="3294">
        <v>17300</v>
      </c>
      <c r="E10" s="3294">
        <v>3450</v>
      </c>
      <c r="F10" s="3294">
        <v>9900</v>
      </c>
    </row>
    <row r="11" spans="1:6">
      <c r="A11" s="3292" t="s">
        <v>25</v>
      </c>
      <c r="B11" s="3294">
        <v>11550</v>
      </c>
      <c r="C11" s="3294">
        <v>11490</v>
      </c>
      <c r="D11" s="3294">
        <v>13850</v>
      </c>
      <c r="E11" s="3294">
        <v>2400</v>
      </c>
      <c r="F11" s="3294">
        <v>7390</v>
      </c>
    </row>
    <row r="12" spans="1:6">
      <c r="A12" s="3292" t="s">
        <v>300</v>
      </c>
      <c r="B12" s="3294">
        <v>8630</v>
      </c>
      <c r="C12" s="3294">
        <v>8580</v>
      </c>
      <c r="D12" s="3294">
        <v>10740</v>
      </c>
      <c r="E12" s="3294">
        <v>1720</v>
      </c>
      <c r="F12" s="3294">
        <v>5420</v>
      </c>
    </row>
    <row r="13" spans="1:6">
      <c r="A13" s="3292" t="s">
        <v>301</v>
      </c>
      <c r="B13" s="3294">
        <v>6620</v>
      </c>
      <c r="C13" s="3294">
        <v>6580</v>
      </c>
      <c r="D13" s="3294">
        <v>7830</v>
      </c>
      <c r="E13" s="3294">
        <v>1260</v>
      </c>
      <c r="F13" s="3294">
        <v>4040</v>
      </c>
    </row>
    <row r="14" spans="1:6">
      <c r="A14" s="3292" t="s">
        <v>302</v>
      </c>
      <c r="B14" s="3294">
        <v>4900</v>
      </c>
      <c r="C14" s="3294">
        <v>4860</v>
      </c>
      <c r="D14" s="3294">
        <v>5540</v>
      </c>
      <c r="E14" s="3294">
        <v>950</v>
      </c>
      <c r="F14" s="3294">
        <v>2930</v>
      </c>
    </row>
    <row r="15" spans="1:6">
      <c r="A15" s="3292" t="s">
        <v>303</v>
      </c>
      <c r="B15" s="3294">
        <v>3380</v>
      </c>
      <c r="C15" s="3294">
        <v>3340</v>
      </c>
      <c r="D15" s="3294">
        <v>3630</v>
      </c>
      <c r="E15" s="3294">
        <v>730</v>
      </c>
      <c r="F15" s="3294">
        <v>1990</v>
      </c>
    </row>
    <row r="16" spans="1:6">
      <c r="A16" s="3292" t="s">
        <v>365</v>
      </c>
      <c r="B16" s="3294">
        <v>2230</v>
      </c>
      <c r="C16" s="3294">
        <v>2200</v>
      </c>
      <c r="D16" s="3294">
        <v>2180</v>
      </c>
      <c r="E16" s="3294">
        <v>570</v>
      </c>
      <c r="F16" s="3294">
        <v>1330</v>
      </c>
    </row>
    <row r="17" spans="1:6">
      <c r="A17" s="3292" t="s">
        <v>366</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218">
        <f>基准地价修正!G23</f>
        <v>44977</v>
      </c>
      <c r="B1" s="3207" t="s">
        <v>2838</v>
      </c>
      <c r="C1" s="3208"/>
      <c r="D1" s="3208"/>
      <c r="E1" s="3208"/>
      <c r="F1" s="3208"/>
      <c r="G1" s="3208"/>
      <c r="H1" s="3208"/>
      <c r="I1" s="3208"/>
      <c r="J1" s="3162"/>
      <c r="K1" s="3208" t="s">
        <v>450</v>
      </c>
      <c r="L1" s="3208"/>
      <c r="M1" s="3208"/>
      <c r="N1" s="3208"/>
      <c r="O1" s="3208"/>
      <c r="P1" s="3208"/>
      <c r="Q1" s="3162"/>
      <c r="R1" s="3935" t="s">
        <v>452</v>
      </c>
      <c r="S1" s="3936"/>
      <c r="T1" s="3936"/>
      <c r="U1" s="3936"/>
      <c r="V1" s="3936"/>
      <c r="W1" s="3936"/>
      <c r="X1" s="3162"/>
      <c r="Y1" s="3935" t="s">
        <v>453</v>
      </c>
      <c r="Z1" s="3936"/>
      <c r="AA1" s="3936"/>
      <c r="AB1" s="3936"/>
      <c r="AC1" s="3936"/>
      <c r="AD1" s="3936"/>
    </row>
    <row r="2" spans="1:30" s="3140" customFormat="1" ht="14.25" thickBot="1">
      <c r="B2" s="3141"/>
      <c r="C2" s="3142"/>
      <c r="D2" s="3143" t="s">
        <v>2806</v>
      </c>
      <c r="E2" s="3144" t="s">
        <v>2807</v>
      </c>
      <c r="F2" s="3144" t="s">
        <v>2808</v>
      </c>
      <c r="G2" s="3144" t="s">
        <v>2809</v>
      </c>
      <c r="H2" s="3144" t="s">
        <v>2810</v>
      </c>
      <c r="I2" s="3144" t="s">
        <v>2627</v>
      </c>
      <c r="J2" s="3145"/>
      <c r="K2" s="3143" t="s">
        <v>2806</v>
      </c>
      <c r="L2" s="3144" t="s">
        <v>2807</v>
      </c>
      <c r="M2" s="3144" t="s">
        <v>2808</v>
      </c>
      <c r="N2" s="3144" t="s">
        <v>2809</v>
      </c>
      <c r="O2" s="3144" t="s">
        <v>2811</v>
      </c>
      <c r="P2" s="3144" t="s">
        <v>2627</v>
      </c>
      <c r="Q2" s="3145"/>
      <c r="R2" s="3143" t="s">
        <v>2806</v>
      </c>
      <c r="S2" s="3144" t="s">
        <v>2807</v>
      </c>
      <c r="T2" s="3144" t="s">
        <v>2808</v>
      </c>
      <c r="U2" s="3144" t="s">
        <v>2812</v>
      </c>
      <c r="V2" s="3144" t="s">
        <v>2813</v>
      </c>
      <c r="W2" s="3144" t="s">
        <v>2627</v>
      </c>
      <c r="X2" s="3145"/>
      <c r="Y2" s="3143" t="s">
        <v>2806</v>
      </c>
      <c r="Z2" s="3144" t="s">
        <v>2807</v>
      </c>
      <c r="AA2" s="3144" t="s">
        <v>2808</v>
      </c>
      <c r="AB2" s="3144" t="s">
        <v>2814</v>
      </c>
      <c r="AC2" s="3144" t="s">
        <v>2813</v>
      </c>
      <c r="AD2" s="3144" t="s">
        <v>2627</v>
      </c>
    </row>
    <row r="3" spans="1:30" s="3158" customFormat="1" ht="12.75">
      <c r="A3" s="3146" t="s">
        <v>2815</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3370</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3371</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3369</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2816</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2817</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3364</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3355</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2818</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2819</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2820</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2821</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2822</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3367</v>
      </c>
    </row>
    <row r="19" spans="1:30" s="3006" customFormat="1">
      <c r="I19" s="3205" t="s">
        <v>2823</v>
      </c>
    </row>
    <row r="20" spans="1:30" s="3006" customFormat="1"/>
    <row r="21" spans="1:30" s="3206" customFormat="1" ht="12.75">
      <c r="B21" s="3207" t="s">
        <v>2824</v>
      </c>
      <c r="C21" s="3208"/>
      <c r="D21" s="3208"/>
      <c r="E21" s="3208"/>
      <c r="F21" s="3208"/>
      <c r="G21" s="3208"/>
      <c r="H21" s="3208"/>
      <c r="I21" s="3208"/>
      <c r="J21" s="3162"/>
      <c r="K21" s="3208" t="s">
        <v>2825</v>
      </c>
      <c r="L21" s="3208"/>
      <c r="M21" s="3208"/>
      <c r="N21" s="3208"/>
      <c r="O21" s="3208"/>
      <c r="P21" s="3208"/>
      <c r="Q21" s="3162"/>
      <c r="R21" s="3935" t="s">
        <v>2826</v>
      </c>
      <c r="S21" s="3936"/>
      <c r="T21" s="3936"/>
      <c r="U21" s="3936"/>
      <c r="V21" s="3936"/>
      <c r="W21" s="3936"/>
      <c r="X21" s="3162"/>
      <c r="Y21" s="3935" t="s">
        <v>2827</v>
      </c>
      <c r="Z21" s="3936"/>
      <c r="AA21" s="3936"/>
      <c r="AB21" s="3936"/>
      <c r="AC21" s="3936"/>
      <c r="AD21" s="3936"/>
    </row>
    <row r="22" spans="1:30" s="3140" customFormat="1" ht="14.25" thickBot="1">
      <c r="B22" s="3141"/>
      <c r="C22" s="3142"/>
      <c r="D22" s="3143" t="s">
        <v>2828</v>
      </c>
      <c r="E22" s="3144" t="s">
        <v>2829</v>
      </c>
      <c r="F22" s="3144" t="s">
        <v>2830</v>
      </c>
      <c r="G22" s="3144" t="s">
        <v>2831</v>
      </c>
      <c r="H22" s="3144"/>
      <c r="I22" s="3144" t="s">
        <v>2832</v>
      </c>
      <c r="J22" s="3145"/>
      <c r="K22" s="3143" t="s">
        <v>2828</v>
      </c>
      <c r="L22" s="3144" t="s">
        <v>2829</v>
      </c>
      <c r="M22" s="3144" t="s">
        <v>2830</v>
      </c>
      <c r="N22" s="3144" t="s">
        <v>2831</v>
      </c>
      <c r="O22" s="3144"/>
      <c r="P22" s="3144" t="s">
        <v>2832</v>
      </c>
      <c r="Q22" s="3145"/>
      <c r="R22" s="3143" t="s">
        <v>2828</v>
      </c>
      <c r="S22" s="3144" t="s">
        <v>2829</v>
      </c>
      <c r="T22" s="3144" t="s">
        <v>2830</v>
      </c>
      <c r="U22" s="3144" t="s">
        <v>2831</v>
      </c>
      <c r="V22" s="3144"/>
      <c r="W22" s="3144" t="s">
        <v>2832</v>
      </c>
      <c r="X22" s="3145"/>
      <c r="Y22" s="3143" t="s">
        <v>2828</v>
      </c>
      <c r="Z22" s="3144" t="s">
        <v>2829</v>
      </c>
      <c r="AA22" s="3144" t="s">
        <v>2830</v>
      </c>
      <c r="AB22" s="3144" t="s">
        <v>2831</v>
      </c>
      <c r="AC22" s="3144"/>
      <c r="AD22" s="3144" t="s">
        <v>2832</v>
      </c>
    </row>
    <row r="23" spans="1:30" s="3158" customFormat="1" ht="12.75">
      <c r="A23" s="3146" t="s">
        <v>2833</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3370</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3371</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3369</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2816</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3365</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3366</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3355</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2834</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2835</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2836</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2837</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2822</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942" t="s">
        <v>448</v>
      </c>
      <c r="C1" s="3942"/>
      <c r="D1" s="3942"/>
      <c r="E1" s="3942"/>
      <c r="F1" s="3942"/>
      <c r="G1" s="3938" t="s">
        <v>449</v>
      </c>
      <c r="H1" s="3938"/>
      <c r="I1" s="3938"/>
      <c r="J1" s="3938"/>
      <c r="K1" s="3938"/>
      <c r="L1" s="3938"/>
      <c r="N1" s="3938" t="s">
        <v>450</v>
      </c>
      <c r="O1" s="3938"/>
      <c r="P1" s="3938"/>
      <c r="Q1" s="3938"/>
      <c r="S1" s="3938" t="s">
        <v>451</v>
      </c>
      <c r="T1" s="3938"/>
      <c r="U1" s="3938"/>
      <c r="V1" s="3938"/>
      <c r="X1" s="3937" t="s">
        <v>452</v>
      </c>
      <c r="Y1" s="3938"/>
      <c r="Z1" s="3938"/>
      <c r="AA1" s="3938"/>
      <c r="AB1" s="3938"/>
      <c r="AD1" s="3937" t="s">
        <v>453</v>
      </c>
      <c r="AE1" s="3938"/>
      <c r="AF1" s="3938"/>
      <c r="AG1" s="3938"/>
      <c r="AH1" s="3938"/>
    </row>
    <row r="2" spans="1:34" s="2170" customFormat="1" ht="14.25" thickBot="1">
      <c r="B2" s="2171" t="s">
        <v>454</v>
      </c>
      <c r="C2" s="2171" t="s">
        <v>455</v>
      </c>
      <c r="D2" s="2172" t="s">
        <v>456</v>
      </c>
      <c r="E2" s="2172" t="s">
        <v>457</v>
      </c>
      <c r="F2" s="2171" t="s">
        <v>458</v>
      </c>
      <c r="G2" s="2173"/>
      <c r="I2" s="2171" t="s">
        <v>454</v>
      </c>
      <c r="J2" s="2172" t="s">
        <v>672</v>
      </c>
      <c r="K2" s="2172" t="s">
        <v>304</v>
      </c>
      <c r="L2" s="2171" t="s">
        <v>458</v>
      </c>
      <c r="N2" s="2171" t="s">
        <v>454</v>
      </c>
      <c r="O2" s="2172" t="s">
        <v>672</v>
      </c>
      <c r="P2" s="2172" t="s">
        <v>304</v>
      </c>
      <c r="Q2" s="2171" t="s">
        <v>458</v>
      </c>
      <c r="S2" s="2171" t="s">
        <v>454</v>
      </c>
      <c r="T2" s="2172" t="s">
        <v>672</v>
      </c>
      <c r="U2" s="2172" t="s">
        <v>304</v>
      </c>
      <c r="V2" s="2171" t="s">
        <v>458</v>
      </c>
      <c r="X2" s="2171" t="s">
        <v>454</v>
      </c>
      <c r="Y2" s="2171" t="s">
        <v>455</v>
      </c>
      <c r="Z2" s="2172" t="s">
        <v>456</v>
      </c>
      <c r="AA2" s="2172" t="s">
        <v>457</v>
      </c>
      <c r="AB2" s="2171" t="s">
        <v>458</v>
      </c>
      <c r="AD2" s="2171" t="s">
        <v>454</v>
      </c>
      <c r="AE2" s="2171" t="s">
        <v>455</v>
      </c>
      <c r="AF2" s="2172" t="s">
        <v>456</v>
      </c>
      <c r="AG2" s="2172" t="s">
        <v>457</v>
      </c>
      <c r="AH2" s="2171" t="s">
        <v>458</v>
      </c>
    </row>
    <row r="3" spans="1:34" s="2180" customFormat="1" ht="14.25">
      <c r="A3" s="2174" t="s">
        <v>2106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2107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2432</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2309</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2308</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2307</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2119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2118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2116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2115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2117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94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94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94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2105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94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2103</v>
      </c>
      <c r="B25" s="2218">
        <v>439</v>
      </c>
      <c r="C25" s="2218">
        <v>327</v>
      </c>
      <c r="D25" s="2218">
        <f>C25</f>
        <v>327</v>
      </c>
      <c r="E25" s="2218">
        <v>627</v>
      </c>
      <c r="F25" s="2219">
        <v>283</v>
      </c>
      <c r="G25" s="394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94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673</v>
      </c>
      <c r="B27" s="2204">
        <f t="shared" si="232"/>
        <v>419.31181600000002</v>
      </c>
      <c r="C27" s="2204">
        <f t="shared" si="233"/>
        <v>313.95436800000004</v>
      </c>
      <c r="D27" s="2204">
        <f t="shared" si="234"/>
        <v>313.95436800000004</v>
      </c>
      <c r="E27" s="2204">
        <f t="shared" si="235"/>
        <v>596.63028431999999</v>
      </c>
      <c r="F27" s="2204">
        <f t="shared" si="236"/>
        <v>274.74220703999998</v>
      </c>
      <c r="G27" s="394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459</v>
      </c>
      <c r="B28" s="2204">
        <f>B29*(1+N28)</f>
        <v>405.524</v>
      </c>
      <c r="C28" s="2204">
        <f>C29*(1+O28)</f>
        <v>307.79840000000002</v>
      </c>
      <c r="D28" s="2204">
        <f>C28</f>
        <v>307.79840000000002</v>
      </c>
      <c r="E28" s="2204">
        <f>E29*(1+P28)</f>
        <v>574.67759999999998</v>
      </c>
      <c r="F28" s="2204">
        <f>F29*(1+Q28)</f>
        <v>270.20280000000002</v>
      </c>
      <c r="G28" s="394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123</v>
      </c>
      <c r="B29" s="2218">
        <v>392</v>
      </c>
      <c r="C29" s="2218">
        <v>302</v>
      </c>
      <c r="D29" s="2218">
        <f>C29</f>
        <v>302</v>
      </c>
      <c r="E29" s="2218">
        <v>553</v>
      </c>
      <c r="F29" s="2219">
        <v>266</v>
      </c>
      <c r="G29" s="394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122</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94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112</v>
      </c>
      <c r="B31" s="2204">
        <f t="shared" si="245"/>
        <v>360.06949782209392</v>
      </c>
      <c r="C31" s="2204">
        <f t="shared" si="245"/>
        <v>289.84672674747821</v>
      </c>
      <c r="D31" s="2204">
        <f t="shared" si="246"/>
        <v>289.84672674747821</v>
      </c>
      <c r="E31" s="2204">
        <f t="shared" si="247"/>
        <v>501.06543001181495</v>
      </c>
      <c r="F31" s="2204">
        <f t="shared" si="247"/>
        <v>256.82882500744967</v>
      </c>
      <c r="G31" s="394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121</v>
      </c>
      <c r="B32" s="2204">
        <f t="shared" si="245"/>
        <v>346.720748986128</v>
      </c>
      <c r="C32" s="2204">
        <f t="shared" si="245"/>
        <v>284.30282172386285</v>
      </c>
      <c r="D32" s="2204">
        <f t="shared" si="246"/>
        <v>284.30282172386285</v>
      </c>
      <c r="E32" s="2204">
        <f t="shared" si="247"/>
        <v>479.58023546306947</v>
      </c>
      <c r="F32" s="2204">
        <f t="shared" si="247"/>
        <v>253.25788877571213</v>
      </c>
      <c r="G32" s="394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120</v>
      </c>
      <c r="B33" s="2218">
        <v>333</v>
      </c>
      <c r="C33" s="2218">
        <v>277</v>
      </c>
      <c r="D33" s="2218">
        <f t="shared" si="246"/>
        <v>277</v>
      </c>
      <c r="E33" s="2218">
        <v>459</v>
      </c>
      <c r="F33" s="2219">
        <v>249</v>
      </c>
      <c r="G33" s="393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119</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94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118</v>
      </c>
      <c r="B35" s="2204">
        <f t="shared" si="249"/>
        <v>322.34053690220776</v>
      </c>
      <c r="C35" s="2204">
        <f t="shared" si="249"/>
        <v>271.46160770422546</v>
      </c>
      <c r="D35" s="2204">
        <f t="shared" si="246"/>
        <v>271.46160770422546</v>
      </c>
      <c r="E35" s="2204">
        <f t="shared" si="250"/>
        <v>442.69434542172456</v>
      </c>
      <c r="F35" s="2204">
        <f t="shared" si="250"/>
        <v>241.34030753190925</v>
      </c>
      <c r="G35" s="394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117</v>
      </c>
      <c r="B36" s="2204">
        <f t="shared" si="249"/>
        <v>319.87748030386797</v>
      </c>
      <c r="C36" s="2204">
        <f t="shared" si="249"/>
        <v>269.60135833173649</v>
      </c>
      <c r="D36" s="2204">
        <f t="shared" si="246"/>
        <v>269.60135833173649</v>
      </c>
      <c r="E36" s="2204">
        <f t="shared" si="250"/>
        <v>439.18089823583784</v>
      </c>
      <c r="F36" s="2204">
        <f t="shared" si="250"/>
        <v>239.23503918706311</v>
      </c>
      <c r="G36" s="394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116</v>
      </c>
      <c r="B37" s="2232">
        <v>318</v>
      </c>
      <c r="C37" s="2232">
        <v>268</v>
      </c>
      <c r="D37" s="2232">
        <f t="shared" si="246"/>
        <v>268</v>
      </c>
      <c r="E37" s="2232">
        <v>437</v>
      </c>
      <c r="F37" s="2233">
        <v>237</v>
      </c>
      <c r="G37" s="393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115</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94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114</v>
      </c>
      <c r="B39" s="2204">
        <f t="shared" si="251"/>
        <v>314.72141172386546</v>
      </c>
      <c r="C39" s="2204">
        <f t="shared" si="251"/>
        <v>263.03901319069001</v>
      </c>
      <c r="D39" s="2204">
        <f t="shared" si="246"/>
        <v>263.03901319069001</v>
      </c>
      <c r="E39" s="2204">
        <f t="shared" si="252"/>
        <v>433.65745506782821</v>
      </c>
      <c r="F39" s="2204">
        <f t="shared" si="252"/>
        <v>233.23005080045735</v>
      </c>
      <c r="G39" s="394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113</v>
      </c>
      <c r="B40" s="2237">
        <f t="shared" si="251"/>
        <v>307.34512863658733</v>
      </c>
      <c r="C40" s="2237">
        <f t="shared" si="251"/>
        <v>257.80556031626975</v>
      </c>
      <c r="D40" s="2237">
        <f t="shared" si="246"/>
        <v>257.80556031626975</v>
      </c>
      <c r="E40" s="2237">
        <f t="shared" si="252"/>
        <v>422.70928459677179</v>
      </c>
      <c r="F40" s="2237">
        <f t="shared" si="252"/>
        <v>229.73803270336617</v>
      </c>
      <c r="G40" s="394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460</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461</v>
      </c>
      <c r="B41" s="2218">
        <v>299</v>
      </c>
      <c r="C41" s="2218">
        <v>252</v>
      </c>
      <c r="D41" s="2218">
        <f t="shared" si="246"/>
        <v>252</v>
      </c>
      <c r="E41" s="2218">
        <v>409</v>
      </c>
      <c r="F41" s="2219">
        <v>227</v>
      </c>
      <c r="G41" s="394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462</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94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463</v>
      </c>
      <c r="B43" s="2204">
        <f t="shared" si="255"/>
        <v>288.2649053828776</v>
      </c>
      <c r="C43" s="2204">
        <f t="shared" si="255"/>
        <v>243.64564425013293</v>
      </c>
      <c r="D43" s="2204">
        <f t="shared" si="246"/>
        <v>243.64564425013293</v>
      </c>
      <c r="E43" s="2204">
        <f t="shared" si="256"/>
        <v>393.31080825986544</v>
      </c>
      <c r="F43" s="2204">
        <f t="shared" si="256"/>
        <v>223.07903790551154</v>
      </c>
      <c r="G43" s="394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464</v>
      </c>
      <c r="B44" s="2204">
        <f t="shared" si="255"/>
        <v>282.50186729015837</v>
      </c>
      <c r="C44" s="2204">
        <f t="shared" si="255"/>
        <v>238.09796174155468</v>
      </c>
      <c r="D44" s="2204">
        <f t="shared" si="246"/>
        <v>238.09796174155468</v>
      </c>
      <c r="E44" s="2204">
        <f t="shared" si="256"/>
        <v>385.33438646014054</v>
      </c>
      <c r="F44" s="2204">
        <f t="shared" si="256"/>
        <v>221.55034055567739</v>
      </c>
      <c r="G44" s="394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465</v>
      </c>
      <c r="B45" s="2253">
        <v>278</v>
      </c>
      <c r="C45" s="2253">
        <v>234</v>
      </c>
      <c r="D45" s="2253">
        <f t="shared" si="246"/>
        <v>234</v>
      </c>
      <c r="E45" s="2253">
        <v>379</v>
      </c>
      <c r="F45" s="2254">
        <v>220</v>
      </c>
      <c r="G45" s="393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466</v>
      </c>
      <c r="B46" s="2204">
        <f>B45/(1+N45)</f>
        <v>275.49301357645425</v>
      </c>
      <c r="C46" s="2204">
        <f>C45/(1+O45)</f>
        <v>232.41954707985698</v>
      </c>
      <c r="D46" s="2204">
        <f t="shared" si="246"/>
        <v>232.41954707985698</v>
      </c>
      <c r="E46" s="2204">
        <f t="shared" ref="E46:F48" si="257">E45/(1+P45)</f>
        <v>375.32184591008121</v>
      </c>
      <c r="F46" s="2204">
        <f t="shared" si="257"/>
        <v>218.03766105054513</v>
      </c>
      <c r="G46" s="394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467</v>
      </c>
      <c r="B47" s="2204">
        <f>B46/(1+N46)</f>
        <v>275.24529281292263</v>
      </c>
      <c r="C47" s="2204">
        <f>C46/(1+O46)</f>
        <v>231.74747938962707</v>
      </c>
      <c r="D47" s="2204">
        <f t="shared" si="246"/>
        <v>231.74747938962707</v>
      </c>
      <c r="E47" s="2204">
        <f t="shared" si="257"/>
        <v>375.35938184826603</v>
      </c>
      <c r="F47" s="2204">
        <f t="shared" si="257"/>
        <v>216.78033510692495</v>
      </c>
      <c r="G47" s="394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468</v>
      </c>
      <c r="B48" s="2204">
        <f>B47/(1+N47)</f>
        <v>275.19025476197027</v>
      </c>
      <c r="C48" s="2255">
        <v>232</v>
      </c>
      <c r="D48" s="2255">
        <f t="shared" si="246"/>
        <v>232</v>
      </c>
      <c r="E48" s="2204">
        <f t="shared" si="257"/>
        <v>375.65990977608692</v>
      </c>
      <c r="F48" s="2204">
        <f t="shared" si="257"/>
        <v>214.12518283971252</v>
      </c>
      <c r="G48" s="394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469</v>
      </c>
      <c r="B49" s="2218">
        <v>275</v>
      </c>
      <c r="C49" s="2218">
        <v>232</v>
      </c>
      <c r="D49" s="2218">
        <f t="shared" si="246"/>
        <v>232</v>
      </c>
      <c r="E49" s="2218">
        <v>376</v>
      </c>
      <c r="F49" s="2219">
        <v>213</v>
      </c>
      <c r="G49" s="393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470</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94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471</v>
      </c>
      <c r="B51" s="2204">
        <f t="shared" si="258"/>
        <v>275.19335084830601</v>
      </c>
      <c r="C51" s="2204">
        <f t="shared" si="258"/>
        <v>230.18088050139744</v>
      </c>
      <c r="D51" s="2204">
        <f t="shared" si="246"/>
        <v>230.18088050139744</v>
      </c>
      <c r="E51" s="2204">
        <f t="shared" si="259"/>
        <v>377.58482925212331</v>
      </c>
      <c r="F51" s="2204">
        <f t="shared" si="259"/>
        <v>210.90687997847917</v>
      </c>
      <c r="G51" s="394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472</v>
      </c>
      <c r="B52" s="2204">
        <f t="shared" si="258"/>
        <v>276.29854502841971</v>
      </c>
      <c r="C52" s="2204">
        <f t="shared" si="258"/>
        <v>229.79023709833027</v>
      </c>
      <c r="D52" s="2204">
        <f t="shared" si="246"/>
        <v>229.79023709833027</v>
      </c>
      <c r="E52" s="2204">
        <f t="shared" si="259"/>
        <v>379.78759731655936</v>
      </c>
      <c r="F52" s="2204">
        <f t="shared" si="259"/>
        <v>211.32953905659235</v>
      </c>
      <c r="G52" s="394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473</v>
      </c>
      <c r="B53" s="2218">
        <v>269</v>
      </c>
      <c r="C53" s="2218">
        <v>221</v>
      </c>
      <c r="D53" s="2218">
        <f t="shared" si="246"/>
        <v>221</v>
      </c>
      <c r="E53" s="2218">
        <v>373</v>
      </c>
      <c r="F53" s="2219">
        <v>196</v>
      </c>
      <c r="G53" s="393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474</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94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475</v>
      </c>
      <c r="B55" s="2204">
        <f t="shared" si="260"/>
        <v>242.95398227588385</v>
      </c>
      <c r="C55" s="2204">
        <f t="shared" si="260"/>
        <v>199.59137053614126</v>
      </c>
      <c r="D55" s="2204">
        <f t="shared" si="246"/>
        <v>199.59137053614126</v>
      </c>
      <c r="E55" s="2204">
        <f t="shared" si="261"/>
        <v>335.92189522342125</v>
      </c>
      <c r="F55" s="2204">
        <f t="shared" si="261"/>
        <v>183.10139991109489</v>
      </c>
      <c r="G55" s="394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476</v>
      </c>
      <c r="B56" s="2204">
        <f t="shared" si="260"/>
        <v>232.06990378821649</v>
      </c>
      <c r="C56" s="2204">
        <f t="shared" si="260"/>
        <v>192.74878854286936</v>
      </c>
      <c r="D56" s="2204">
        <f t="shared" si="246"/>
        <v>192.74878854286936</v>
      </c>
      <c r="E56" s="2204">
        <f t="shared" si="261"/>
        <v>319.71247284992984</v>
      </c>
      <c r="F56" s="2204">
        <f t="shared" si="261"/>
        <v>175.67053622862409</v>
      </c>
      <c r="G56" s="394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477</v>
      </c>
      <c r="B57" s="2218">
        <v>220</v>
      </c>
      <c r="C57" s="2218">
        <v>187</v>
      </c>
      <c r="D57" s="2218">
        <f t="shared" si="246"/>
        <v>187</v>
      </c>
      <c r="E57" s="2218">
        <v>301</v>
      </c>
      <c r="F57" s="2219">
        <v>168</v>
      </c>
      <c r="G57" s="393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478</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94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479</v>
      </c>
      <c r="B59" s="2204">
        <f t="shared" si="262"/>
        <v>210.630522469011</v>
      </c>
      <c r="C59" s="2204">
        <f t="shared" si="262"/>
        <v>181.69567812247232</v>
      </c>
      <c r="D59" s="2204">
        <f t="shared" si="246"/>
        <v>181.69567812247232</v>
      </c>
      <c r="E59" s="2204">
        <f t="shared" si="263"/>
        <v>286.13517466736738</v>
      </c>
      <c r="F59" s="2204">
        <f t="shared" si="263"/>
        <v>165.47535084591149</v>
      </c>
      <c r="G59" s="394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480</v>
      </c>
      <c r="B60" s="2204">
        <f t="shared" si="262"/>
        <v>208.83454537875372</v>
      </c>
      <c r="C60" s="2204">
        <f t="shared" si="262"/>
        <v>183.77230517090351</v>
      </c>
      <c r="D60" s="2204">
        <f t="shared" si="246"/>
        <v>183.77230517090351</v>
      </c>
      <c r="E60" s="2204">
        <f t="shared" si="263"/>
        <v>281.10342338870947</v>
      </c>
      <c r="F60" s="2204">
        <f t="shared" si="263"/>
        <v>168.97309388942256</v>
      </c>
      <c r="G60" s="394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481</v>
      </c>
      <c r="B61" s="2253">
        <v>214</v>
      </c>
      <c r="C61" s="2253">
        <v>188</v>
      </c>
      <c r="D61" s="2253">
        <f t="shared" si="246"/>
        <v>188</v>
      </c>
      <c r="E61" s="2253">
        <v>289</v>
      </c>
      <c r="F61" s="2254">
        <v>166</v>
      </c>
      <c r="G61" s="393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482</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94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483</v>
      </c>
      <c r="B63" s="2204">
        <f t="shared" si="264"/>
        <v>206.31694671589116</v>
      </c>
      <c r="C63" s="2204">
        <f t="shared" si="264"/>
        <v>183.61041121036101</v>
      </c>
      <c r="D63" s="2204">
        <f t="shared" si="246"/>
        <v>183.61041121036101</v>
      </c>
      <c r="E63" s="2204">
        <f t="shared" si="265"/>
        <v>276.66850301795557</v>
      </c>
      <c r="F63" s="2204">
        <f t="shared" si="265"/>
        <v>165.1360938278614</v>
      </c>
      <c r="G63" s="394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484</v>
      </c>
      <c r="B64" s="2256">
        <f t="shared" si="264"/>
        <v>196.62341248059772</v>
      </c>
      <c r="C64" s="2256">
        <f t="shared" si="264"/>
        <v>170.99125648199012</v>
      </c>
      <c r="D64" s="2256">
        <f t="shared" si="246"/>
        <v>170.99125648199012</v>
      </c>
      <c r="E64" s="2256">
        <f t="shared" si="265"/>
        <v>266.07857570490052</v>
      </c>
      <c r="F64" s="2256">
        <f t="shared" si="265"/>
        <v>154.53499328828505</v>
      </c>
      <c r="G64" s="394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485</v>
      </c>
      <c r="B65" s="2218">
        <v>188</v>
      </c>
      <c r="C65" s="2218">
        <v>165</v>
      </c>
      <c r="D65" s="2218">
        <f t="shared" si="246"/>
        <v>165</v>
      </c>
      <c r="E65" s="2218">
        <v>254</v>
      </c>
      <c r="F65" s="2219">
        <v>148</v>
      </c>
      <c r="G65" s="393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486</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94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487</v>
      </c>
      <c r="B67" s="2204">
        <f t="shared" si="268"/>
        <v>168.82017748715555</v>
      </c>
      <c r="C67" s="2204">
        <f t="shared" si="268"/>
        <v>148.06267029972753</v>
      </c>
      <c r="D67" s="2204">
        <f t="shared" si="246"/>
        <v>148.06267029972753</v>
      </c>
      <c r="E67" s="2204">
        <f t="shared" si="269"/>
        <v>216.46288379323747</v>
      </c>
      <c r="F67" s="2204">
        <f t="shared" si="269"/>
        <v>134.23529411764704</v>
      </c>
      <c r="G67" s="394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488</v>
      </c>
      <c r="B68" s="2204">
        <f t="shared" si="268"/>
        <v>163.84913591779542</v>
      </c>
      <c r="C68" s="2204">
        <f t="shared" si="268"/>
        <v>145.0283378746594</v>
      </c>
      <c r="D68" s="2204">
        <f t="shared" si="246"/>
        <v>145.0283378746594</v>
      </c>
      <c r="E68" s="2204">
        <f t="shared" si="269"/>
        <v>204.95180722891567</v>
      </c>
      <c r="F68" s="2204">
        <f t="shared" si="269"/>
        <v>125.95920303605313</v>
      </c>
      <c r="G68" s="394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489</v>
      </c>
      <c r="B69" s="2232">
        <v>159</v>
      </c>
      <c r="C69" s="2232">
        <v>141</v>
      </c>
      <c r="D69" s="2232">
        <f t="shared" si="246"/>
        <v>141</v>
      </c>
      <c r="E69" s="2232">
        <v>195</v>
      </c>
      <c r="F69" s="2233">
        <v>122</v>
      </c>
      <c r="G69" s="393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490</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94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491</v>
      </c>
      <c r="B71" s="2204">
        <f t="shared" si="272"/>
        <v>146.57412060301507</v>
      </c>
      <c r="C71" s="2204">
        <f t="shared" si="272"/>
        <v>136.46831955922866</v>
      </c>
      <c r="D71" s="2204">
        <f t="shared" si="246"/>
        <v>136.46831955922866</v>
      </c>
      <c r="E71" s="2204">
        <f t="shared" si="273"/>
        <v>166.73864894795128</v>
      </c>
      <c r="F71" s="2204">
        <f t="shared" si="273"/>
        <v>115.05882352941177</v>
      </c>
      <c r="G71" s="394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492</v>
      </c>
      <c r="B72" s="2204">
        <f t="shared" si="272"/>
        <v>144.04145728643215</v>
      </c>
      <c r="C72" s="2204">
        <f t="shared" si="272"/>
        <v>136.12396694214877</v>
      </c>
      <c r="D72" s="2204">
        <f t="shared" si="246"/>
        <v>136.12396694214877</v>
      </c>
      <c r="E72" s="2204">
        <f t="shared" si="273"/>
        <v>158.32225913621264</v>
      </c>
      <c r="F72" s="2204">
        <f t="shared" si="273"/>
        <v>114.04278074866311</v>
      </c>
      <c r="G72" s="394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493</v>
      </c>
      <c r="B73" s="2232">
        <v>138</v>
      </c>
      <c r="C73" s="2232">
        <v>131</v>
      </c>
      <c r="D73" s="2232">
        <f t="shared" si="246"/>
        <v>131</v>
      </c>
      <c r="E73" s="2232">
        <v>155</v>
      </c>
      <c r="F73" s="2233">
        <v>114</v>
      </c>
      <c r="G73" s="393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494</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94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495</v>
      </c>
      <c r="B75" s="2204">
        <f t="shared" si="276"/>
        <v>124.29032258064517</v>
      </c>
      <c r="C75" s="2204">
        <f t="shared" si="276"/>
        <v>123.8968609865471</v>
      </c>
      <c r="D75" s="2204">
        <f t="shared" si="246"/>
        <v>123.8968609865471</v>
      </c>
      <c r="E75" s="2204">
        <f t="shared" si="277"/>
        <v>138.00507614213197</v>
      </c>
      <c r="F75" s="2204">
        <f t="shared" si="277"/>
        <v>107.96106557377048</v>
      </c>
      <c r="G75" s="394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496</v>
      </c>
      <c r="B76" s="2204">
        <f t="shared" si="276"/>
        <v>122.57204301075269</v>
      </c>
      <c r="C76" s="2204">
        <f t="shared" si="276"/>
        <v>123.4932735426009</v>
      </c>
      <c r="D76" s="2204">
        <f t="shared" si="246"/>
        <v>123.4932735426009</v>
      </c>
      <c r="E76" s="2204">
        <f t="shared" si="277"/>
        <v>129.82233502538071</v>
      </c>
      <c r="F76" s="2204">
        <f t="shared" si="277"/>
        <v>107.39446721311475</v>
      </c>
      <c r="G76" s="394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497</v>
      </c>
      <c r="B77" s="2253">
        <v>121</v>
      </c>
      <c r="C77" s="2253">
        <v>122</v>
      </c>
      <c r="D77" s="2253">
        <f t="shared" si="246"/>
        <v>122</v>
      </c>
      <c r="E77" s="2253">
        <v>124</v>
      </c>
      <c r="F77" s="2254">
        <v>107</v>
      </c>
      <c r="G77" s="393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498</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94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499</v>
      </c>
      <c r="B79" s="2204">
        <f t="shared" si="280"/>
        <v>116.99099099099099</v>
      </c>
      <c r="C79" s="2204">
        <f t="shared" si="280"/>
        <v>118.84848484848486</v>
      </c>
      <c r="D79" s="2204">
        <f t="shared" si="246"/>
        <v>118.84848484848486</v>
      </c>
      <c r="E79" s="2204">
        <f t="shared" si="281"/>
        <v>117.60960960960961</v>
      </c>
      <c r="F79" s="2204">
        <f t="shared" si="281"/>
        <v>104</v>
      </c>
      <c r="G79" s="394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500</v>
      </c>
      <c r="B80" s="2256">
        <f t="shared" si="280"/>
        <v>112.48648648648648</v>
      </c>
      <c r="C80" s="2256">
        <f t="shared" si="280"/>
        <v>115.21212121212122</v>
      </c>
      <c r="D80" s="2256">
        <f t="shared" si="246"/>
        <v>115.21212121212122</v>
      </c>
      <c r="E80" s="2256">
        <f t="shared" si="281"/>
        <v>110.4024024024024</v>
      </c>
      <c r="F80" s="2256">
        <f t="shared" si="281"/>
        <v>104</v>
      </c>
      <c r="G80" s="394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501</v>
      </c>
      <c r="B81" s="2273">
        <v>111</v>
      </c>
      <c r="C81" s="2273">
        <v>114</v>
      </c>
      <c r="D81" s="2273">
        <f t="shared" si="246"/>
        <v>114</v>
      </c>
      <c r="E81" s="2273">
        <v>108</v>
      </c>
      <c r="F81" s="2274">
        <v>104</v>
      </c>
      <c r="G81" s="3939">
        <v>2003</v>
      </c>
      <c r="H81" s="2263">
        <v>4</v>
      </c>
      <c r="I81" s="2275"/>
      <c r="J81" s="2275"/>
      <c r="K81" s="2275"/>
      <c r="L81" s="2275"/>
      <c r="N81" s="2276"/>
      <c r="O81" s="2275"/>
      <c r="P81" s="2275"/>
      <c r="Q81" s="2275"/>
      <c r="S81" s="2276"/>
      <c r="T81" s="2275"/>
      <c r="U81" s="2275"/>
      <c r="V81" s="2275"/>
      <c r="X81" s="2267"/>
      <c r="Y81" s="2267"/>
      <c r="Z81" s="2267"/>
    </row>
    <row r="82" spans="1:26">
      <c r="A82" s="2203" t="s">
        <v>502</v>
      </c>
      <c r="B82" s="2277">
        <f t="shared" ref="B82:C84" si="282">B83+(B$81-B$85)/4</f>
        <v>109.75</v>
      </c>
      <c r="C82" s="2277">
        <f t="shared" si="282"/>
        <v>112.25</v>
      </c>
      <c r="D82" s="2277">
        <f t="shared" si="246"/>
        <v>112.25</v>
      </c>
      <c r="E82" s="2277">
        <f t="shared" ref="E82:F84" si="283">E83+(E$81-E$85)/4</f>
        <v>107.25</v>
      </c>
      <c r="F82" s="2277">
        <f t="shared" si="283"/>
        <v>103.5</v>
      </c>
      <c r="G82" s="3940">
        <v>2003</v>
      </c>
      <c r="H82" s="2229">
        <v>3</v>
      </c>
      <c r="I82" s="2275"/>
      <c r="J82" s="2275"/>
      <c r="K82" s="2275"/>
      <c r="L82" s="2275"/>
      <c r="X82" s="2267"/>
      <c r="Y82" s="2267"/>
      <c r="Z82" s="2267"/>
    </row>
    <row r="83" spans="1:26">
      <c r="A83" s="2203" t="s">
        <v>503</v>
      </c>
      <c r="B83" s="2277">
        <f t="shared" si="282"/>
        <v>108.5</v>
      </c>
      <c r="C83" s="2277">
        <f t="shared" si="282"/>
        <v>110.5</v>
      </c>
      <c r="D83" s="2277">
        <f t="shared" si="246"/>
        <v>110.5</v>
      </c>
      <c r="E83" s="2277">
        <f t="shared" si="283"/>
        <v>106.5</v>
      </c>
      <c r="F83" s="2277">
        <f t="shared" si="283"/>
        <v>103</v>
      </c>
      <c r="G83" s="3940">
        <v>2003</v>
      </c>
      <c r="H83" s="2216">
        <v>2</v>
      </c>
      <c r="I83" s="2275"/>
      <c r="J83" s="2275"/>
      <c r="K83" s="2275"/>
      <c r="L83" s="2275"/>
      <c r="X83" s="2267"/>
      <c r="Y83" s="2267"/>
      <c r="Z83" s="2267"/>
    </row>
    <row r="84" spans="1:26" ht="13.5" thickBot="1">
      <c r="A84" s="2203" t="s">
        <v>504</v>
      </c>
      <c r="B84" s="2277">
        <f t="shared" si="282"/>
        <v>107.25</v>
      </c>
      <c r="C84" s="2277">
        <f t="shared" si="282"/>
        <v>108.75</v>
      </c>
      <c r="D84" s="2277">
        <f t="shared" si="246"/>
        <v>108.75</v>
      </c>
      <c r="E84" s="2277">
        <f t="shared" si="283"/>
        <v>105.75</v>
      </c>
      <c r="F84" s="2277">
        <f t="shared" si="283"/>
        <v>102.5</v>
      </c>
      <c r="G84" s="3941">
        <v>2003</v>
      </c>
      <c r="H84" s="2278">
        <v>1</v>
      </c>
      <c r="I84" s="2275"/>
      <c r="J84" s="2275"/>
      <c r="K84" s="2275"/>
      <c r="L84" s="2275"/>
      <c r="S84" s="2206"/>
      <c r="T84" s="2191"/>
      <c r="U84" s="2191"/>
      <c r="X84" s="2267"/>
      <c r="Y84" s="2267"/>
      <c r="Z84" s="2267"/>
    </row>
    <row r="85" spans="1:26" ht="13.5" thickBot="1">
      <c r="A85" s="2203" t="s">
        <v>505</v>
      </c>
      <c r="B85" s="2279">
        <v>106</v>
      </c>
      <c r="C85" s="2279">
        <v>107</v>
      </c>
      <c r="D85" s="2279">
        <f t="shared" si="246"/>
        <v>107</v>
      </c>
      <c r="E85" s="2279">
        <v>105</v>
      </c>
      <c r="F85" s="2280">
        <v>102</v>
      </c>
      <c r="G85" s="3939">
        <v>2002</v>
      </c>
      <c r="H85" s="2224">
        <v>4</v>
      </c>
      <c r="I85" s="2275"/>
      <c r="J85" s="2275"/>
      <c r="K85" s="2275"/>
      <c r="L85" s="2275"/>
      <c r="N85" s="2276"/>
      <c r="O85" s="2275"/>
      <c r="P85" s="2275"/>
      <c r="Q85" s="2275"/>
      <c r="S85" s="2276"/>
      <c r="T85" s="2275"/>
      <c r="U85" s="2275"/>
      <c r="V85" s="2275"/>
      <c r="X85" s="2267"/>
      <c r="Y85" s="2267"/>
      <c r="Z85" s="2267"/>
    </row>
    <row r="86" spans="1:26">
      <c r="A86" s="2203" t="s">
        <v>506</v>
      </c>
      <c r="B86" s="2277">
        <f t="shared" ref="B86:C88" si="284">B87+(B$85-B$89)/4</f>
        <v>105</v>
      </c>
      <c r="C86" s="2277">
        <f t="shared" si="284"/>
        <v>106</v>
      </c>
      <c r="D86" s="2277">
        <f t="shared" si="246"/>
        <v>106</v>
      </c>
      <c r="E86" s="2277">
        <f t="shared" ref="E86:F88" si="285">E87+(E$85-E$89)/4</f>
        <v>104.5</v>
      </c>
      <c r="F86" s="2277">
        <f t="shared" si="285"/>
        <v>101.5</v>
      </c>
      <c r="G86" s="3940">
        <v>2002</v>
      </c>
      <c r="H86" s="2229">
        <v>3</v>
      </c>
      <c r="I86" s="2275"/>
      <c r="J86" s="2275"/>
      <c r="K86" s="2275"/>
      <c r="L86" s="2275"/>
      <c r="X86" s="2267"/>
      <c r="Y86" s="2267"/>
      <c r="Z86" s="2267"/>
    </row>
    <row r="87" spans="1:26">
      <c r="A87" s="2203" t="s">
        <v>507</v>
      </c>
      <c r="B87" s="2277">
        <f t="shared" si="284"/>
        <v>104</v>
      </c>
      <c r="C87" s="2277">
        <f t="shared" si="284"/>
        <v>105</v>
      </c>
      <c r="D87" s="2277">
        <f t="shared" si="246"/>
        <v>105</v>
      </c>
      <c r="E87" s="2277">
        <f t="shared" si="285"/>
        <v>104</v>
      </c>
      <c r="F87" s="2277">
        <f t="shared" si="285"/>
        <v>101</v>
      </c>
      <c r="G87" s="3940">
        <v>2002</v>
      </c>
      <c r="H87" s="2216">
        <v>2</v>
      </c>
      <c r="I87" s="2275"/>
      <c r="J87" s="2275"/>
      <c r="K87" s="2275"/>
      <c r="L87" s="2275"/>
      <c r="X87" s="2267"/>
      <c r="Y87" s="2267"/>
      <c r="Z87" s="2267"/>
    </row>
    <row r="88" spans="1:26" s="2240" customFormat="1" ht="13.5" thickBot="1">
      <c r="A88" s="2236" t="s">
        <v>508</v>
      </c>
      <c r="B88" s="2243">
        <f t="shared" si="284"/>
        <v>103</v>
      </c>
      <c r="C88" s="2243">
        <f t="shared" si="284"/>
        <v>104</v>
      </c>
      <c r="D88" s="2243">
        <f t="shared" si="246"/>
        <v>104</v>
      </c>
      <c r="E88" s="2243">
        <f t="shared" si="285"/>
        <v>103.5</v>
      </c>
      <c r="F88" s="2243">
        <f t="shared" si="285"/>
        <v>100.5</v>
      </c>
      <c r="G88" s="394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509</v>
      </c>
      <c r="G91" s="2290"/>
      <c r="N91" s="2290"/>
      <c r="S91" s="2290"/>
    </row>
    <row r="92" spans="1:26" s="2289" customFormat="1">
      <c r="A92" s="2289" t="s">
        <v>510</v>
      </c>
      <c r="G92" s="2290"/>
      <c r="N92" s="2290"/>
      <c r="S92" s="2290"/>
    </row>
    <row r="93" spans="1:26" s="2289" customFormat="1">
      <c r="A93" s="2289" t="s">
        <v>511</v>
      </c>
      <c r="G93" s="2290"/>
      <c r="I93" s="2291"/>
      <c r="J93" s="2291"/>
      <c r="K93" s="2291"/>
      <c r="L93" s="2291"/>
      <c r="N93" s="2292"/>
      <c r="O93" s="2291"/>
      <c r="P93" s="2291"/>
      <c r="Q93" s="2291"/>
      <c r="S93" s="2292"/>
      <c r="T93" s="2291"/>
      <c r="U93" s="2291"/>
      <c r="V93" s="2291"/>
    </row>
    <row r="94" spans="1:26" s="2289" customFormat="1">
      <c r="A94" s="2289" t="s">
        <v>512</v>
      </c>
      <c r="G94" s="2290"/>
      <c r="N94" s="2290"/>
      <c r="S94" s="2290"/>
    </row>
    <row r="101" spans="7:22" ht="13.5" thickBot="1"/>
    <row r="102" spans="7:22">
      <c r="G102" s="2190"/>
      <c r="S102" s="2293" t="s">
        <v>513</v>
      </c>
      <c r="T102" s="2294" t="s">
        <v>514</v>
      </c>
      <c r="U102" s="2294" t="s">
        <v>515</v>
      </c>
      <c r="V102" s="2294" t="s">
        <v>516</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598</v>
      </c>
      <c r="C1" s="1296">
        <f>项目基本情况!D3</f>
        <v>44977</v>
      </c>
      <c r="D1" s="1302" t="s">
        <v>599</v>
      </c>
      <c r="E1" s="1297">
        <f>'数据-取费表'!B22</f>
        <v>2</v>
      </c>
      <c r="F1" s="1302" t="s">
        <v>600</v>
      </c>
      <c r="G1" s="1298">
        <f ca="1">INDIRECT("d"&amp;$K$1)/100</f>
        <v>3.6499999999999998E-2</v>
      </c>
      <c r="H1" s="1302" t="s">
        <v>630</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601</v>
      </c>
      <c r="E2" s="1240"/>
      <c r="F2" s="1240" t="s">
        <v>602</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603</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604</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605</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606</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607</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608</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609</v>
      </c>
      <c r="C10" s="1268"/>
      <c r="D10" s="1268"/>
      <c r="E10" s="1268"/>
      <c r="F10" s="1268"/>
      <c r="G10" s="1268"/>
      <c r="H10" s="1268"/>
      <c r="I10" s="1242"/>
      <c r="J10" s="1242"/>
      <c r="K10" s="1268"/>
      <c r="L10" s="1269" t="s">
        <v>610</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611</v>
      </c>
      <c r="C11" s="1273" t="s">
        <v>612</v>
      </c>
      <c r="D11" s="1274" t="s">
        <v>613</v>
      </c>
      <c r="E11" s="1275"/>
      <c r="F11" s="1274" t="s">
        <v>614</v>
      </c>
      <c r="G11" s="1276"/>
      <c r="H11" s="1275"/>
      <c r="I11" s="1274" t="s">
        <v>615</v>
      </c>
      <c r="J11" s="1275"/>
      <c r="K11" s="1271"/>
      <c r="L11" s="1272" t="s">
        <v>611</v>
      </c>
      <c r="M11" s="1273" t="s">
        <v>612</v>
      </c>
      <c r="N11" s="1272" t="s">
        <v>616</v>
      </c>
      <c r="O11" s="1274" t="s">
        <v>617</v>
      </c>
      <c r="P11" s="1276"/>
      <c r="Q11" s="1276"/>
      <c r="R11" s="1276"/>
      <c r="S11" s="1276"/>
      <c r="T11" s="1275"/>
      <c r="U11" s="1274" t="s">
        <v>618</v>
      </c>
      <c r="V11" s="1276"/>
      <c r="W11" s="1275"/>
      <c r="X11" s="1272" t="s">
        <v>619</v>
      </c>
      <c r="Y11" s="1272" t="s">
        <v>620</v>
      </c>
      <c r="Z11" s="1272" t="s">
        <v>621</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622</v>
      </c>
      <c r="E12" s="1281" t="s">
        <v>623</v>
      </c>
      <c r="F12" s="1281" t="s">
        <v>624</v>
      </c>
      <c r="G12" s="1281" t="s">
        <v>625</v>
      </c>
      <c r="H12" s="1281" t="s">
        <v>607</v>
      </c>
      <c r="I12" s="1282" t="s">
        <v>626</v>
      </c>
      <c r="J12" s="1282" t="s">
        <v>626</v>
      </c>
      <c r="K12" s="1278"/>
      <c r="L12" s="1279"/>
      <c r="M12" s="1280"/>
      <c r="N12" s="1279"/>
      <c r="O12" s="1282" t="s">
        <v>627</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628</v>
      </c>
      <c r="C13" s="2818">
        <v>44795</v>
      </c>
      <c r="D13" s="2819">
        <v>3.65</v>
      </c>
      <c r="E13" s="2819">
        <f>D13</f>
        <v>3.65</v>
      </c>
      <c r="F13" s="2819">
        <f>D13</f>
        <v>3.65</v>
      </c>
      <c r="G13" s="2819">
        <f>D13</f>
        <v>3.65</v>
      </c>
      <c r="H13" s="2819">
        <v>4.3</v>
      </c>
      <c r="I13" s="1286"/>
      <c r="J13" s="1286"/>
      <c r="K13" s="1284"/>
      <c r="L13" s="1285" t="s">
        <v>628</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2305</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629</v>
      </c>
      <c r="Y42" s="1290" t="s">
        <v>629</v>
      </c>
      <c r="Z42" s="1290" t="s">
        <v>629</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629</v>
      </c>
      <c r="Y43" s="1290" t="s">
        <v>629</v>
      </c>
      <c r="Z43" s="1290" t="s">
        <v>629</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629</v>
      </c>
      <c r="Y44" s="1290" t="s">
        <v>629</v>
      </c>
      <c r="Z44" s="1290" t="s">
        <v>629</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629</v>
      </c>
      <c r="Y45" s="1290" t="s">
        <v>629</v>
      </c>
      <c r="Z45" s="1290" t="s">
        <v>629</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629</v>
      </c>
      <c r="Y46" s="1290" t="s">
        <v>629</v>
      </c>
      <c r="Z46" s="1290" t="s">
        <v>629</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629</v>
      </c>
      <c r="Y47" s="1290" t="s">
        <v>629</v>
      </c>
      <c r="Z47" s="1290" t="s">
        <v>629</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629</v>
      </c>
      <c r="Y48" s="1290" t="s">
        <v>629</v>
      </c>
      <c r="Z48" s="1290" t="s">
        <v>629</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629</v>
      </c>
      <c r="Y49" s="1290" t="s">
        <v>629</v>
      </c>
      <c r="Z49" s="1290" t="s">
        <v>629</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629</v>
      </c>
      <c r="Y50" s="1290" t="s">
        <v>629</v>
      </c>
      <c r="Z50" s="1290" t="s">
        <v>629</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629</v>
      </c>
      <c r="V51" s="1290" t="s">
        <v>629</v>
      </c>
      <c r="W51" s="1290" t="s">
        <v>629</v>
      </c>
      <c r="X51" s="1290" t="s">
        <v>629</v>
      </c>
      <c r="Y51" s="1290" t="s">
        <v>629</v>
      </c>
      <c r="Z51" s="1290" t="s">
        <v>629</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629</v>
      </c>
      <c r="J64" s="1290" t="s">
        <v>629</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7" t="str">
        <f>IF(项目基本情况!B9="房地产市场价值","估价结果一览表","结果表-2")</f>
        <v>结果表-2</v>
      </c>
      <c r="B1" s="3567"/>
      <c r="C1" s="3567"/>
      <c r="D1" s="3567"/>
      <c r="E1" s="3567"/>
      <c r="F1" s="3567"/>
      <c r="G1" s="3567"/>
      <c r="H1" s="3567"/>
      <c r="I1" s="3567"/>
    </row>
    <row r="2" spans="1:9" ht="30" customHeight="1" thickTop="1">
      <c r="A2" s="3568" t="s">
        <v>924</v>
      </c>
      <c r="B2" s="3568" t="s">
        <v>925</v>
      </c>
      <c r="C2" s="3568" t="s">
        <v>926</v>
      </c>
      <c r="D2" s="3568" t="str">
        <f>结果表!D116</f>
        <v>出让国有建设用地使用权价值</v>
      </c>
      <c r="E2" s="3568"/>
      <c r="F2" s="3568" t="str">
        <f>结果表!F116</f>
        <v>在建建筑物价值</v>
      </c>
      <c r="G2" s="3568"/>
      <c r="H2" s="3568" t="str">
        <f>IF(项目基本情况!B9="房地产市场价值","房地产市场价值","房地产价值")</f>
        <v>房地产价值</v>
      </c>
      <c r="I2" s="3568"/>
    </row>
    <row r="3" spans="1:9" ht="15">
      <c r="A3" s="3569"/>
      <c r="B3" s="3569"/>
      <c r="C3" s="3569"/>
      <c r="D3" s="854" t="s">
        <v>921</v>
      </c>
      <c r="E3" s="854" t="s">
        <v>927</v>
      </c>
      <c r="F3" s="854" t="s">
        <v>921</v>
      </c>
      <c r="G3" s="854" t="s">
        <v>922</v>
      </c>
      <c r="H3" s="854" t="s">
        <v>921</v>
      </c>
      <c r="I3" s="854" t="s">
        <v>922</v>
      </c>
    </row>
    <row r="4" spans="1:9" ht="15">
      <c r="A4" s="1505" t="str">
        <f>项目基本情况!S2</f>
        <v>北京市房地产</v>
      </c>
      <c r="B4" s="854">
        <f>项目基本情况!C17</f>
        <v>85.3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69" t="s">
        <v>923</v>
      </c>
      <c r="B5" s="3569"/>
      <c r="C5" s="3569"/>
      <c r="D5" s="3569" t="e">
        <f ca="1">结果表!D119</f>
        <v>#REF!</v>
      </c>
      <c r="E5" s="3569"/>
      <c r="F5" s="3569" t="e">
        <f ca="1">结果表!F119</f>
        <v>#REF!</v>
      </c>
      <c r="G5" s="3569"/>
      <c r="H5" s="3569" t="e">
        <f ca="1">结果表!H119</f>
        <v>#REF!</v>
      </c>
      <c r="I5" s="3569"/>
    </row>
    <row r="6" spans="1:9" ht="15.75">
      <c r="A6" s="3570" t="str">
        <f>结果表!A120</f>
        <v>估价师知悉的法定优先受偿款</v>
      </c>
      <c r="B6" s="3570"/>
      <c r="C6" s="3570"/>
      <c r="D6" s="3570">
        <f>结果表!D120</f>
        <v>0</v>
      </c>
      <c r="E6" s="3570"/>
      <c r="F6" s="3570"/>
      <c r="G6" s="3570"/>
      <c r="H6" s="3570"/>
      <c r="I6" s="3570"/>
    </row>
    <row r="7" spans="1:9" ht="15">
      <c r="A7" s="3569" t="s">
        <v>923</v>
      </c>
      <c r="B7" s="3569"/>
      <c r="C7" s="3569"/>
      <c r="D7" s="3571" t="str">
        <f>结果表!D121</f>
        <v>零元整</v>
      </c>
      <c r="E7" s="3572"/>
      <c r="F7" s="3572"/>
      <c r="G7" s="3572"/>
      <c r="H7" s="3572"/>
      <c r="I7" s="3573"/>
    </row>
    <row r="8" spans="1:9" ht="15.75">
      <c r="A8" s="3570" t="str">
        <f>结果表!A122</f>
        <v>房地产抵押价值</v>
      </c>
      <c r="B8" s="3570"/>
      <c r="C8" s="3570"/>
      <c r="D8" s="3570" t="e">
        <f ca="1">结果表!D122</f>
        <v>#REF!</v>
      </c>
      <c r="E8" s="3570"/>
      <c r="F8" s="3570"/>
      <c r="G8" s="3570"/>
      <c r="H8" s="3570"/>
      <c r="I8" s="3570"/>
    </row>
    <row r="9" spans="1:9" ht="15">
      <c r="A9" s="3569" t="s">
        <v>923</v>
      </c>
      <c r="B9" s="3569"/>
      <c r="C9" s="3569"/>
      <c r="D9" s="3569" t="e">
        <f ca="1">结果表!D123</f>
        <v>#REF!</v>
      </c>
      <c r="E9" s="3569"/>
      <c r="F9" s="3569"/>
      <c r="G9" s="3569"/>
      <c r="H9" s="3569"/>
      <c r="I9" s="3569"/>
    </row>
    <row r="10" spans="1:9" ht="15.75">
      <c r="A10" s="3570" t="str">
        <f>结果表!A124</f>
        <v/>
      </c>
      <c r="B10" s="3570"/>
      <c r="C10" s="3570"/>
      <c r="D10" s="3570" t="str">
        <f>结果表!D124</f>
        <v>——</v>
      </c>
      <c r="E10" s="3570"/>
      <c r="F10" s="3570"/>
      <c r="G10" s="3570"/>
      <c r="H10" s="3570"/>
      <c r="I10" s="3570"/>
    </row>
    <row r="11" spans="1:9" ht="15">
      <c r="A11" s="3569" t="s">
        <v>923</v>
      </c>
      <c r="B11" s="3569"/>
      <c r="C11" s="3569"/>
      <c r="D11" s="3569" t="e">
        <f>结果表!D125</f>
        <v>#VALUE!</v>
      </c>
      <c r="E11" s="3569"/>
      <c r="F11" s="3569"/>
      <c r="G11" s="3569"/>
      <c r="H11" s="3569"/>
      <c r="I11" s="3569"/>
    </row>
    <row r="12" spans="1:9" ht="15.75">
      <c r="A12" s="3570" t="str">
        <f>结果表!A126</f>
        <v/>
      </c>
      <c r="B12" s="3570"/>
      <c r="C12" s="3570"/>
      <c r="D12" s="3570" t="str">
        <f>结果表!D126</f>
        <v>——</v>
      </c>
      <c r="E12" s="3570"/>
      <c r="F12" s="3570"/>
      <c r="G12" s="3570"/>
      <c r="H12" s="3570"/>
      <c r="I12" s="3570"/>
    </row>
    <row r="13" spans="1:9" ht="15.75" thickBot="1">
      <c r="A13" s="3574" t="s">
        <v>923</v>
      </c>
      <c r="B13" s="3574"/>
      <c r="C13" s="3574"/>
      <c r="D13" s="3574" t="e">
        <f>结果表!D127</f>
        <v>#VALUE!</v>
      </c>
      <c r="E13" s="3574"/>
      <c r="F13" s="3574"/>
      <c r="G13" s="3574"/>
      <c r="H13" s="3574"/>
      <c r="I13" s="3574"/>
    </row>
    <row r="14" spans="1:9" ht="15" thickTop="1">
      <c r="A14" s="3575" t="s">
        <v>928</v>
      </c>
      <c r="B14" s="3575"/>
      <c r="C14" s="3575"/>
      <c r="D14" s="3575"/>
      <c r="E14" s="3575"/>
      <c r="F14" s="3575"/>
      <c r="G14" s="3575"/>
      <c r="H14" s="3575"/>
      <c r="I14" s="3575"/>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6" t="s">
        <v>945</v>
      </c>
      <c r="B1" s="3576"/>
      <c r="C1" s="3576"/>
      <c r="D1" s="3576"/>
    </row>
    <row r="2" spans="1:4" ht="18">
      <c r="A2" s="3577" t="s">
        <v>929</v>
      </c>
      <c r="B2" s="3577"/>
      <c r="C2" s="3577"/>
      <c r="D2" s="3577"/>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577" t="s">
        <v>935</v>
      </c>
      <c r="B6" s="3577"/>
      <c r="C6" s="3577"/>
      <c r="D6" s="3577"/>
    </row>
    <row r="7" spans="1:4" ht="18.75">
      <c r="A7" s="1509" t="s">
        <v>930</v>
      </c>
      <c r="B7" s="1511" t="s">
        <v>936</v>
      </c>
      <c r="C7" s="1509" t="s">
        <v>932</v>
      </c>
      <c r="D7" s="1509" t="s">
        <v>933</v>
      </c>
    </row>
    <row r="8" spans="1:4" ht="56.25" customHeight="1">
      <c r="A8" s="1515" t="s">
        <v>386</v>
      </c>
      <c r="B8" s="1515" t="s">
        <v>0</v>
      </c>
      <c r="C8" s="1512"/>
      <c r="D8" s="1513" t="s">
        <v>934</v>
      </c>
    </row>
    <row r="9" spans="1:4">
      <c r="A9" s="675"/>
      <c r="B9" s="675"/>
      <c r="C9" s="675"/>
      <c r="D9" s="675"/>
    </row>
    <row r="10" spans="1:4" ht="18.75">
      <c r="A10" s="1516" t="s">
        <v>937</v>
      </c>
      <c r="B10" s="675"/>
      <c r="C10" s="675"/>
      <c r="D10" s="675"/>
    </row>
    <row r="11" spans="1:4" ht="30" customHeight="1">
      <c r="A11" s="3578" t="s">
        <v>938</v>
      </c>
      <c r="B11" s="3579"/>
      <c r="C11" s="3579"/>
      <c r="D11" s="3579"/>
    </row>
    <row r="12" spans="1:4" ht="15.75">
      <c r="A12" s="35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80"/>
      <c r="C12" s="3580"/>
      <c r="D12" s="3580"/>
    </row>
    <row r="13" spans="1:4" ht="30" customHeight="1">
      <c r="A13" s="3579" t="str">
        <f>IF(项目基本情况!B8="抵押","3.抵押双方在办理抵押登记手续时，应使用本公司出具的正式《房地产评估报告》，特提醒报告使用者注意。","——")</f>
        <v>——</v>
      </c>
      <c r="B13" s="3580"/>
      <c r="C13" s="3580"/>
      <c r="D13" s="3580"/>
    </row>
    <row r="14" spans="1:4" ht="15.75" customHeight="1">
      <c r="A14" s="3579" t="str">
        <f>IF(项目基本情况!B8="抵押","4.本次评估估价师所知悉的法定优先受偿款情况说明如下：","——")</f>
        <v>——</v>
      </c>
      <c r="B14" s="3580"/>
      <c r="C14" s="3580"/>
      <c r="D14" s="3580"/>
    </row>
    <row r="15" spans="1:4" ht="42" customHeight="1">
      <c r="A15" s="3579" t="str">
        <f>IF(项目基本情况!B8="抵押","（1）"&amp;CONCATENATE(项目基本情况!L20,项目基本情况!L21,项目基本情况!L22),"——")</f>
        <v>——</v>
      </c>
      <c r="B15" s="3579"/>
      <c r="C15" s="3579"/>
      <c r="D15" s="3579"/>
    </row>
    <row r="16" spans="1:4" ht="30" customHeight="1">
      <c r="A16" s="3582" t="s">
        <v>939</v>
      </c>
      <c r="B16" s="3582"/>
      <c r="C16" s="3582"/>
      <c r="D16" s="3582"/>
    </row>
    <row r="17" spans="1:4" ht="144" customHeight="1">
      <c r="A17" s="3582" t="s">
        <v>940</v>
      </c>
      <c r="B17" s="3582"/>
      <c r="C17" s="3582"/>
      <c r="D17" s="3582"/>
    </row>
    <row r="18" spans="1:4" ht="15.75" customHeight="1">
      <c r="A18" s="3579" t="str">
        <f>IF(项目基本情况!B8="抵押",结果表!K120,"——")</f>
        <v>——</v>
      </c>
      <c r="B18" s="3579"/>
      <c r="C18" s="3579"/>
      <c r="D18" s="3579"/>
    </row>
    <row r="19" spans="1:4" ht="46.5" customHeight="1">
      <c r="A19" s="35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9"/>
      <c r="C19" s="3579"/>
      <c r="D19" s="3579"/>
    </row>
    <row r="20" spans="1:4" ht="57.75" customHeight="1">
      <c r="A20" s="35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79"/>
      <c r="C20" s="3579"/>
      <c r="D20" s="3579"/>
    </row>
    <row r="21" spans="1:4" ht="57.75" customHeight="1">
      <c r="A21" s="35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3"/>
      <c r="C21" s="3583"/>
      <c r="D21" s="3583"/>
    </row>
    <row r="22" spans="1:4" ht="18.75" customHeight="1">
      <c r="A22" s="3584" t="s">
        <v>941</v>
      </c>
      <c r="B22" s="3584"/>
      <c r="C22" s="3584"/>
      <c r="D22" s="3584"/>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581">
        <v>42551</v>
      </c>
      <c r="D31" s="35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387</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51</v>
      </c>
      <c r="B3" s="1507" t="s">
        <v>947</v>
      </c>
      <c r="G3" s="1524"/>
    </row>
    <row r="4" spans="1:7">
      <c r="G4" s="1524"/>
    </row>
    <row r="5" spans="1:7">
      <c r="A5" s="1526" t="s">
        <v>42</v>
      </c>
      <c r="B5" s="1507" t="s">
        <v>948</v>
      </c>
      <c r="G5" s="1524"/>
    </row>
    <row r="6" spans="1:7">
      <c r="G6" s="1524"/>
    </row>
    <row r="7" spans="1:7">
      <c r="A7" s="1527" t="s">
        <v>104</v>
      </c>
      <c r="B7" s="1507" t="s">
        <v>949</v>
      </c>
      <c r="G7" s="1524"/>
    </row>
    <row r="8" spans="1:7">
      <c r="G8" s="1524"/>
    </row>
    <row r="9" spans="1:7">
      <c r="A9" s="1528" t="s">
        <v>43</v>
      </c>
      <c r="B9" s="1507" t="s">
        <v>950</v>
      </c>
    </row>
    <row r="11" spans="1:7">
      <c r="A11" s="1529" t="s">
        <v>44</v>
      </c>
      <c r="B11" s="1530" t="s">
        <v>41</v>
      </c>
    </row>
    <row r="13" spans="1:7">
      <c r="A13" s="1531" t="s">
        <v>951</v>
      </c>
    </row>
    <row r="15" spans="1:7" ht="13.5">
      <c r="A15" s="3590" t="s">
        <v>952</v>
      </c>
      <c r="B15" s="3585" t="s">
        <v>105</v>
      </c>
      <c r="C15" s="3586"/>
    </row>
    <row r="16" spans="1:7" ht="13.5">
      <c r="A16" s="3591"/>
      <c r="B16" s="3585" t="s">
        <v>38</v>
      </c>
      <c r="C16" s="3586"/>
    </row>
    <row r="17" spans="1:3" ht="13.5">
      <c r="A17" s="3591"/>
      <c r="B17" s="3588" t="s">
        <v>953</v>
      </c>
      <c r="C17" s="1532" t="s">
        <v>952</v>
      </c>
    </row>
    <row r="18" spans="1:3" ht="13.5">
      <c r="A18" s="3591"/>
      <c r="B18" s="3588"/>
      <c r="C18" s="1532" t="s">
        <v>954</v>
      </c>
    </row>
    <row r="19" spans="1:3" ht="13.5">
      <c r="A19" s="3591"/>
      <c r="B19" s="3588"/>
      <c r="C19" s="1532" t="s">
        <v>955</v>
      </c>
    </row>
    <row r="20" spans="1:3" ht="13.5">
      <c r="A20" s="3592"/>
      <c r="B20" s="3587" t="s">
        <v>956</v>
      </c>
      <c r="C20" s="3586"/>
    </row>
    <row r="21" spans="1:3" ht="13.5">
      <c r="A21" s="1533" t="s">
        <v>957</v>
      </c>
      <c r="B21" s="1534"/>
      <c r="C21" s="1535"/>
    </row>
    <row r="22" spans="1:3" ht="13.5">
      <c r="A22" s="3589" t="s">
        <v>958</v>
      </c>
      <c r="B22" s="3587" t="s">
        <v>959</v>
      </c>
      <c r="C22" s="3586"/>
    </row>
    <row r="23" spans="1:3" ht="13.5">
      <c r="A23" s="3589"/>
      <c r="B23" s="3587" t="s">
        <v>960</v>
      </c>
      <c r="C23" s="3586"/>
    </row>
    <row r="24" spans="1:3" ht="13.5">
      <c r="A24" s="3589"/>
      <c r="B24" s="3587" t="s">
        <v>961</v>
      </c>
      <c r="C24" s="3586"/>
    </row>
    <row r="25" spans="1:3" ht="13.5">
      <c r="A25" s="3589"/>
      <c r="B25" s="3588" t="s">
        <v>962</v>
      </c>
      <c r="C25" s="1532" t="s">
        <v>963</v>
      </c>
    </row>
    <row r="26" spans="1:3" ht="13.5">
      <c r="A26" s="3589"/>
      <c r="B26" s="3588"/>
      <c r="C26" s="1532" t="s">
        <v>964</v>
      </c>
    </row>
    <row r="27" spans="1:3" ht="13.5">
      <c r="A27" s="3589"/>
      <c r="B27" s="3588"/>
      <c r="C27" s="1532" t="s">
        <v>965</v>
      </c>
    </row>
    <row r="28" spans="1:3" ht="13.5">
      <c r="A28" s="3589"/>
      <c r="B28" s="3588"/>
      <c r="C28" s="1532" t="s">
        <v>966</v>
      </c>
    </row>
    <row r="29" spans="1:3" ht="13.5">
      <c r="A29" s="3589"/>
      <c r="B29" s="3588"/>
      <c r="C29" s="1532" t="s">
        <v>967</v>
      </c>
    </row>
    <row r="30" spans="1:3" ht="13.5">
      <c r="A30" s="3589"/>
      <c r="B30" s="3588"/>
      <c r="C30" s="1532" t="s">
        <v>968</v>
      </c>
    </row>
    <row r="31" spans="1:3" ht="13.5">
      <c r="A31" s="3589"/>
      <c r="B31" s="3588"/>
      <c r="C31" s="1532" t="s">
        <v>969</v>
      </c>
    </row>
    <row r="32" spans="1:3" ht="13.5">
      <c r="A32" s="3589"/>
      <c r="B32" s="3588"/>
      <c r="C32" s="1532" t="s">
        <v>970</v>
      </c>
    </row>
    <row r="33" spans="1:3" ht="13.5">
      <c r="A33" s="3589"/>
      <c r="B33" s="3588"/>
      <c r="C33" s="1532" t="s">
        <v>971</v>
      </c>
    </row>
    <row r="34" spans="1:3">
      <c r="A34" s="1536" t="s">
        <v>45</v>
      </c>
    </row>
    <row r="37" spans="1:3">
      <c r="A37" s="1536" t="s">
        <v>972</v>
      </c>
    </row>
    <row r="38" spans="1:3" ht="13.5">
      <c r="A38" s="1537" t="s">
        <v>46</v>
      </c>
    </row>
    <row r="39" spans="1:3" ht="13.5">
      <c r="A39" s="1537" t="s">
        <v>47</v>
      </c>
    </row>
    <row r="40" spans="1:3" ht="13.5">
      <c r="A40" s="1537" t="s">
        <v>48</v>
      </c>
    </row>
    <row r="41" spans="1:3" ht="13.5">
      <c r="A41" s="1538" t="s">
        <v>49</v>
      </c>
    </row>
    <row r="42" spans="1:3" ht="13.5">
      <c r="A42" s="1537" t="s">
        <v>50</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2131</v>
      </c>
      <c r="B2" s="2337">
        <f ca="1">TODAY()</f>
        <v>45050</v>
      </c>
      <c r="C2" s="2338" t="s">
        <v>2132</v>
      </c>
      <c r="D2" s="2338"/>
      <c r="E2" s="2338"/>
      <c r="F2" s="2334"/>
      <c r="G2" s="2334"/>
      <c r="H2" s="2334"/>
    </row>
    <row r="3" spans="1:8" ht="24" customHeight="1">
      <c r="A3" s="2339" t="s">
        <v>2133</v>
      </c>
      <c r="B3" s="2340" t="s">
        <v>2134</v>
      </c>
      <c r="C3" s="2340" t="s">
        <v>2135</v>
      </c>
      <c r="D3" s="2341" t="s">
        <v>2136</v>
      </c>
      <c r="E3" s="2342" t="s">
        <v>2137</v>
      </c>
      <c r="F3" s="1304" t="s">
        <v>2138</v>
      </c>
      <c r="G3" s="2340" t="s">
        <v>2135</v>
      </c>
      <c r="H3" s="2341" t="s">
        <v>2139</v>
      </c>
    </row>
    <row r="4" spans="1:8" ht="24" customHeight="1">
      <c r="A4" s="1304" t="s">
        <v>2140</v>
      </c>
      <c r="B4" s="1304">
        <f ca="1">IF(C4&lt;B2,"已过期",1119970066)</f>
        <v>1119970066</v>
      </c>
      <c r="C4" s="2343">
        <v>45937</v>
      </c>
      <c r="D4" s="2344" t="str">
        <f ca="1">A4&amp;"（注册号："&amp;B4&amp;"）"</f>
        <v>梁津（注册号：1119970066）</v>
      </c>
      <c r="E4" s="2345" t="s">
        <v>2140</v>
      </c>
      <c r="F4" s="1304">
        <f ca="1">IF(G4&lt;B2,"已过期",96010014)</f>
        <v>96010014</v>
      </c>
      <c r="G4" s="2346">
        <v>47118</v>
      </c>
      <c r="H4" s="2347" t="str">
        <f ca="1">E4&amp;"（注册号："&amp;F4&amp;"）"</f>
        <v>梁津（注册号：96010014）</v>
      </c>
    </row>
    <row r="5" spans="1:8" ht="24" customHeight="1">
      <c r="A5" s="1304" t="s">
        <v>2141</v>
      </c>
      <c r="B5" s="1304">
        <f ca="1">IF(C5&lt;B2,"已过期",1119970111)</f>
        <v>1119970111</v>
      </c>
      <c r="C5" s="2343">
        <v>45937</v>
      </c>
      <c r="D5" s="2344" t="str">
        <f t="shared" ref="D5:D15" ca="1" si="0">A5&amp;"（注册号："&amp;B5&amp;"）"</f>
        <v>叶凌（注册号：1119970111）</v>
      </c>
      <c r="E5" s="2345" t="s">
        <v>2141</v>
      </c>
      <c r="F5" s="1304">
        <f ca="1">IF(G5&lt;B2,"已过期",94010078)</f>
        <v>94010078</v>
      </c>
      <c r="G5" s="2346">
        <v>46387</v>
      </c>
      <c r="H5" s="2347" t="str">
        <f t="shared" ref="H5:H16" ca="1" si="1">E5&amp;"（注册号："&amp;F5&amp;"）"</f>
        <v>叶凌（注册号：94010078）</v>
      </c>
    </row>
    <row r="6" spans="1:8" ht="24" customHeight="1">
      <c r="A6" s="1304" t="s">
        <v>2142</v>
      </c>
      <c r="B6" s="1304">
        <f ca="1">IF(C6&lt;B2,"已过期",1120050019)</f>
        <v>1120050019</v>
      </c>
      <c r="C6" s="2343">
        <v>45410</v>
      </c>
      <c r="D6" s="2344" t="str">
        <f t="shared" ca="1" si="0"/>
        <v>王鹏（注册号：1120050019）</v>
      </c>
      <c r="E6" s="2345" t="s">
        <v>2142</v>
      </c>
      <c r="F6" s="1304">
        <f ca="1">IF(G6&lt;B2,"已过期",2002110030)</f>
        <v>2002110030</v>
      </c>
      <c r="G6" s="2346">
        <v>46387</v>
      </c>
      <c r="H6" s="2347" t="str">
        <f t="shared" ca="1" si="1"/>
        <v>王鹏（注册号：2002110030）</v>
      </c>
    </row>
    <row r="7" spans="1:8" ht="24" customHeight="1">
      <c r="A7" s="1304" t="s">
        <v>2143</v>
      </c>
      <c r="B7" s="1304">
        <f ca="1">IF(C7&lt;B2,"已过期",1120000080)</f>
        <v>1120000080</v>
      </c>
      <c r="C7" s="2343">
        <v>45937</v>
      </c>
      <c r="D7" s="2344" t="str">
        <f t="shared" ca="1" si="0"/>
        <v>欧红伟（注册号：1120000080）</v>
      </c>
      <c r="E7" s="2345" t="s">
        <v>2143</v>
      </c>
      <c r="F7" s="1304">
        <f ca="1">IF(G7&lt;B2,"已过期",2000110082)</f>
        <v>2000110082</v>
      </c>
      <c r="G7" s="2346">
        <v>46387</v>
      </c>
      <c r="H7" s="2347" t="str">
        <f t="shared" ca="1" si="1"/>
        <v>欧红伟（注册号：2000110082）</v>
      </c>
    </row>
    <row r="8" spans="1:8" ht="24" customHeight="1">
      <c r="A8" s="1304" t="s">
        <v>2144</v>
      </c>
      <c r="B8" s="1304">
        <f ca="1">IF(C8&lt;B2,"已过期",1419970001)</f>
        <v>1419970001</v>
      </c>
      <c r="C8" s="2343">
        <v>45937</v>
      </c>
      <c r="D8" s="2344" t="str">
        <f t="shared" ca="1" si="0"/>
        <v>吴薇（注册号：1419970001）</v>
      </c>
      <c r="E8" s="2345" t="s">
        <v>2144</v>
      </c>
      <c r="F8" s="1304">
        <f ca="1">IF(G8&lt;B2,"已过期",2002110125)</f>
        <v>2002110125</v>
      </c>
      <c r="G8" s="2346">
        <v>47118</v>
      </c>
      <c r="H8" s="2347" t="str">
        <f t="shared" ca="1" si="1"/>
        <v>吴薇（注册号：2002110125）</v>
      </c>
    </row>
    <row r="9" spans="1:8" ht="24" customHeight="1">
      <c r="A9" s="1304" t="s">
        <v>2145</v>
      </c>
      <c r="B9" s="1304">
        <f ca="1">IF(C9&lt;B2,"已过期",1120060040)</f>
        <v>1120060040</v>
      </c>
      <c r="C9" s="2348">
        <v>45592</v>
      </c>
      <c r="D9" s="2344" t="str">
        <f t="shared" ca="1" si="0"/>
        <v>陈颖（注册号：1120060040）</v>
      </c>
      <c r="E9" s="2345" t="s">
        <v>2145</v>
      </c>
      <c r="F9" s="1304">
        <f ca="1">IF(G9&lt;B2,"已过期",2004110096)</f>
        <v>2004110096</v>
      </c>
      <c r="G9" s="2346">
        <v>47118</v>
      </c>
      <c r="H9" s="2347" t="str">
        <f t="shared" ca="1" si="1"/>
        <v>陈颖（注册号：2004110096）</v>
      </c>
    </row>
    <row r="10" spans="1:8" ht="24" customHeight="1">
      <c r="A10" s="1304" t="s">
        <v>2146</v>
      </c>
      <c r="B10" s="1304">
        <f ca="1">IF(C10&lt;B2,"已过期",1120100036)</f>
        <v>1120100036</v>
      </c>
      <c r="C10" s="2348">
        <v>45752</v>
      </c>
      <c r="D10" s="2344" t="str">
        <f t="shared" ca="1" si="0"/>
        <v>崔锴（注册号：1120100036）</v>
      </c>
      <c r="E10" s="2345" t="s">
        <v>2146</v>
      </c>
      <c r="F10" s="1304">
        <f ca="1">IF(G10&lt;B2,"已过期",2010110070)</f>
        <v>2010110070</v>
      </c>
      <c r="G10" s="2346">
        <v>47907</v>
      </c>
      <c r="H10" s="2347" t="str">
        <f t="shared" ca="1" si="1"/>
        <v>崔锴（注册号：2010110070）</v>
      </c>
    </row>
    <row r="11" spans="1:8" ht="24" customHeight="1">
      <c r="A11" s="1304" t="s">
        <v>2147</v>
      </c>
      <c r="B11" s="1304">
        <f ca="1">IF(C11&lt;B2,"已过期",1120070131)</f>
        <v>1120070131</v>
      </c>
      <c r="C11" s="2343">
        <v>45937</v>
      </c>
      <c r="D11" s="2344" t="str">
        <f t="shared" ca="1" si="0"/>
        <v>郑燚（注册号：1120070131）</v>
      </c>
      <c r="E11" s="2345" t="s">
        <v>2147</v>
      </c>
      <c r="F11" s="1304">
        <f ca="1">IF(G11&lt;B2,"已过期",2014110011)</f>
        <v>2014110011</v>
      </c>
      <c r="G11" s="2346">
        <v>49302</v>
      </c>
      <c r="H11" s="2347" t="str">
        <f t="shared" ca="1" si="1"/>
        <v>郑燚（注册号：2014110011）</v>
      </c>
    </row>
    <row r="12" spans="1:8" ht="24" customHeight="1">
      <c r="A12" s="1304" t="s">
        <v>2148</v>
      </c>
      <c r="B12" s="1304">
        <f ca="1">IF(C12&lt;B2,"已过期",1120040230)</f>
        <v>1120040230</v>
      </c>
      <c r="C12" s="2348">
        <v>45937</v>
      </c>
      <c r="D12" s="2344" t="str">
        <f t="shared" ca="1" si="0"/>
        <v>苏海（注册号：1120040230）</v>
      </c>
      <c r="E12" s="2345" t="s">
        <v>2148</v>
      </c>
      <c r="F12" s="1304">
        <f ca="1">IF(G12&lt;B2,"已过期",98030020)</f>
        <v>98030020</v>
      </c>
      <c r="G12" s="2346">
        <v>47118</v>
      </c>
      <c r="H12" s="2347" t="str">
        <f t="shared" ca="1" si="1"/>
        <v>苏海（注册号：98030020）</v>
      </c>
    </row>
    <row r="13" spans="1:8" ht="24" customHeight="1">
      <c r="A13" s="1304" t="s">
        <v>2149</v>
      </c>
      <c r="B13" s="1304">
        <f ca="1">IF(C13&lt;B2,"已过期",1120020033)</f>
        <v>1120020033</v>
      </c>
      <c r="C13" s="2343">
        <v>45375</v>
      </c>
      <c r="D13" s="2344" t="str">
        <f t="shared" ca="1" si="0"/>
        <v>刘敬东（注册号：1120020033）</v>
      </c>
      <c r="E13" s="2345" t="s">
        <v>2149</v>
      </c>
      <c r="F13" s="1304">
        <f ca="1">IF(G13&lt;B2,"已过期",2000110137)</f>
        <v>2000110137</v>
      </c>
      <c r="G13" s="2346">
        <v>46387</v>
      </c>
      <c r="H13" s="2347" t="str">
        <f t="shared" ca="1" si="1"/>
        <v>刘敬东（注册号：2000110137）</v>
      </c>
    </row>
    <row r="14" spans="1:8" ht="24" customHeight="1">
      <c r="A14" s="1304" t="s">
        <v>2150</v>
      </c>
      <c r="B14" s="1304" t="str">
        <f ca="1">IF(C14&lt;B2,"已过期",1119980106)</f>
        <v>已过期</v>
      </c>
      <c r="C14" s="2348">
        <v>44969</v>
      </c>
      <c r="D14" s="2344" t="str">
        <f t="shared" ca="1" si="0"/>
        <v>刘俊财（注册号：已过期）</v>
      </c>
      <c r="E14" s="2345" t="s">
        <v>2150</v>
      </c>
      <c r="F14" s="1304">
        <f ca="1">IF(G14&lt;B2,"已过期",96010063)</f>
        <v>96010063</v>
      </c>
      <c r="G14" s="2346">
        <v>47483</v>
      </c>
      <c r="H14" s="2347" t="str">
        <f t="shared" ca="1" si="1"/>
        <v>刘俊财（注册号：96010063）</v>
      </c>
    </row>
    <row r="15" spans="1:8" ht="24" customHeight="1">
      <c r="A15" s="1304" t="s">
        <v>2433</v>
      </c>
      <c r="B15" s="1304">
        <v>1120210056</v>
      </c>
      <c r="C15" s="2348">
        <v>45410</v>
      </c>
      <c r="D15" s="2344" t="str">
        <f t="shared" si="0"/>
        <v>宁小鳗（注册号：1120210056）</v>
      </c>
      <c r="E15" s="2345" t="s">
        <v>2151</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93" t="s">
        <v>2152</v>
      </c>
      <c r="B17" s="3593"/>
      <c r="C17" s="3593"/>
      <c r="D17" s="3593"/>
      <c r="E17" s="3593"/>
      <c r="F17" s="3593"/>
      <c r="G17" s="3593"/>
      <c r="H17" s="3593"/>
    </row>
    <row r="18" spans="1:8" ht="24" customHeight="1">
      <c r="A18" s="3594" t="s">
        <v>2153</v>
      </c>
      <c r="B18" s="3594"/>
      <c r="C18" s="3594"/>
      <c r="D18" s="2341"/>
      <c r="E18" s="3595" t="s">
        <v>2154</v>
      </c>
      <c r="F18" s="3594"/>
      <c r="G18" s="3594"/>
    </row>
    <row r="19" spans="1:8" s="2352" customFormat="1" ht="24" customHeight="1">
      <c r="A19" s="2351" t="s">
        <v>2155</v>
      </c>
      <c r="B19" s="2340" t="s">
        <v>2156</v>
      </c>
      <c r="C19" s="2340" t="s">
        <v>2135</v>
      </c>
      <c r="D19" s="2341"/>
      <c r="E19" s="2345" t="s">
        <v>2155</v>
      </c>
      <c r="F19" s="2340" t="s">
        <v>2156</v>
      </c>
      <c r="G19" s="2340" t="s">
        <v>2135</v>
      </c>
    </row>
    <row r="20" spans="1:8" s="2352" customFormat="1" ht="24" customHeight="1">
      <c r="A20" s="2353" t="s">
        <v>2157</v>
      </c>
      <c r="B20" s="2353" t="s">
        <v>2158</v>
      </c>
      <c r="C20" s="2346">
        <v>45898</v>
      </c>
      <c r="D20" s="2354"/>
      <c r="E20" s="2355" t="s">
        <v>2159</v>
      </c>
      <c r="F20" s="2358" t="s">
        <v>2434</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167</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收益法-酒店模型</vt:lpstr>
      <vt:lpstr>收益法（汇总）</vt:lpstr>
      <vt:lpstr>收益法倒推</vt:lpstr>
      <vt:lpstr>比较法-住宅</vt:lpstr>
      <vt:lpstr>售价案例</vt:lpstr>
      <vt:lpstr>租金比较法-住宅 </vt:lpstr>
      <vt:lpstr>租金案例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收益法倒推!Print_Area</vt:lpstr>
      <vt:lpstr>'数据-汇总表'!Print_Area</vt:lpstr>
      <vt:lpstr>'土地比较法-工业'!Print_Area</vt:lpstr>
      <vt:lpstr>'土地比较法-住宅、综合'!Print_Area</vt:lpstr>
      <vt:lpstr>系统读取表!Print_Area</vt:lpstr>
      <vt:lpstr>项目基本情况!Print_Area</vt:lpstr>
      <vt:lpstr>'租金比较法-住宅 '!Print_Area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'比较法-住宅'!住宅朝向</vt:lpstr>
      <vt:lpstr>'租金比较法-住宅 '!住宅朝向</vt:lpstr>
      <vt:lpstr>'比较法-住宅'!住宅房型</vt:lpstr>
      <vt:lpstr>'租金比较法-住宅 '!住宅房型</vt:lpstr>
      <vt:lpstr>'比较法-住宅'!住宅公共部分装修</vt:lpstr>
      <vt:lpstr>'租金比较法-住宅 '!住宅公共部分装修</vt:lpstr>
      <vt:lpstr>'比较法-住宅'!住宅基础设施水平</vt:lpstr>
      <vt:lpstr>'租金比较法-住宅 '!住宅基础设施水平</vt:lpstr>
      <vt:lpstr>'比较法-住宅'!住宅建筑结构</vt:lpstr>
      <vt:lpstr>'租金比较法-住宅 '!住宅建筑结构</vt:lpstr>
      <vt:lpstr>'比较法-住宅'!住宅建筑类型</vt:lpstr>
      <vt:lpstr>'租金比较法-住宅 '!住宅建筑类型</vt:lpstr>
      <vt:lpstr>'比较法-住宅'!住宅建筑品质</vt:lpstr>
      <vt:lpstr>'租金比较法-住宅 '!住宅建筑品质</vt:lpstr>
      <vt:lpstr>'比较法-住宅'!住宅交易情况</vt:lpstr>
      <vt:lpstr>'租金比较法-住宅 '!住宅交易情况</vt:lpstr>
      <vt:lpstr>'比较法-住宅'!住宅楼层</vt:lpstr>
      <vt:lpstr>'租金比较法-住宅 '!住宅楼层</vt:lpstr>
      <vt:lpstr>'比较法-住宅'!住宅内部装修</vt:lpstr>
      <vt:lpstr>'租金比较法-住宅 '!住宅内部装修</vt:lpstr>
      <vt:lpstr>'比较法-住宅'!住宅物业管理</vt:lpstr>
      <vt:lpstr>'租金比较法-住宅 '!住宅物业管理</vt:lpstr>
      <vt:lpstr>'比较法-住宅'!住宅用途</vt:lpstr>
      <vt:lpstr>'租金比较法-住宅 '!住宅用途</vt:lpstr>
      <vt:lpstr>'比较法-住宅'!住宅主力户型面积</vt:lpstr>
      <vt:lpstr>'租金比较法-住宅 '!住宅主力户型面积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2023-05-04T07:42:20Z</dcterms:modified>
</cp:coreProperties>
</file>