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剩余法-待开发" sheetId="12"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7">'[1]比较法-办公'!$B$119:$M$119</definedName>
    <definedName name="办公层高">'不动产比较法-办公'!$B$119:$M$119</definedName>
    <definedName name="办公朝向" localSheetId="27">'[1]比较法-办公'!$B$91:$M$91</definedName>
    <definedName name="办公朝向">'不动产比较法-办公'!$B$91:$M$91</definedName>
    <definedName name="办公道路级别" localSheetId="27">'[1]比较法-办公'!$B$87:$M$87</definedName>
    <definedName name="办公道路级别">'不动产比较法-办公'!$B$87:$M$87</definedName>
    <definedName name="办公公共部分装修" localSheetId="27">'[1]比较法-办公'!$B$108:$M$108</definedName>
    <definedName name="办公公共部分装修">'不动产比较法-办公'!$B$108:$M$108</definedName>
    <definedName name="办公基础设施水平" localSheetId="27">'[1]比较法-办公'!$B$117:$M$117</definedName>
    <definedName name="办公基础设施水平">'不动产比较法-办公'!$B$117:$M$117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'不动产比较法-办公'!$B$106:$M$106</definedName>
    <definedName name="办公建筑类型" localSheetId="27">'[1]比较法-办公'!$B$101:$M$101</definedName>
    <definedName name="办公建筑类型">'不动产比较法-办公'!$B$101:$M$101</definedName>
    <definedName name="办公交易情况" localSheetId="27">'[1]比较法-办公'!$A$62:$M$62</definedName>
    <definedName name="办公交易情况">'不动产比较法-办公'!$A$62:$M$62</definedName>
    <definedName name="办公楼层" localSheetId="27">'[1]比较法-办公'!$B$89:$M$89</definedName>
    <definedName name="办公楼层">'不动产比较法-办公'!$B$89:$M$89</definedName>
    <definedName name="办公内部装修" localSheetId="27">'[1]比较法-办公'!$B$123:$M$123</definedName>
    <definedName name="办公内部装修">'不动产比较法-办公'!$B$123:$M$123</definedName>
    <definedName name="办公物业管理" localSheetId="27">'[1]比较法-办公'!$B$115:$M$115</definedName>
    <definedName name="办公物业管理">'不动产比较法-办公'!$B$115:$M$115</definedName>
    <definedName name="办公用途" localSheetId="27">'[1]比较法-办公'!$B$64:$M$64</definedName>
    <definedName name="办公用途">'不动产比较法-办公'!$B$64:$M$64</definedName>
    <definedName name="仓储公共部分装修" localSheetId="27">'[1]比较法-仓储'!$B$77:$M$77</definedName>
    <definedName name="仓储公共部分装修">'不动产比较法-仓储'!$B$77:$M$77</definedName>
    <definedName name="仓储交易情况" localSheetId="27">'[1]比较法-仓储'!$A$49:$M$49</definedName>
    <definedName name="仓储交易情况">'不动产比较法-仓储'!$A$49:$M$49</definedName>
    <definedName name="仓储楼层" localSheetId="27">'[1]比较法-仓储'!$B$69:$M$69</definedName>
    <definedName name="仓储楼层">'不动产比较法-仓储'!$B$69:$M$69</definedName>
    <definedName name="仓储物业等级" localSheetId="27">'[1]比较法-仓储'!$B$82:$M$82</definedName>
    <definedName name="仓储物业等级">'不动产比较法-仓储'!$B$82:$M$82</definedName>
    <definedName name="仓储用途" localSheetId="27">'[1]比较法-仓储'!$B$51:$M$51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'不动产比较法-车位'!$B$83:$M$83</definedName>
    <definedName name="车位交易情况" localSheetId="27">'[1]比较法-车位'!$A$51:$M$51</definedName>
    <definedName name="车位交易情况">'不动产比较法-车位'!$A$51:$M$51</definedName>
    <definedName name="车位类型" localSheetId="27">'[1]比较法-车位'!$B$93:$M$93</definedName>
    <definedName name="车位类型">'不动产比较法-车位'!$B$93:$M$93</definedName>
    <definedName name="车位楼层" localSheetId="27">'[1]比较法-车位'!$B$71:$M$71</definedName>
    <definedName name="车位楼层">'不动产比较法-车位'!$B$71:$M$71</definedName>
    <definedName name="车位配套类型" localSheetId="27">'[1]比较法-车位'!$B$79:$M$79</definedName>
    <definedName name="车位配套类型">'不动产比较法-车位'!$B$79:$M$79</definedName>
    <definedName name="车位物业等级" localSheetId="27">'[1]比较法-车位'!$B$88:$M$88</definedName>
    <definedName name="车位物业等级">'不动产比较法-车位'!$B$88:$M$88</definedName>
    <definedName name="车位用途" localSheetId="27">'[1]比较法-车位'!$B$53:$M$53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区片价!$J$1:$J$20</definedName>
    <definedName name="二级分类" localSheetId="27">[1]修正!$C$17:$C$39</definedName>
    <definedName name="二级分类">修正!$C$17:$C$39</definedName>
    <definedName name="法定最高年限" localSheetId="27">[1]定义!$G$1:$G$4</definedName>
    <definedName name="法定最高年限">定义!$G$2:$G$4</definedName>
    <definedName name="工业公共部分装修" localSheetId="27">'[1]比较法-工业'!$B$95:$M$95</definedName>
    <definedName name="工业公共部分装修">'不动产比较法-工业'!$B$95:$M$95</definedName>
    <definedName name="工业基础设施水平" localSheetId="27">'[1]比较法-工业'!$B$102:$M$102</definedName>
    <definedName name="工业基础设施水平">'不动产比较法-工业'!$B$102:$M$102</definedName>
    <definedName name="工业建筑结构" localSheetId="27">'[1]比较法-工业'!$B$93:$M$93</definedName>
    <definedName name="工业建筑结构">'不动产比较法-工业'!$B$93:$M$93</definedName>
    <definedName name="工业建筑类型" localSheetId="27">'[1]比较法-工业'!$B$88:$M$88</definedName>
    <definedName name="工业建筑类型">'不动产比较法-工业'!$B$88:$M$88</definedName>
    <definedName name="工业交易情况" localSheetId="27">'[1]比较法-工业'!$A$55:$M$55</definedName>
    <definedName name="工业交易情况">'不动产比较法-工业'!$A$55:$M$55</definedName>
    <definedName name="工业内部装修" localSheetId="27">'[1]比较法-工业'!$B$104:$M$104</definedName>
    <definedName name="工业内部装修">'不动产比较法-工业'!$B$104:$M$104</definedName>
    <definedName name="工业物业管理" localSheetId="27">'[1]比较法-工业'!$B$100:$M$100</definedName>
    <definedName name="工业物业管理">'不动产比较法-工业'!$B$100:$M$100</definedName>
    <definedName name="工业用途" localSheetId="27">'[1]比较法-工业'!$B$57:$M$57</definedName>
    <definedName name="工业用途">'不动产比较法-工业'!$B$57:$M$57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基准地价!$N$19:$AG$19</definedName>
    <definedName name="季度2014">地价!$A$2:$A$25</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区片价!$O$1:$O$49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区片价!$K$1:$K$21</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'不动产比较法-商业'!$B$107:$M$107</definedName>
    <definedName name="商业基础设施水平" localSheetId="27">'[1]比较法-商业'!$B$112:$M$112</definedName>
    <definedName name="商业基础设施水平">'不动产比较法-商业'!$B$112:$M$112</definedName>
    <definedName name="商业建筑结构" localSheetId="27">'[1]比较法-商业'!$B$105:$M$105</definedName>
    <definedName name="商业建筑结构">'不动产比较法-商业'!$B$105:$M$105</definedName>
    <definedName name="商业交易情况" localSheetId="27">'[1]比较法-商业'!$A$61:$M$61</definedName>
    <definedName name="商业交易情况">'不动产比较法-商业'!$A$61:$M$61</definedName>
    <definedName name="商业街名称" localSheetId="27">[1]修正!$C$59:$C$119</definedName>
    <definedName name="商业街名称">修正!$C$59:$C$119</definedName>
    <definedName name="商业进深比" localSheetId="27">'[1]比较法-商业'!$B$120:$M$120</definedName>
    <definedName name="商业进深比">'不动产比较法-商业'!$B$120:$M$120</definedName>
    <definedName name="商业类型" localSheetId="27">'[1]比较法-商业'!$B$100:$M$100</definedName>
    <definedName name="商业类型">'不动产比较法-商业'!$B$100:$M$100</definedName>
    <definedName name="商业临街状况" localSheetId="27">'[1]比较法-商业'!$B$86:$M$86</definedName>
    <definedName name="商业临街状况">'不动产比较法-商业'!$B$86:$M$86</definedName>
    <definedName name="商业楼层" localSheetId="27">'[1]比较法-商业'!$B$92:$M$92</definedName>
    <definedName name="商业楼层">'不动产比较法-商业'!$B$92:$M$92</definedName>
    <definedName name="商业内部装修" localSheetId="27">'[1]比较法-商业'!$B$122:$M$122</definedName>
    <definedName name="商业内部装修">'不动产比较法-商业'!$B$122:$M$122</definedName>
    <definedName name="商业人流量" localSheetId="27">'[1]比较法-商业'!$B$90:$M$90</definedName>
    <definedName name="商业人流量">'不动产比较法-商业'!$B$90:$M$90</definedName>
    <definedName name="商业业态" localSheetId="27">'[1]比较法-商业'!$B$114:$M$114</definedName>
    <definedName name="商业业态">'不动产比较法-商业'!$B$114:$M$114</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'不动产比较法-仓储'!$B$89:$M$89</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7">'[1]土地比较法-工业'!$B$99:$M$99</definedName>
    <definedName name="套工土地级别">'比较法-工业'!$B$101:$M$101</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27">'[1]土地比较法-工业'!$B$110:$M$110</definedName>
    <definedName name="套工宗地形状">'比较法-工业'!$B$112:$M$112</definedName>
    <definedName name="套综道路等级" localSheetId="27">'[1]土地比较法-住宅、综合'!$B$106:$M$106</definedName>
    <definedName name="套综道路等级">'比较法-住宅、综合'!$B$108:$M$108</definedName>
    <definedName name="套综工程地质条件" localSheetId="27">'[1]土地比较法-住宅、综合'!$B$125:$M$125</definedName>
    <definedName name="套综工程地质条件">'比较法-住宅、综合'!$B$127:$M$127</definedName>
    <definedName name="套综交易情况" localSheetId="27">'[1]土地比较法-住宅、综合'!$A$73:$M$73</definedName>
    <definedName name="套综交易情况">'比较法-住宅、综合'!$A$75:$M$75</definedName>
    <definedName name="套综临街宽度及深度" localSheetId="27">'[1]土地比较法-住宅、综合'!$B$121:$M$121</definedName>
    <definedName name="套综临街宽度及深度">'比较法-住宅、综合'!$B$123:$M$123</definedName>
    <definedName name="套综土地级别" localSheetId="27">'[1]土地比较法-住宅、综合'!$B$108:$M$108</definedName>
    <definedName name="套综土地级别">'比较法-住宅、综合'!$B$110:$M$110</definedName>
    <definedName name="套综用途" localSheetId="27">'[1]土地比较法-住宅、综合'!$B$75:$M$75</definedName>
    <definedName name="套综用途">'比较法-住宅、综合'!$B$77:$M$77</definedName>
    <definedName name="套综宗地内开发程度" localSheetId="27">'[1]土地比较法-住宅、综合'!$B$123:$M$123</definedName>
    <definedName name="套综宗地内开发程度">'比较法-住宅、综合'!$B$125:$M$125</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区片价!$M$1:$M$35</definedName>
    <definedName name="项目类型" localSheetId="27">'[1]数据-汇总表'!$C$17:$C$26</definedName>
    <definedName name="项目类型">'数据-汇总表'!$C$17:$C$26</definedName>
    <definedName name="写字楼等级" localSheetId="27">'[1]比较法-办公'!$B$113:$M$113</definedName>
    <definedName name="写字楼等级">'不动产比较法-办公'!$B$113:$M$113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27">'[1]比较法-仓储'!$B$84:$M$84</definedName>
    <definedName name="有无电梯">'不动产比较法-仓储'!$B$84:$M$84</definedName>
    <definedName name="主用途" localSheetId="27">[1]定义!$F$1:$F$10</definedName>
    <definedName name="主用途">定义!$F$1:$F$10</definedName>
    <definedName name="住宅朝向" localSheetId="27">'[1]比较法-住宅'!$B$88:$M$88</definedName>
    <definedName name="住宅朝向">'不动产比较法-住宅'!$B$88:$M$88</definedName>
    <definedName name="住宅房型" localSheetId="27">'[1]比较法-住宅'!$B$118:$M$118</definedName>
    <definedName name="住宅房型">'不动产比较法-住宅'!$B$118:$M$118</definedName>
    <definedName name="住宅公共部分装修" localSheetId="27">'[1]比较法-住宅'!$B$109:$M$109</definedName>
    <definedName name="住宅公共部分装修">'不动产比较法-住宅'!$B$109:$M$109</definedName>
    <definedName name="住宅基础设施水平" localSheetId="27">'[1]比较法-住宅'!$B$116:$M$116</definedName>
    <definedName name="住宅基础设施水平">'不动产比较法-住宅'!$B$116:$M$116</definedName>
    <definedName name="住宅建筑结构" localSheetId="27">'[1]比较法-住宅'!$B$105:$M$105</definedName>
    <definedName name="住宅建筑结构">'不动产比较法-住宅'!$B$105:$M$105</definedName>
    <definedName name="住宅建筑类型" localSheetId="27">'[1]比较法-住宅'!$B$100:$M$100</definedName>
    <definedName name="住宅建筑类型">'不动产比较法-住宅'!$B$100:$M$100</definedName>
    <definedName name="住宅建筑品质" localSheetId="27">'[1]比较法-住宅'!$B$107:$M$107</definedName>
    <definedName name="住宅建筑品质">'不动产比较法-住宅'!$B$107:$M$107</definedName>
    <definedName name="住宅交易情况" localSheetId="27">'[1]比较法-住宅'!$A$61:$M$61</definedName>
    <definedName name="住宅交易情况">'不动产比较法-住宅'!$A$61:$M$61</definedName>
    <definedName name="住宅楼层" localSheetId="27">'[1]比较法-住宅'!$B$86:$M$86</definedName>
    <definedName name="住宅楼层">'不动产比较法-住宅'!$B$86:$M$86</definedName>
    <definedName name="住宅内部装修" localSheetId="27">'[1]比较法-住宅'!$B$122:$M$122</definedName>
    <definedName name="住宅内部装修">'不动产比较法-住宅'!$B$122:$M$122</definedName>
    <definedName name="住宅物业管理" localSheetId="27">'[1]比较法-住宅'!$B$114:$M$114</definedName>
    <definedName name="住宅物业管理">'不动产比较法-住宅'!$B$114:$M$114</definedName>
    <definedName name="住宅用途" localSheetId="27">'[1]比较法-住宅'!$B$63:$M$63</definedName>
    <definedName name="住宅用途">'不动产比较法-住宅'!$B$63:$M$63</definedName>
    <definedName name="住宅主力户型面积">'不动产比较法-住宅'!$B$120:$M$120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J17" i="44"/>
  <c r="E9" i="67"/>
  <c r="M10" i="44"/>
  <c r="F10" i="44"/>
  <c r="F12" i="67"/>
  <c r="F43" i="15"/>
  <c r="J15" i="15"/>
  <c r="F35" i="15"/>
  <c r="M28" i="15"/>
  <c r="F9" i="44"/>
  <c r="M30" i="44"/>
  <c r="E8" i="67"/>
  <c r="F40" i="15"/>
  <c r="F11" i="67"/>
  <c r="N5" i="65"/>
  <c r="F43" i="44"/>
  <c r="F16" i="15"/>
  <c r="M24" i="15"/>
  <c r="L48" i="44"/>
  <c r="F8" i="67"/>
  <c r="F37" i="15"/>
  <c r="F13" i="67"/>
  <c r="B14" i="67"/>
  <c r="M29" i="15"/>
  <c r="F38" i="44"/>
  <c r="E12" i="67"/>
  <c r="F13" i="15"/>
  <c r="L47" i="15"/>
  <c r="F10" i="67"/>
  <c r="M26" i="15"/>
  <c r="F9" i="15"/>
  <c r="M9" i="15"/>
  <c r="F37" i="44"/>
  <c r="B10" i="67"/>
  <c r="F36" i="15"/>
  <c r="J3" i="65"/>
  <c r="I7" i="65"/>
  <c r="F8" i="44"/>
  <c r="F15" i="44"/>
  <c r="N7" i="65"/>
  <c r="N6" i="65"/>
  <c r="J36" i="15"/>
  <c r="L49" i="44"/>
  <c r="J7" i="65"/>
  <c r="B9" i="67"/>
  <c r="F26" i="15"/>
  <c r="N3" i="65"/>
  <c r="B13" i="67"/>
  <c r="F11" i="44"/>
  <c r="F39" i="44"/>
  <c r="M24" i="44"/>
  <c r="C19" i="44"/>
  <c r="F45" i="44"/>
  <c r="F28" i="44"/>
  <c r="M21" i="15"/>
  <c r="E13" i="67"/>
  <c r="M11" i="44"/>
  <c r="M29" i="44"/>
  <c r="M27" i="15"/>
  <c r="F42" i="15"/>
  <c r="J5" i="65"/>
  <c r="B11" i="67"/>
  <c r="F14" i="67"/>
  <c r="F6" i="15"/>
  <c r="I6" i="65"/>
  <c r="M23" i="44"/>
  <c r="J4" i="65"/>
  <c r="L48" i="15"/>
  <c r="F7" i="15"/>
  <c r="D21" i="12"/>
  <c r="M23" i="15"/>
  <c r="E14" i="67"/>
  <c r="M6" i="15"/>
  <c r="F18" i="44"/>
  <c r="B8" i="67"/>
  <c r="F40" i="44"/>
  <c r="M8" i="44"/>
  <c r="E10" i="67"/>
  <c r="F8" i="15"/>
  <c r="F38" i="15"/>
  <c r="E11" i="67"/>
  <c r="M22" i="15"/>
  <c r="J6" i="65"/>
  <c r="M8" i="15"/>
  <c r="B12" i="67"/>
  <c r="M31" i="44"/>
  <c r="N4" i="65"/>
  <c r="I5" i="65"/>
  <c r="M25" i="44"/>
  <c r="M28" i="44"/>
  <c r="I4" i="65"/>
  <c r="M26" i="44"/>
  <c r="I3" i="65"/>
  <c r="F9" i="67"/>
  <c r="F46" i="44"/>
  <c r="P75" i="15" l="1"/>
  <c r="E14" i="52"/>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C18" i="44"/>
  <c r="E2" i="65"/>
  <c r="C16" i="15"/>
  <c r="C17" i="15"/>
  <c r="E3" i="65"/>
  <c r="J12" i="39" l="1"/>
  <c r="AC12" i="39" s="1"/>
  <c r="F12" i="39"/>
  <c r="AA12" i="39" s="1"/>
  <c r="H12" i="39"/>
  <c r="U12" i="39" s="1"/>
  <c r="W12" i="40"/>
  <c r="AC12" i="40"/>
  <c r="V44" i="40" s="1"/>
  <c r="I44" i="40" s="1"/>
  <c r="I48" i="40" s="1"/>
  <c r="J48" i="40" s="1"/>
  <c r="H12" i="40"/>
  <c r="AB12" i="40" s="1"/>
  <c r="T44" i="40" s="1"/>
  <c r="G44" i="40" s="1"/>
  <c r="G48" i="40" s="1"/>
  <c r="H48" i="40" s="1"/>
  <c r="F12" i="40"/>
  <c r="AA12" i="40" s="1"/>
  <c r="R44" i="40" s="1"/>
  <c r="E44"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AB12" i="39"/>
  <c r="U12" i="40"/>
  <c r="S12" i="40"/>
  <c r="S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3" i="12"/>
  <c r="F33" i="12"/>
  <c r="AE6" i="1"/>
  <c r="C14" i="15"/>
  <c r="C16" i="44"/>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E7" i="67"/>
  <c r="L52" i="44"/>
  <c r="D16" i="12"/>
  <c r="F7" i="67"/>
  <c r="F41" i="15"/>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B7" i="67"/>
  <c r="C19" i="9"/>
  <c r="D22" i="12"/>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1" i="9"/>
  <c r="C20"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D19" i="9"/>
  <c r="B3" i="12"/>
  <c r="L44" i="9" l="1"/>
  <c r="G19" i="9"/>
  <c r="C32" i="9" s="1"/>
  <c r="D22" i="9"/>
  <c r="B4" i="12"/>
  <c r="D20" i="9"/>
  <c r="B5" i="12"/>
  <c r="G20" i="9" l="1"/>
  <c r="N43" i="9"/>
  <c r="G22" i="9"/>
  <c r="C35" i="9"/>
  <c r="F42" i="9" s="1"/>
  <c r="C42" i="9"/>
  <c r="C33" i="9"/>
  <c r="C45" i="9"/>
  <c r="C34" i="9"/>
  <c r="O38" i="9"/>
  <c r="O43" i="9"/>
  <c r="D21" i="9"/>
  <c r="G21" i="9" l="1"/>
  <c r="K25" i="9"/>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<sst xmlns="http://schemas.openxmlformats.org/spreadsheetml/2006/main" count="7085" uniqueCount="3120">
  <si>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</si>
  <si>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</si>
  <si>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</si>
  <si>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</si>
  <si>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</si>
  <si>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</si>
  <si>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</si>
  <si>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</si>
  <si>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</si>
  <si>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</si>
  <si>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</si>
  <si>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</si>
  <si>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</si>
  <si>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</si>
  <si>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</si>
  <si>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</si>
  <si>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</si>
  <si>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</si>
  <si>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</si>
  <si>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</si>
  <si>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</si>
  <si>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</si>
  <si>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</si>
  <si>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</si>
  <si>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</si>
  <si>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</si>
  <si>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</si>
  <si>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</si>
  <si>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</si>
  <si>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</si>
  <si>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</si>
  <si>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</si>
  <si>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</si>
  <si>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</si>
  <si>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</si>
  <si>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</si>
  <si>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</si>
  <si>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</si>
  <si>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</si>
  <si>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</si>
  <si>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</si>
  <si>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</si>
  <si>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</si>
  <si>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</si>
  <si>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</si>
  <si>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</si>
  <si>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</si>
  <si>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</si>
  <si>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</si>
  <si>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</si>
  <si>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</si>
  <si>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</si>
  <si>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</si>
  <si>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</si>
  <si>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</si>
  <si>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</si>
  <si>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</si>
  <si>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</si>
  <si>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</si>
  <si>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</si>
  <si>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</si>
  <si>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</si>
  <si>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</si>
  <si>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</si>
  <si>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</si>
  <si>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</si>
  <si>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</si>
  <si>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</si>
  <si>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</si>
  <si>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</si>
  <si>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</si>
  <si>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</si>
  <si>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</si>
  <si>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</si>
  <si>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</si>
  <si>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</si>
  <si>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</si>
  <si>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</si>
  <si>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</si>
  <si>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</si>
  <si>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</si>
  <si>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</si>
  <si>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</si>
  <si>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</si>
  <si>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</si>
  <si>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</si>
  <si>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</si>
  <si>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</si>
  <si>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</si>
  <si>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</si>
  <si>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</si>
  <si>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</si>
  <si>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</si>
  <si>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</si>
  <si>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</si>
  <si>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</si>
  <si>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</si>
  <si>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</si>
  <si>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</si>
  <si>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</si>
  <si>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</si>
  <si>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</si>
  <si>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</si>
  <si>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</si>
  <si>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</si>
  <si>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</si>
  <si>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</si>
  <si>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</si>
  <si>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</si>
  <si>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</si>
  <si>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</si>
  <si>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</si>
  <si>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</si>
  <si>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</si>
  <si>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</si>
  <si>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</si>
  <si>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</si>
  <si>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</si>
  <si>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</si>
  <si>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</si>
  <si>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</si>
  <si>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</si>
  <si>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</si>
  <si>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</si>
  <si>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</si>
  <si>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</si>
  <si>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</si>
  <si>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</si>
  <si>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</si>
  <si>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</si>
  <si>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</si>
  <si>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</si>
  <si>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</si>
  <si>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</si>
  <si>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</si>
  <si>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</si>
  <si>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</si>
  <si>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</si>
  <si>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</si>
  <si>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</si>
  <si>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</si>
  <si>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</si>
  <si>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</si>
  <si>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</si>
  <si>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</si>
  <si>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</si>
  <si>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</si>
  <si>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</si>
  <si>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</si>
  <si>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</si>
  <si>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</si>
  <si>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</si>
  <si>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</si>
  <si>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</si>
  <si>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</si>
  <si>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</si>
  <si>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</si>
  <si>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</si>
  <si>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</si>
  <si>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</si>
  <si>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</si>
  <si>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</si>
  <si>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</si>
  <si>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</si>
  <si>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</si>
  <si>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</si>
  <si>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</si>
  <si>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</si>
  <si>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</si>
  <si>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</si>
  <si>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</si>
  <si>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</si>
  <si>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</si>
  <si>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</si>
  <si>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</si>
  <si>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</si>
  <si>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</si>
  <si>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</si>
  <si>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</si>
  <si>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</si>
  <si>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</si>
  <si>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</si>
  <si>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</si>
  <si>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</si>
  <si>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</si>
  <si>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</si>
  <si>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</si>
  <si>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</si>
  <si>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</si>
  <si>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</si>
  <si>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</si>
  <si>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</si>
  <si>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</si>
  <si>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</si>
  <si>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</si>
  <si>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</si>
  <si>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</si>
  <si>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</si>
  <si>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</si>
  <si>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</si>
  <si>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</si>
  <si>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</si>
  <si>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</si>
  <si>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</si>
  <si>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</si>
  <si>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</si>
  <si>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</si>
  <si>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</si>
  <si>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</si>
  <si>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</si>
  <si>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</si>
  <si>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</si>
  <si>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</si>
  <si>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</si>
  <si>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</si>
  <si>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</si>
  <si>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</si>
  <si>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</si>
  <si>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</si>
  <si>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</si>
  <si>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</si>
  <si>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</si>
  <si>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</si>
  <si>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</si>
  <si>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</si>
  <si>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</si>
  <si>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</si>
  <si>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</si>
  <si>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</si>
  <si>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</si>
  <si>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</si>
  <si>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</si>
  <si>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</si>
  <si>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</si>
  <si>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</si>
  <si>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</si>
  <si>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</si>
  <si>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</si>
  <si>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</si>
  <si>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</si>
  <si>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</si>
  <si>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</si>
  <si>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</si>
  <si>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</si>
  <si>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</si>
  <si>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</si>
  <si>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</si>
  <si>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</si>
  <si>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</si>
  <si>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</si>
  <si>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</si>
  <si>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</si>
  <si>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</si>
  <si>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</si>
  <si>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</si>
  <si>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</si>
  <si>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</si>
  <si>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</si>
  <si>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</si>
  <si>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</si>
  <si>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</si>
  <si>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</si>
  <si>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</si>
  <si>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</si>
  <si>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</si>
  <si>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</si>
  <si>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</si>
  <si>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</si>
  <si>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</si>
  <si>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</si>
  <si>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</si>
  <si>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</si>
  <si>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</si>
  <si>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</si>
  <si>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</si>
  <si>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</si>
  <si>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</si>
  <si>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</si>
  <si>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</si>
  <si>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</si>
  <si>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</si>
  <si>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</si>
  <si>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</si>
  <si>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</si>
  <si>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</si>
  <si>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</si>
  <si>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</si>
  <si>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</si>
  <si>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</si>
  <si>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</si>
  <si>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</si>
  <si>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</si>
  <si>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</si>
  <si>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</si>
  <si>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</si>
  <si>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</si>
  <si>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</si>
  <si>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</si>
  <si>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</si>
  <si>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</si>
  <si>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</si>
  <si>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</si>
  <si>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</si>
  <si>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</si>
  <si>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</si>
  <si>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</si>
  <si>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</si>
  <si>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</si>
  <si>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</si>
  <si>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</si>
  <si>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</si>
  <si>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</si>
  <si>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</si>
  <si>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</si>
  <si>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</si>
  <si>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</si>
  <si>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</si>
  <si>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</si>
  <si>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</si>
  <si>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</si>
  <si>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</si>
  <si>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</si>
  <si>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</si>
  <si>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</si>
  <si>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</si>
  <si>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</si>
  <si>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</si>
  <si>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</si>
  <si>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</si>
  <si>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</si>
  <si>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</si>
  <si>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</si>
  <si>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</si>
  <si>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</si>
  <si>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</si>
  <si>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</si>
  <si>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</si>
  <si>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</si>
  <si>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</si>
  <si>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</si>
  <si>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</si>
  <si>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</si>
  <si>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</si>
  <si>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</si>
  <si>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</si>
  <si>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</si>
  <si>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</si>
  <si>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</si>
  <si>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</si>
  <si>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</si>
  <si>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</si>
  <si>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</si>
  <si>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</si>
  <si>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</si>
  <si>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</si>
  <si>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</si>
  <si>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</si>
  <si>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</si>
  <si>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</si>
  <si>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</si>
  <si>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</si>
  <si>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</si>
  <si>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</si>
  <si>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</si>
  <si>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</si>
  <si>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</si>
  <si>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</si>
  <si>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</si>
  <si>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</si>
  <si>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</si>
  <si>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</si>
  <si>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</si>
  <si>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</si>
  <si>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</si>
  <si>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</si>
  <si>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</si>
  <si>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</si>
  <si>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</si>
  <si>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</si>
  <si>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</si>
  <si>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</si>
  <si>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</si>
  <si>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</si>
  <si>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</si>
  <si>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</si>
  <si>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</si>
  <si>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</si>
  <si>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</si>
  <si>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</si>
  <si>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</si>
  <si>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</si>
  <si>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</si>
  <si>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</si>
  <si>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</si>
  <si>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</si>
  <si>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</si>
  <si>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</si>
  <si>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</si>
  <si>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</si>
  <si>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</si>
  <si>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</si>
  <si>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</si>
  <si>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</si>
  <si>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</si>
  <si>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</si>
  <si>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</si>
  <si>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</si>
  <si>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</si>
  <si>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</si>
  <si>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</si>
  <si>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</si>
  <si>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</si>
  <si>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</si>
  <si>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</si>
  <si>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</si>
  <si>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</si>
  <si>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</si>
  <si>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</si>
  <si>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</si>
  <si>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</si>
  <si>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</si>
  <si>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</si>
  <si>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</si>
  <si>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</si>
  <si>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</si>
  <si>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</si>
  <si>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</si>
  <si>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</si>
  <si>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</si>
  <si>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</si>
  <si>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</si>
  <si>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</si>
  <si>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</si>
  <si>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</si>
  <si>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</si>
  <si>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</si>
  <si>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</si>
  <si>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</si>
  <si>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</si>
  <si>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</si>
  <si>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</si>
  <si>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</si>
  <si>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</si>
  <si>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</si>
  <si>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</si>
  <si>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</si>
  <si>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</si>
  <si>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</si>
  <si>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</si>
  <si>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</si>
  <si>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</si>
  <si>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</si>
  <si>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</si>
  <si>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</si>
  <si>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</si>
  <si>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</si>
  <si>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</si>
  <si>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</si>
  <si>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</si>
  <si>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</si>
  <si>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</si>
  <si>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</si>
  <si>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</si>
  <si>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</si>
  <si>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</si>
  <si>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</si>
  <si>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</si>
  <si>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</si>
  <si>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</si>
  <si>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</si>
  <si>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</si>
  <si>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</si>
  <si>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</si>
  <si>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</si>
  <si>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</si>
  <si>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</si>
  <si>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</si>
  <si>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</si>
  <si>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</si>
  <si>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</si>
  <si>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</si>
  <si>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</si>
  <si>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</si>
  <si>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</si>
  <si>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</si>
  <si>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</si>
  <si>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</si>
  <si>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</si>
  <si>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</si>
  <si>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</si>
  <si>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</si>
  <si>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</si>
  <si>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</si>
  <si>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</si>
  <si>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</si>
  <si>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</si>
  <si>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</si>
  <si>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</si>
  <si>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</si>
  <si>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</si>
  <si>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</si>
  <si>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</si>
  <si>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</si>
  <si>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</si>
  <si>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</si>
  <si>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</si>
  <si>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</si>
  <si>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</si>
  <si>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</si>
  <si>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</si>
  <si>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</si>
  <si>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</si>
  <si>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</si>
  <si>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</si>
  <si>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</si>
  <si>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</si>
  <si>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</si>
  <si>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</si>
  <si>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</si>
  <si>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</si>
  <si>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</si>
  <si>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</si>
  <si>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</si>
  <si>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</si>
  <si>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</si>
  <si>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</si>
  <si>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</si>
  <si>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</si>
  <si>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</si>
  <si>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</si>
  <si>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</si>
  <si>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</si>
  <si>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</si>
  <si>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</si>
  <si>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</si>
  <si>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</si>
  <si>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</si>
  <si>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</si>
  <si>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</si>
  <si>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</si>
  <si>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</si>
  <si>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</si>
  <si>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</si>
  <si>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</si>
  <si>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</si>
  <si>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</si>
  <si>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</si>
  <si>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</si>
  <si>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</si>
  <si>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</si>
  <si>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</si>
  <si>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</si>
  <si>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</si>
  <si>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</si>
  <si>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</si>
  <si>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</si>
  <si>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</si>
  <si>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</si>
  <si>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</si>
  <si>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</si>
  <si>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</si>
  <si>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</si>
  <si>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</si>
  <si>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</si>
  <si>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</si>
  <si>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</si>
  <si>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</si>
  <si>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</si>
  <si>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</si>
  <si>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</si>
  <si>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</si>
  <si>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</si>
  <si>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</si>
  <si>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</si>
  <si>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</si>
  <si>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</si>
  <si>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</si>
  <si>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</si>
  <si>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</si>
  <si>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</si>
  <si>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</si>
  <si>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</si>
  <si>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</si>
  <si>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</si>
  <si>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</si>
  <si>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</si>
  <si>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</si>
  <si>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</si>
  <si>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</si>
  <si>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</si>
  <si>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</si>
  <si>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</si>
  <si>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</si>
  <si>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</si>
  <si>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</si>
  <si>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</si>
  <si>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</si>
  <si>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</si>
  <si>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</si>
  <si>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</si>
  <si>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</si>
  <si>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</si>
  <si>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</si>
  <si>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</si>
  <si>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</si>
  <si>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</si>
  <si>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</si>
  <si>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</si>
  <si>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</si>
  <si>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</si>
  <si>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</si>
  <si>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</si>
  <si>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</si>
  <si>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</si>
  <si>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</si>
  <si>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</si>
  <si>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</si>
  <si>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</si>
  <si>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</si>
  <si>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</si>
  <si>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</si>
  <si>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</si>
  <si>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</si>
  <si>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</si>
  <si>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</si>
  <si>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</si>
  <si>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</si>
  <si>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</si>
  <si>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</si>
  <si>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</si>
  <si>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</si>
  <si>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</si>
  <si>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</si>
  <si>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</si>
  <si>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</si>
  <si>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</si>
  <si>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</si>
  <si>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</si>
  <si>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</si>
  <si>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</si>
  <si>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</si>
  <si>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</si>
  <si>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</si>
  <si>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</si>
  <si>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</si>
  <si>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</si>
  <si>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</si>
  <si>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</si>
  <si>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</si>
  <si>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</si>
  <si>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</si>
  <si>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</si>
  <si>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</si>
  <si>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</si>
  <si>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</si>
  <si>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</si>
  <si>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</si>
  <si>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</si>
  <si>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</si>
  <si>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</si>
  <si>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</si>
  <si>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</si>
  <si>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</si>
  <si>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</si>
  <si>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</si>
  <si>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</si>
  <si>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</si>
  <si>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</si>
  <si>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</si>
  <si>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</si>
  <si>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</si>
  <si>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</si>
  <si>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</si>
  <si>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</si>
  <si>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</si>
  <si>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</si>
  <si>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</si>
  <si>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</si>
  <si>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</si>
  <si>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</si>
  <si>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</si>
  <si>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</si>
  <si>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</si>
  <si>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</si>
  <si>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</si>
  <si>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</si>
  <si>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</si>
  <si>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</si>
  <si>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</si>
  <si>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</si>
  <si>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</si>
  <si>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</si>
  <si>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</si>
  <si>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</si>
  <si>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</si>
  <si>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</si>
  <si>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</si>
  <si>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</si>
  <si>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</si>
  <si>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</si>
  <si>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</si>
  <si>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</si>
  <si>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</si>
  <si>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</si>
  <si>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</si>
  <si>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</si>
  <si>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</si>
  <si>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</si>
  <si>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</si>
  <si>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</si>
  <si>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</si>
  <si>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</si>
  <si>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</si>
  <si>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</si>
  <si>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</si>
  <si>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</si>
  <si>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</si>
  <si>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</si>
  <si>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</si>
  <si>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</si>
  <si>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</si>
  <si>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</si>
  <si>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</si>
  <si>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</si>
  <si>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</si>
  <si>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</si>
  <si>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</si>
  <si>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</si>
  <si>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</si>
  <si>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</si>
  <si>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</si>
  <si>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</si>
  <si>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</si>
  <si>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</si>
  <si>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</si>
  <si>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</si>
  <si>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</si>
  <si>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</si>
  <si>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</si>
  <si>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</si>
  <si>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</si>
  <si>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</si>
  <si>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</si>
  <si>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</si>
  <si>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</si>
  <si>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</si>
  <si>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</si>
  <si>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</si>
  <si>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</si>
  <si>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</si>
  <si>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</si>
  <si>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</si>
  <si>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</si>
  <si>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</si>
  <si>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</si>
  <si>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</si>
  <si>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</si>
  <si>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</si>
  <si>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</si>
  <si>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</si>
  <si>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</si>
  <si>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</si>
  <si>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</si>
  <si>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</si>
  <si>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</si>
  <si>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</si>
  <si>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</si>
  <si>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</si>
  <si>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</si>
  <si>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</si>
  <si>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</si>
  <si>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</si>
  <si>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</si>
  <si>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</si>
  <si>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</si>
  <si>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</si>
  <si>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</si>
  <si>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</si>
  <si>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</si>
  <si>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</si>
  <si>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</si>
  <si>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</si>
  <si>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</si>
  <si>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</si>
  <si>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</si>
  <si>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</si>
  <si>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</si>
  <si>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</si>
  <si>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</si>
  <si>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</si>
  <si>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</si>
  <si>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</si>
  <si>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</si>
  <si>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</si>
  <si>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</si>
  <si>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</si>
  <si>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</si>
  <si>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</si>
  <si>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</si>
  <si>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</si>
  <si>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</si>
  <si>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</si>
  <si>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</si>
  <si>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</si>
  <si>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</si>
  <si>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</si>
  <si>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</si>
  <si>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</si>
  <si>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</si>
  <si>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</si>
  <si>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</si>
  <si>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</si>
  <si>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</si>
  <si>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</si>
  <si>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</si>
  <si>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</si>
  <si>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</si>
  <si>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</si>
  <si>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</si>
  <si>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</si>
  <si>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</si>
  <si>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</si>
  <si>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</si>
  <si>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</si>
  <si>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</si>
  <si>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</si>
  <si>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</si>
  <si>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</si>
  <si>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</si>
  <si>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</si>
  <si>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</si>
  <si>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</si>
  <si>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</si>
  <si>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</si>
  <si>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</si>
  <si>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</si>
  <si>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</si>
  <si>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</si>
  <si>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</si>
  <si>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</si>
  <si>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</si>
  <si>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</si>
  <si>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</si>
  <si>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</si>
  <si>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</si>
  <si>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</si>
  <si>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</si>
  <si>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</si>
  <si>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</si>
  <si>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</si>
  <si>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</si>
  <si>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</si>
  <si>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</si>
  <si>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</si>
  <si>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</si>
  <si>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</si>
  <si>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</si>
  <si>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</si>
  <si>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</si>
  <si>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</si>
  <si>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</si>
  <si>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</si>
  <si>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</si>
  <si>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</si>
  <si>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</si>
  <si>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</si>
  <si>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</si>
  <si>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</si>
  <si>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</si>
  <si>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</si>
  <si>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</si>
  <si>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</si>
  <si>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</si>
  <si>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</si>
  <si>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</si>
  <si>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</si>
  <si>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</si>
  <si>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</si>
  <si>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</si>
  <si>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</si>
  <si>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</si>
  <si>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</si>
  <si>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</si>
  <si>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</si>
  <si>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</si>
  <si>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</si>
  <si>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</si>
  <si>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</si>
  <si>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</si>
  <si>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</si>
  <si>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</si>
  <si>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</si>
  <si>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</si>
  <si>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</si>
  <si>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</si>
  <si>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</si>
  <si>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</si>
  <si>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</si>
  <si>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</si>
  <si>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</si>
  <si>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</si>
  <si>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</si>
  <si>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</si>
  <si>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</si>
  <si>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</si>
  <si>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</si>
  <si>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</si>
  <si>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</si>
  <si>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</si>
  <si>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</si>
  <si>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</si>
  <si>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</si>
  <si>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</si>
  <si>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</si>
  <si>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</si>
  <si>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</si>
  <si>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</si>
  <si>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</si>
  <si>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</si>
  <si>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</si>
  <si>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</si>
  <si>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</si>
  <si>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</si>
  <si>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</si>
  <si>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</si>
  <si>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</si>
  <si>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</si>
  <si>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</si>
  <si>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</si>
  <si>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</si>
  <si>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</si>
  <si>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</si>
  <si>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</si>
  <si>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</si>
  <si>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</si>
  <si>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</si>
  <si>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</si>
  <si>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</si>
  <si>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</si>
  <si>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</si>
  <si>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</si>
  <si>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</si>
  <si>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</si>
  <si>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</si>
  <si>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</si>
  <si>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</si>
  <si>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</si>
  <si>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</si>
  <si>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</si>
  <si>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</si>
  <si>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</si>
  <si>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</si>
  <si>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</si>
  <si>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</si>
  <si>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</si>
  <si>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</si>
  <si>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</si>
  <si>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</si>
  <si>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</si>
  <si>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</si>
  <si>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</si>
  <si>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</si>
  <si>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</si>
  <si>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</si>
  <si>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</si>
  <si>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</si>
  <si>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</si>
  <si>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</si>
  <si>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</si>
  <si>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</si>
  <si>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</si>
  <si>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</si>
  <si>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</si>
  <si>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</si>
  <si>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</si>
  <si>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</si>
  <si>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</si>
  <si>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</si>
  <si>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</si>
  <si>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</si>
  <si>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</si>
  <si>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</si>
  <si>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</si>
  <si>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</si>
  <si>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</si>
  <si>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</si>
  <si>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</si>
  <si>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</si>
  <si>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</si>
  <si>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</si>
  <si>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</si>
  <si>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</si>
  <si>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</si>
  <si>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</si>
  <si>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</si>
  <si>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</si>
  <si>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</si>
  <si>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</si>
  <si>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</si>
  <si>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</si>
  <si>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</si>
  <si>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</si>
  <si>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</si>
  <si>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</si>
  <si>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</si>
  <si>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</si>
  <si>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</si>
  <si>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</si>
  <si>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</si>
  <si>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</si>
  <si>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</si>
  <si>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</si>
  <si>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</si>
  <si>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</si>
  <si>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</si>
  <si>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</si>
  <si>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</si>
  <si>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</si>
  <si>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</si>
  <si>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</si>
  <si>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</si>
  <si>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</si>
  <si>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</si>
  <si>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</si>
  <si>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</si>
  <si>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</si>
  <si>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</si>
  <si>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</si>
  <si>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</si>
  <si>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</si>
  <si>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</si>
  <si>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</si>
  <si>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</si>
  <si>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</si>
  <si>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</si>
  <si>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</si>
  <si>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</si>
  <si>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</si>
  <si>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</si>
  <si>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</si>
  <si>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</si>
  <si>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</si>
  <si>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</si>
  <si>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</si>
  <si>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</si>
  <si>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</si>
  <si>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</si>
  <si>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</si>
  <si>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</si>
  <si>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</si>
  <si>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</si>
  <si>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</si>
  <si>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</si>
  <si>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</si>
  <si>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</si>
  <si>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</si>
  <si>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</si>
  <si>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</si>
  <si>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</si>
  <si>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</si>
  <si>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</si>
  <si>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</si>
  <si>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</si>
  <si>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</si>
  <si>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</si>
  <si>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</si>
  <si>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</si>
  <si>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</si>
  <si>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</si>
  <si>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</si>
  <si>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</si>
  <si>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</si>
  <si>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</si>
  <si>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</si>
  <si>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</si>
  <si>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</si>
  <si>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</si>
  <si>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</si>
  <si>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</si>
  <si>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</si>
  <si>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</si>
  <si>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</si>
  <si>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</si>
  <si>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</si>
  <si>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</si>
  <si>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</si>
  <si>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</si>
  <si>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</si>
  <si>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</si>
  <si>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</si>
  <si>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</si>
  <si>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</si>
  <si>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</si>
  <si>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</si>
  <si>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</si>
  <si>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</si>
  <si>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</si>
  <si>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</si>
  <si>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</si>
  <si>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</si>
  <si>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</si>
  <si>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</si>
  <si>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</si>
  <si>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</si>
  <si>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</si>
  <si>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</si>
  <si>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</si>
  <si>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</si>
  <si>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</si>
  <si>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</si>
  <si>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</si>
  <si>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</si>
  <si>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</si>
  <si>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</si>
  <si>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</si>
  <si>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</si>
  <si>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</si>
  <si>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</si>
  <si>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</si>
  <si>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</si>
  <si>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</si>
  <si>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</si>
  <si>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</si>
  <si>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</si>
  <si>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</si>
  <si>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</si>
  <si>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</si>
  <si>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</si>
  <si>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</si>
  <si>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</si>
  <si>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</si>
  <si>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</si>
  <si>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</si>
  <si>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</si>
  <si>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</si>
  <si>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</si>
  <si>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</si>
  <si>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</si>
  <si>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</si>
  <si>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</si>
  <si>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</si>
  <si>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</si>
  <si>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</si>
  <si>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</si>
  <si>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</si>
  <si>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</si>
  <si>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</si>
  <si>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</si>
  <si>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</si>
  <si>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</si>
  <si>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</si>
  <si>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</si>
  <si>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</si>
  <si>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</si>
  <si>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</si>
  <si>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</si>
  <si>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</si>
  <si>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</si>
  <si>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</si>
  <si>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</si>
  <si>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</si>
  <si>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</si>
  <si>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</si>
  <si>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</si>
  <si>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</si>
  <si>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</si>
  <si>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</si>
  <si>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</si>
  <si>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</si>
  <si>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</si>
  <si>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</si>
  <si>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</si>
  <si>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</si>
  <si>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</si>
  <si>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</si>
  <si>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</si>
  <si>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</si>
  <si>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</si>
  <si>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</si>
  <si>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</si>
  <si>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</si>
  <si>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</si>
  <si>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</si>
  <si>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</si>
  <si>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</si>
  <si>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</si>
  <si>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</si>
  <si>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</si>
  <si>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</si>
  <si>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</si>
  <si>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</si>
  <si>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</si>
  <si>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</si>
  <si>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</si>
  <si>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</si>
  <si>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</si>
  <si>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</si>
  <si>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</si>
  <si>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</si>
  <si>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</si>
  <si>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</si>
  <si>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</si>
  <si>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</si>
  <si>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</si>
  <si>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</si>
  <si>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</si>
  <si>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</si>
  <si>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</si>
  <si>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</si>
  <si>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</si>
  <si>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</si>
  <si>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</si>
  <si>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</si>
  <si>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</si>
  <si>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</si>
  <si>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</si>
  <si>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</si>
  <si>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</si>
  <si>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</si>
  <si>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</si>
  <si>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</si>
  <si>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</si>
  <si>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</si>
  <si>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</si>
  <si>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</si>
  <si>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</si>
  <si>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</si>
  <si>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</si>
  <si>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</si>
  <si>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</si>
  <si>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</si>
  <si>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</si>
  <si>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</si>
  <si>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</si>
  <si>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</si>
  <si>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</si>
  <si>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</si>
  <si>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</si>
  <si>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</si>
  <si>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</si>
  <si>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</si>
  <si>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</si>
  <si>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</si>
  <si>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</si>
  <si>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</si>
  <si>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</si>
  <si>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</si>
  <si>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</si>
  <si>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</si>
  <si>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</si>
  <si>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</si>
  <si>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</si>
  <si>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</si>
  <si>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</si>
  <si>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</si>
  <si>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</si>
  <si>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</si>
  <si>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</si>
  <si>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</si>
  <si>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</si>
  <si>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</si>
  <si>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</si>
  <si>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</si>
  <si>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</si>
  <si>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</si>
  <si>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</si>
  <si>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</si>
  <si>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</si>
  <si>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</si>
  <si>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</si>
  <si>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</si>
  <si>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</si>
  <si>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</si>
  <si>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</si>
  <si>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</si>
  <si>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</si>
  <si>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</si>
  <si>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</si>
  <si>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</si>
  <si>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</si>
  <si>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</si>
  <si>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</si>
  <si>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</si>
  <si>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</si>
  <si>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</si>
  <si>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</si>
  <si>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</si>
  <si>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</si>
  <si>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</si>
  <si>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</si>
  <si>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</si>
  <si>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</si>
  <si>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</si>
  <si>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</si>
  <si>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</si>
  <si>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</si>
  <si>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</si>
  <si>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</si>
  <si>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</si>
  <si>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</si>
  <si>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</si>
  <si>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</si>
  <si>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</si>
  <si>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</si>
  <si>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</si>
  <si>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</si>
  <si>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</si>
  <si>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</si>
  <si>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</si>
  <si>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</si>
  <si>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</si>
  <si>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</si>
  <si>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</si>
  <si>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</si>
  <si>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</si>
  <si>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</si>
  <si>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</si>
  <si>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</si>
  <si>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</si>
  <si>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</si>
  <si>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</si>
  <si>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</si>
  <si>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</si>
  <si>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</si>
  <si>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</si>
  <si>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</si>
  <si>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</si>
  <si>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</si>
  <si>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</si>
  <si>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</si>
  <si>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</si>
  <si>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</si>
  <si>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</si>
  <si>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</si>
  <si>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</si>
  <si>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</si>
  <si>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</si>
  <si>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</si>
  <si>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</si>
  <si>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</si>
  <si>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</si>
  <si>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</si>
  <si>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</si>
  <si>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</si>
  <si>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</si>
  <si>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</si>
  <si>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</si>
  <si>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</si>
  <si>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</si>
  <si>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</si>
  <si>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</si>
  <si>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</si>
  <si>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</si>
  <si>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</si>
  <si>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</si>
  <si>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</si>
  <si>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</si>
  <si>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</si>
  <si>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</si>
  <si>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</si>
  <si>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</si>
  <si>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</si>
  <si>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</si>
  <si>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</si>
  <si>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</si>
  <si>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</si>
  <si>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</si>
  <si>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</si>
  <si>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</si>
  <si>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</si>
  <si>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</si>
  <si>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</si>
  <si>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</si>
  <si>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</si>
  <si>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</si>
  <si>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</si>
  <si>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</si>
  <si>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</si>
  <si>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</si>
  <si>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</si>
  <si>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</si>
  <si>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</si>
  <si>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</si>
  <si>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</si>
  <si>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</si>
  <si>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</si>
  <si>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</si>
  <si>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</si>
  <si>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</si>
  <si>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</si>
  <si>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</si>
  <si>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</si>
  <si>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</si>
  <si>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</si>
  <si>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</si>
  <si>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</si>
  <si>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</si>
  <si>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</si>
  <si>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</si>
  <si>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</si>
  <si>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</si>
  <si>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</si>
  <si>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</si>
  <si>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</si>
  <si>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</si>
  <si>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</si>
  <si>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</si>
  <si>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</si>
  <si>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</si>
  <si>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</si>
  <si>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</si>
  <si>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</si>
  <si>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</si>
  <si>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</si>
  <si>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</si>
  <si>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</si>
  <si>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</si>
  <si>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</si>
  <si>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</si>
  <si>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</si>
  <si>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</si>
  <si>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</si>
  <si>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</si>
  <si>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</si>
  <si>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</si>
  <si>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</si>
  <si>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</si>
  <si>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</si>
  <si>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</si>
  <si>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</si>
  <si>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</si>
  <si>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</si>
  <si>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</si>
  <si>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</si>
  <si>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</si>
  <si>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</si>
  <si>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</si>
  <si>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</si>
  <si>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</si>
  <si>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</si>
  <si>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</si>
  <si>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</si>
  <si>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</si>
  <si>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</si>
  <si>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</si>
  <si>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</si>
  <si>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</si>
  <si>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</si>
  <si>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</si>
  <si>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</si>
  <si>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</si>
  <si>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</si>
  <si>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</si>
  <si>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</si>
  <si>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</si>
  <si>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</si>
  <si>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</si>
  <si>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</si>
  <si>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</si>
  <si>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</si>
  <si>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</si>
  <si>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</si>
  <si>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</si>
  <si>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</si>
  <si>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</si>
  <si>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</si>
  <si>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</si>
  <si>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</si>
  <si>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</si>
  <si>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</si>
  <si>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</si>
  <si>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</si>
  <si>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</si>
  <si>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</si>
  <si>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</si>
  <si>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</si>
  <si>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</si>
  <si>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</si>
  <si>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</si>
  <si>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</si>
  <si>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</si>
  <si>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</si>
  <si>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</si>
  <si>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</si>
  <si>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</si>
  <si>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</si>
  <si>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</si>
  <si>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</si>
  <si>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</si>
  <si>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</si>
  <si>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</si>
  <si>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</si>
  <si>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</si>
  <si>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</si>
  <si>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</si>
  <si>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</si>
  <si>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</si>
  <si>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</si>
  <si>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</si>
  <si>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</si>
  <si>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</si>
  <si>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</si>
  <si>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</si>
  <si>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</si>
  <si>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</si>
  <si>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</si>
  <si>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</si>
  <si>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</si>
  <si>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</si>
  <si>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</si>
  <si>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</si>
  <si>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</si>
  <si>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</si>
  <si>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</si>
  <si>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</si>
  <si>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</si>
  <si>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</si>
  <si>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</si>
  <si>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</si>
  <si>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</si>
  <si>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</si>
  <si>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</si>
  <si>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</si>
  <si>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</si>
  <si>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</si>
  <si>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</si>
  <si>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</si>
  <si>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</si>
  <si>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</si>
  <si>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</si>
  <si>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</si>
  <si>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</si>
  <si>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</si>
  <si>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</si>
  <si>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</si>
  <si>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</si>
  <si>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</si>
  <si>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</si>
  <si>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</si>
  <si>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</si>
  <si>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</si>
  <si>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</si>
  <si>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</si>
  <si>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</si>
  <si>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</si>
  <si>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</si>
  <si>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</si>
  <si>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</si>
  <si>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</si>
  <si>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</si>
  <si>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</si>
  <si>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</si>
  <si>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</si>
  <si>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</si>
  <si>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</si>
  <si>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</si>
  <si>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</si>
  <si>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</si>
  <si>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</si>
  <si>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</si>
  <si>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</si>
  <si>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</si>
  <si>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</si>
  <si>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</si>
  <si>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</si>
  <si>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</si>
  <si>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</si>
  <si>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</si>
  <si>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</si>
  <si>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</si>
  <si>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</si>
  <si>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</si>
  <si>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</si>
  <si>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</si>
  <si>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</si>
  <si>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</si>
  <si>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</si>
  <si>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</si>
  <si>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</si>
  <si>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</si>
  <si>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</si>
  <si>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</si>
  <si>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</si>
  <si>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</si>
  <si>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</si>
  <si>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</si>
  <si>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</si>
  <si>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</si>
  <si>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</si>
  <si>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</si>
  <si>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</si>
  <si>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</si>
  <si>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</si>
  <si>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</si>
  <si>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</si>
  <si>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</si>
  <si>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</si>
  <si>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</si>
  <si>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</si>
  <si>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</si>
  <si>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</si>
  <si>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</si>
  <si>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</si>
  <si>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</si>
  <si>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</si>
  <si>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</si>
  <si>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</si>
  <si>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</si>
  <si>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</si>
  <si>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</si>
  <si>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</si>
  <si>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</si>
  <si>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</si>
  <si>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</si>
  <si>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</si>
  <si>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</si>
  <si>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</si>
  <si>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</si>
  <si>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</si>
  <si>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</si>
  <si>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</si>
  <si>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</si>
  <si>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</si>
  <si>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</si>
  <si>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</si>
  <si>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</si>
  <si>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</si>
  <si>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</si>
  <si>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</si>
  <si>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</si>
  <si>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</si>
  <si>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</si>
  <si>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</si>
  <si>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</si>
  <si>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</si>
  <si>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</si>
  <si>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</si>
  <si>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</si>
  <si>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</si>
  <si>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</si>
  <si>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</si>
  <si>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</si>
  <si>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</si>
  <si>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</si>
  <si>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</si>
  <si>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</si>
  <si>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</si>
  <si>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</si>
  <si>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</si>
  <si>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</si>
  <si>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</si>
  <si>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</si>
  <si>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</si>
  <si>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</si>
  <si>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</si>
  <si>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</si>
  <si>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</si>
  <si>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</si>
  <si>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</si>
  <si>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</si>
  <si>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</si>
  <si>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</si>
  <si>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</si>
  <si>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</si>
  <si>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</si>
  <si>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</si>
  <si>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</si>
  <si>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</si>
  <si>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</si>
  <si>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</si>
  <si>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</si>
  <si>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</si>
  <si>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</si>
  <si>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</si>
  <si>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</si>
  <si>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</si>
  <si>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</si>
  <si>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</si>
  <si>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</si>
  <si>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</si>
  <si>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</si>
  <si>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</si>
  <si>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</si>
  <si>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</si>
  <si>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</si>
  <si>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</si>
  <si>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</si>
  <si>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</si>
  <si>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</si>
  <si>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</si>
  <si>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</si>
  <si>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</si>
  <si>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</si>
  <si>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</si>
  <si>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</si>
  <si>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</si>
  <si>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</si>
  <si>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</si>
  <si>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</si>
  <si>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</si>
  <si>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</si>
  <si>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</si>
  <si>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</si>
  <si>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</si>
  <si>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</si>
  <si>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</si>
  <si>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</si>
  <si>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</si>
  <si>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</si>
  <si>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</si>
  <si>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</si>
  <si>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</si>
  <si>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</si>
  <si>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</si>
  <si>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</si>
  <si>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</si>
  <si>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</si>
  <si>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</si>
  <si>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</si>
  <si>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</si>
  <si>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</si>
  <si>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</si>
  <si>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</si>
  <si>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</si>
  <si>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</si>
  <si>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</si>
  <si>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</si>
  <si>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</si>
  <si>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</si>
  <si>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</si>
  <si>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</si>
  <si>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</si>
  <si>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</si>
  <si>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</si>
  <si>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</si>
  <si>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</si>
  <si>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</si>
  <si>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</si>
  <si>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</si>
  <si>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</si>
  <si>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</si>
  <si>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</si>
  <si>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</si>
  <si>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</si>
  <si>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</si>
  <si>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</si>
  <si>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</si>
  <si>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</si>
  <si>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</si>
  <si>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</si>
  <si>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</si>
  <si>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</si>
  <si>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</si>
  <si>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</si>
  <si>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</si>
  <si>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</si>
  <si>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</si>
  <si>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</si>
  <si>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</si>
  <si>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</si>
  <si>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</si>
  <si>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</si>
  <si>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</si>
  <si>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</si>
  <si>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</si>
  <si>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</si>
  <si>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</si>
  <si>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</si>
  <si>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</si>
  <si>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</si>
  <si>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</si>
  <si>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</si>
  <si>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</si>
  <si>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</si>
  <si>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</si>
  <si>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</si>
  <si>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</si>
  <si>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</si>
  <si>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</si>
  <si>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</si>
  <si>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</si>
  <si>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</si>
  <si>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</si>
  <si>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</si>
  <si>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</si>
  <si>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</si>
  <si>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</si>
  <si>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</si>
  <si>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</si>
  <si>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</si>
  <si>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</si>
  <si>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</si>
  <si>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</si>
  <si>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</si>
  <si>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</si>
  <si>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</si>
  <si>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</si>
  <si>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</si>
  <si>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</si>
  <si>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</si>
  <si>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</si>
  <si>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</si>
  <si>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</si>
  <si>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</si>
  <si>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</si>
  <si>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</si>
  <si>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</si>
  <si>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</si>
  <si>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</si>
  <si>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</si>
  <si>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</si>
  <si>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</si>
  <si>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</si>
  <si>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</si>
  <si>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</si>
  <si>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</si>
  <si>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</si>
  <si>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</si>
  <si>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</si>
  <si>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</si>
  <si>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</si>
  <si>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</si>
  <si>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</si>
  <si>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</si>
  <si>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</si>
  <si>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</si>
  <si>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</si>
  <si>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</si>
  <si>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</si>
  <si>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</si>
  <si>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</si>
  <si>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</si>
  <si>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</si>
  <si>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</si>
  <si>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</si>
  <si>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</si>
  <si>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</si>
  <si>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</si>
  <si>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</si>
  <si>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</si>
  <si>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</si>
  <si>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</si>
  <si>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</si>
  <si>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</si>
  <si>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</si>
  <si>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</si>
  <si>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</si>
  <si>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</si>
  <si>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</si>
  <si>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</si>
  <si>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</si>
  <si>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</si>
  <si>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</si>
  <si>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</si>
  <si>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</si>
  <si>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</si>
  <si>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</si>
  <si>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</si>
  <si>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</si>
  <si>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</si>
  <si>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</si>
  <si>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</si>
  <si>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</si>
  <si>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</si>
  <si>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</si>
  <si>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</si>
  <si>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</si>
  <si>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</si>
  <si>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</si>
  <si>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</si>
  <si>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</si>
  <si>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</si>
  <si>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</si>
  <si>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</si>
  <si>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</si>
  <si>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</si>
  <si>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</si>
  <si>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</si>
  <si>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</si>
  <si>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</si>
  <si>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</si>
  <si>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</si>
  <si>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</si>
  <si>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</si>
  <si>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</si>
  <si>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</si>
  <si>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</si>
  <si>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</si>
  <si>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</si>
  <si>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</si>
  <si>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</si>
  <si>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</si>
  <si>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</si>
  <si>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</si>
  <si>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</si>
  <si>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</si>
  <si>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</si>
  <si>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</si>
  <si>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</si>
  <si>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</si>
  <si>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</si>
  <si>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</si>
  <si>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</si>
  <si>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</si>
  <si>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</si>
  <si>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</si>
  <si>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</si>
  <si>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</si>
  <si>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</si>
  <si>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</si>
  <si>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</si>
  <si>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</si>
  <si>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</si>
  <si>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</si>
  <si>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</si>
  <si>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</si>
  <si>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</si>
  <si>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</si>
  <si>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</si>
  <si>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</si>
  <si>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</si>
  <si>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</si>
  <si>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</si>
  <si>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</si>
  <si>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</si>
  <si>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</si>
  <si>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</si>
  <si>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</si>
  <si>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</si>
  <si>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</si>
  <si>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</si>
  <si>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</si>
  <si>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</si>
  <si>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</si>
  <si>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</si>
  <si>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</si>
  <si>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</si>
  <si>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</si>
  <si>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</si>
  <si>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</si>
  <si>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</si>
  <si>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</si>
  <si>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</si>
  <si>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</si>
  <si>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</si>
  <si>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</si>
  <si>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</si>
  <si>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</si>
  <si>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</si>
  <si>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</si>
  <si>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</si>
  <si>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</si>
  <si>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</si>
  <si>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</si>
  <si>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</si>
  <si>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</si>
  <si>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</si>
  <si>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</si>
  <si>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</si>
  <si>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</si>
  <si>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</si>
  <si>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</si>
  <si>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</si>
  <si>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</si>
  <si>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</si>
  <si>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</si>
  <si>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</si>
  <si>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</si>
  <si>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</si>
  <si>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</si>
  <si>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</si>
  <si>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</si>
  <si>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</si>
  <si>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</si>
  <si>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</si>
  <si>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</si>
  <si>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</si>
  <si>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</si>
  <si>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</si>
  <si>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</si>
  <si>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</si>
  <si>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</si>
  <si>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</si>
  <si>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</si>
  <si>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</si>
  <si>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</si>
  <si>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</si>
  <si>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</si>
  <si>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</si>
  <si>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</si>
  <si>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</si>
  <si>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</si>
  <si>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</si>
  <si>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</si>
  <si>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</si>
  <si>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</si>
  <si>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</si>
  <si>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</si>
  <si>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</si>
  <si>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</si>
  <si>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</si>
  <si>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</si>
  <si>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</si>
  <si>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</si>
  <si>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</si>
  <si>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</si>
  <si>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</si>
  <si>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</si>
  <si>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</si>
  <si>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</si>
  <si>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</si>
  <si>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</si>
  <si>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</si>
  <si>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</si>
  <si>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</si>
  <si>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</si>
  <si>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</si>
  <si>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</si>
  <si>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</si>
  <si>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</si>
  <si>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</si>
  <si>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</si>
  <si>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</si>
  <si>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</si>
  <si>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</si>
  <si>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</si>
  <si>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</si>
  <si>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</si>
  <si>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</si>
  <si>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</si>
  <si>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</si>
  <si>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</si>
  <si>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</si>
  <si>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</si>
  <si>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</si>
  <si>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</si>
  <si>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</si>
  <si>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</si>
  <si>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</si>
  <si>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</si>
  <si>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</si>
  <si>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</si>
  <si>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</si>
  <si>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</si>
  <si>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</si>
  <si>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</si>
  <si>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</si>
  <si>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</si>
  <si>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</si>
  <si>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</si>
  <si>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</si>
  <si>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</si>
  <si>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</si>
  <si>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</si>
  <si>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</si>
  <si>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</si>
  <si>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</si>
  <si>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</si>
  <si>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</si>
  <si>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</si>
  <si>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</si>
  <si>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</si>
  <si>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</si>
  <si>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</si>
  <si>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</si>
  <si>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</si>
  <si>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</si>
  <si>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</si>
  <si>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</si>
  <si>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</si>
  <si>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</si>
  <si>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</si>
  <si>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</si>
  <si>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</si>
  <si>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</si>
  <si>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</si>
  <si>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</si>
  <si>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</si>
  <si>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</si>
  <si>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</si>
  <si>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</si>
  <si>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</si>
  <si>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</si>
  <si>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</si>
  <si>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</si>
  <si>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</si>
  <si>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</si>
  <si>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</si>
  <si>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</si>
  <si>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</si>
  <si>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</si>
  <si>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</si>
  <si>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</si>
  <si>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</si>
  <si>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</si>
  <si>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</si>
  <si>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</si>
  <si>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</si>
  <si>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</si>
  <si>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</si>
  <si>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</si>
  <si>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</si>
  <si>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</si>
  <si>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</si>
  <si>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</si>
  <si>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</si>
  <si>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</si>
  <si>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</si>
  <si>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</si>
  <si>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</si>
  <si>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</si>
  <si>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</si>
  <si>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</si>
  <si>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</si>
  <si>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</si>
  <si>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</si>
  <si>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</si>
  <si>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</si>
  <si>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</si>
  <si>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</si>
  <si>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</si>
  <si>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</si>
  <si>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</si>
  <si>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</si>
  <si>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</si>
  <si>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</si>
  <si>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</si>
  <si>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</si>
  <si>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</si>
  <si>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</si>
  <si>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</si>
  <si>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</si>
  <si>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</si>
  <si>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</si>
  <si>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</si>
  <si>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</si>
  <si>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</si>
  <si>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</si>
  <si>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</si>
  <si>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</si>
  <si>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</si>
  <si>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</si>
  <si>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</si>
  <si>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</si>
  <si>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</si>
  <si>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</si>
  <si>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</si>
  <si>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</si>
  <si>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</si>
  <si>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</si>
  <si>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</si>
  <si>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</si>
  <si>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</si>
  <si>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</si>
  <si>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</si>
  <si>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</si>
  <si>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</si>
  <si>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</si>
  <si>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</si>
  <si>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</si>
  <si>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</si>
  <si>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</si>
  <si>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</si>
  <si>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</si>
  <si>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</si>
  <si>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</si>
  <si>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</si>
  <si>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</si>
  <si>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</si>
  <si>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</si>
  <si>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</si>
  <si>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</si>
  <si>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</si>
  <si>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</si>
  <si>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</si>
  <si>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</si>
  <si>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</si>
  <si>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</si>
  <si>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</si>
  <si>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</si>
  <si>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</si>
  <si>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</si>
  <si>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</si>
  <si>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</si>
  <si>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</si>
  <si>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</si>
  <si>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</si>
  <si>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</si>
  <si>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</si>
  <si>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</si>
  <si>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</si>
  <si>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</si>
  <si>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</si>
  <si>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</si>
  <si>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</si>
  <si>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</si>
  <si>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</si>
  <si>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</si>
  <si>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</si>
  <si>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</si>
  <si>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</si>
  <si>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</si>
  <si>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</si>
  <si>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</si>
  <si>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</si>
  <si>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</si>
  <si>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</si>
  <si>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</si>
  <si>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</si>
  <si>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</si>
  <si>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</si>
  <si>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</si>
  <si>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</si>
  <si>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</si>
  <si>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</si>
  <si>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</si>
  <si>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</si>
  <si>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</si>
  <si>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</si>
  <si>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</si>
  <si>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</si>
  <si>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</si>
  <si>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</si>
  <si>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</si>
  <si>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</si>
  <si>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</si>
  <si>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</si>
  <si>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</si>
  <si>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</si>
  <si>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</si>
  <si>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</si>
  <si>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</si>
  <si>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</si>
  <si>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</si>
  <si>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</si>
  <si>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</si>
  <si>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</si>
  <si>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</si>
  <si>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</si>
  <si>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</si>
  <si>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</si>
  <si>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</si>
  <si>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</si>
  <si>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</si>
  <si>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</si>
  <si>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</si>
  <si>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</si>
  <si>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</si>
  <si>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</si>
  <si>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</si>
  <si>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</si>
  <si>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</si>
  <si>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</si>
  <si>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</si>
  <si>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</si>
  <si>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</si>
  <si>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</si>
  <si>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</si>
  <si>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</si>
  <si>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</si>
  <si>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</si>
  <si>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</si>
  <si>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</si>
  <si>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</si>
  <si>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</si>
  <si>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</si>
  <si>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</si>
  <si>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</si>
  <si>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</si>
  <si>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</si>
  <si>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</si>
  <si>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</si>
  <si>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</si>
  <si>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</si>
  <si>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</si>
  <si>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</si>
  <si>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</si>
  <si>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</si>
  <si>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</si>
  <si>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</si>
  <si>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</si>
  <si>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</si>
  <si>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</si>
  <si>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</si>
  <si>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</si>
  <si>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</si>
  <si>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</si>
  <si>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</si>
  <si>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</si>
  <si>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</si>
  <si>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</si>
  <si>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</si>
  <si>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</si>
  <si>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</si>
  <si>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</si>
  <si>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</si>
  <si>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</si>
  <si>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</si>
  <si>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</si>
  <si>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</si>
  <si>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</si>
  <si>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</si>
  <si>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</si>
  <si>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</si>
  <si>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</si>
  <si>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</si>
  <si>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</si>
  <si>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</si>
  <si>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</si>
  <si>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</si>
  <si>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</si>
  <si>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</si>
  <si>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</si>
  <si>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</si>
  <si>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</si>
  <si>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</si>
  <si>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</si>
  <si>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</si>
  <si>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</si>
  <si>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</si>
  <si>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</si>
  <si>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</si>
  <si>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</si>
  <si>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</si>
  <si>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</si>
  <si>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</si>
  <si>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</si>
  <si>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</si>
  <si>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</si>
  <si>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</si>
  <si>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</si>
  <si>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</si>
  <si>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</si>
  <si>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</si>
  <si>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</si>
  <si>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</si>
  <si>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</si>
  <si>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</si>
  <si>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</si>
  <si>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</si>
  <si>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</si>
  <si>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</si>
  <si>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</si>
  <si>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</si>
  <si>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</si>
  <si>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</si>
  <si>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</si>
  <si>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</si>
  <si>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</si>
  <si>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</si>
  <si>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</si>
  <si>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</si>
  <si>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</si>
  <si>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</si>
  <si>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</si>
  <si>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</si>
  <si>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</si>
  <si>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</si>
  <si>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</si>
  <si>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</si>
  <si>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</si>
  <si>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</si>
  <si>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</si>
  <si>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</si>
  <si>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</si>
  <si>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</si>
  <si>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</si>
  <si>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</si>
  <si>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</si>
  <si>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</si>
  <si>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</si>
  <si>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</si>
  <si>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</si>
  <si>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</si>
  <si>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</si>
  <si>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</si>
  <si>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</si>
  <si>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</si>
  <si>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</si>
  <si>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</si>
  <si>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</si>
  <si>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</si>
  <si>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</si>
  <si>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</si>
  <si>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</si>
  <si>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</si>
  <si>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</si>
  <si>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</si>
  <si>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</si>
  <si>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</si>
  <si>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</si>
  <si>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</si>
  <si>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</si>
  <si>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</si>
  <si>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</si>
  <si>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</si>
  <si>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</si>
  <si>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</si>
  <si>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</si>
  <si>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</si>
  <si>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</si>
  <si>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</si>
  <si>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</si>
  <si>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</si>
  <si>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</si>
  <si>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</si>
  <si>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</si>
  <si>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</si>
  <si>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</si>
  <si>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</si>
  <si>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</si>
  <si>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</si>
  <si>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</si>
  <si>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</si>
  <si>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</si>
  <si>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</si>
  <si>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</si>
  <si>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</si>
  <si>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</si>
  <si>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</si>
  <si>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</si>
  <si>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</si>
  <si>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</si>
  <si>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</si>
  <si>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</si>
  <si>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</si>
  <si>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</si>
  <si>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</si>
  <si>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</si>
  <si>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</si>
  <si>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</si>
  <si>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</si>
  <si>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</si>
  <si>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</si>
  <si>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</si>
  <si>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</si>
  <si>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</si>
  <si>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</si>
  <si>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</si>
  <si>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</si>
  <si>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</si>
  <si>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</si>
  <si>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</si>
  <si>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</si>
  <si>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</si>
  <si>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</si>
  <si>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</si>
  <si>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</si>
  <si>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</si>
  <si>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</si>
  <si>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</si>
  <si>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</si>
  <si>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</si>
  <si>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</si>
  <si>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</si>
  <si>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</si>
  <si>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</si>
  <si>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</si>
  <si>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</si>
  <si>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</si>
  <si>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</si>
  <si>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</si>
  <si>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</si>
  <si>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</si>
  <si>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</si>
  <si>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</si>
  <si>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</si>
  <si>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</si>
  <si>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</si>
  <si>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</si>
  <si>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</si>
  <si>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</si>
  <si>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</si>
  <si>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</si>
  <si>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</si>
  <si>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</si>
  <si>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</si>
  <si>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</si>
  <si>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</si>
  <si>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</si>
  <si>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</si>
  <si>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</si>
  <si>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</si>
  <si>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</si>
  <si>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</si>
  <si>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</si>
  <si>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</si>
  <si>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</si>
  <si>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</si>
  <si>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</si>
  <si>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</si>
  <si>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</si>
  <si>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</si>
  <si>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</si>
  <si>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</si>
  <si>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</si>
  <si>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</si>
  <si>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</si>
  <si>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</si>
  <si>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</si>
  <si>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</si>
  <si>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</si>
  <si>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</si>
  <si>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</si>
  <si>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</si>
  <si>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</si>
  <si>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</si>
  <si>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</si>
  <si>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</si>
  <si>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</si>
  <si>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</si>
  <si>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</si>
  <si>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</si>
  <si>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</si>
  <si>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</si>
  <si>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</si>
  <si>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</si>
  <si>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</si>
  <si>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</si>
  <si>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</si>
  <si>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</si>
  <si>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</si>
  <si>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</si>
  <si>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</si>
  <si>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</si>
  <si>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</si>
  <si>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</si>
  <si>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</si>
  <si>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</si>
  <si>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</si>
  <si>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</si>
  <si>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</si>
  <si>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</si>
  <si>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</si>
  <si>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</si>
  <si>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</si>
  <si>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</si>
  <si>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</si>
  <si>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</si>
  <si>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</si>
  <si>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</si>
  <si>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</si>
  <si>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</si>
  <si>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</si>
  <si>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</si>
  <si>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</si>
  <si>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</si>
  <si>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</si>
  <si>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</si>
  <si>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</si>
  <si>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</si>
  <si>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</si>
  <si>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</si>
  <si>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</si>
  <si>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</si>
  <si>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</si>
  <si>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</si>
  <si>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</si>
  <si>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</si>
  <si>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</si>
  <si>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</si>
  <si>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</si>
  <si>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</si>
  <si>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</si>
  <si>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</si>
  <si>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</si>
  <si>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</si>
  <si>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</si>
  <si>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</si>
  <si>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</si>
  <si>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</si>
  <si>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</si>
  <si>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</si>
  <si>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</si>
  <si>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</si>
  <si>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</si>
  <si>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</si>
  <si>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</si>
  <si>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</si>
  <si>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</si>
  <si>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</si>
  <si>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</si>
  <si>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</si>
  <si>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</si>
  <si>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</si>
  <si>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</si>
  <si>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</si>
  <si>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</si>
  <si>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</si>
  <si>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</si>
  <si>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</si>
  <si>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</si>
  <si>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</si>
  <si>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</si>
  <si>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</si>
  <si>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</si>
  <si>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</si>
  <si>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</si>
  <si>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</si>
  <si>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</si>
  <si>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</si>
  <si>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</si>
  <si>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</si>
  <si>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</si>
  <si>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</si>
  <si>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</si>
  <si>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</si>
  <si>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</si>
  <si>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</si>
  <si>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</si>
  <si>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</si>
  <si>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</si>
  <si>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</si>
  <si>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</si>
  <si>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</si>
  <si>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</si>
  <si>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</si>
  <si>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</si>
  <si>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</si>
  <si>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</si>
  <si>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</si>
  <si>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</si>
  <si>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</si>
  <si>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</si>
  <si>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</si>
  <si>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</si>
  <si>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</si>
  <si>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</si>
  <si>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</si>
  <si>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</si>
  <si>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</si>
  <si>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</si>
  <si>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</si>
  <si>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</si>
  <si>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</si>
  <si>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</si>
  <si>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</si>
  <si>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</si>
  <si>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</si>
  <si>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</si>
  <si>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</si>
  <si>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</si>
  <si>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</si>
  <si>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</si>
  <si>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</si>
  <si>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</si>
  <si>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</si>
  <si>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</si>
  <si>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</si>
  <si>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</si>
  <si>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</si>
  <si>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</si>
  <si>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</si>
  <si>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</si>
  <si>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</si>
  <si>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</si>
  <si>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</si>
  <si>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</si>
  <si>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</si>
  <si>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</si>
  <si>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</si>
  <si>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</si>
  <si>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</si>
  <si>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</si>
  <si>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</si>
  <si>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</si>
  <si>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</si>
  <si>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</si>
  <si>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</si>
  <si>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</si>
  <si>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</si>
  <si>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</si>
  <si>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</si>
  <si>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</si>
  <si>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</si>
  <si>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</si>
  <si>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</si>
  <si>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</si>
  <si>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</si>
  <si>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</si>
  <si>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</si>
  <si>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</si>
  <si>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</si>
  <si>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</si>
  <si>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</si>
  <si>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</si>
  <si>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</si>
  <si>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</si>
  <si>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</si>
  <si>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</si>
  <si>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</si>
  <si>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</si>
  <si>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</si>
  <si>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</si>
  <si>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</si>
  <si>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</si>
  <si>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</si>
  <si>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</si>
  <si>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</si>
  <si>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</si>
  <si>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</si>
  <si>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</si>
  <si>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</si>
  <si>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</si>
  <si>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</si>
  <si>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</si>
  <si>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</si>
  <si>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</si>
  <si>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</si>
  <si>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</si>
  <si>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</si>
  <si>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</si>
  <si>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</si>
  <si>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</si>
  <si>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</si>
  <si>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</si>
  <si>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</si>
  <si>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</si>
  <si>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</si>
  <si>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</si>
  <si>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</si>
  <si>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</si>
  <si>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</si>
  <si>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</si>
  <si>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</si>
  <si>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</si>
  <si>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</si>
  <si>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</si>
  <si>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</si>
  <si>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</si>
  <si>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</si>
  <si>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</si>
  <si>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</si>
  <si>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</si>
  <si>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</si>
  <si>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</si>
  <si>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</si>
  <si>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</si>
  <si>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</si>
  <si>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</si>
  <si>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</si>
  <si>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</si>
  <si>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</si>
  <si>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</si>
  <si>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</si>
  <si>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</si>
  <si>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</si>
  <si>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</si>
  <si>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</si>
  <si>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</si>
  <si>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</si>
  <si>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</si>
  <si>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</si>
  <si>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</si>
  <si>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</si>
  <si>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</si>
  <si>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</si>
  <si>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</si>
  <si>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</si>
  <si>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</si>
  <si>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</si>
  <si>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</si>
  <si>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</si>
  <si>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</si>
  <si>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</si>
  <si>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</si>
  <si>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</si>
  <si>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</si>
  <si>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</si>
  <si>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</si>
  <si>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</si>
  <si>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</si>
  <si>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</si>
  <si>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</si>
  <si>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</si>
  <si>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</si>
  <si>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</si>
  <si>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</si>
  <si>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</si>
  <si>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</si>
  <si>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</si>
  <si>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</si>
  <si>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</si>
  <si>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</si>
  <si>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</si>
  <si>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</si>
  <si>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</si>
  <si>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</si>
  <si>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</si>
  <si>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</si>
  <si>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</si>
  <si>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</si>
  <si>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</si>
  <si>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</si>
  <si>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</si>
  <si>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</si>
  <si>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</si>
  <si>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</si>
  <si>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</si>
  <si>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</si>
  <si>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</si>
  <si>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</si>
  <si>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</si>
  <si>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</si>
  <si>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</si>
  <si>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</si>
  <si>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</si>
  <si>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</si>
  <si>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</si>
  <si>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</si>
  <si>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</si>
  <si>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</si>
  <si>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</si>
  <si>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</si>
  <si>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</si>
  <si>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</si>
  <si>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</si>
  <si>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</si>
  <si>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</si>
  <si>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</si>
  <si>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</si>
  <si>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</si>
  <si>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</si>
  <si>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</si>
  <si>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</si>
  <si>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</si>
  <si>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</si>
  <si>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</si>
  <si>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</si>
  <si>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</si>
  <si>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</si>
  <si>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</si>
  <si>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</si>
  <si>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</si>
  <si>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</si>
  <si>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</si>
  <si>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</si>
  <si>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</si>
  <si>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</si>
  <si>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</si>
  <si>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</si>
  <si>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</si>
  <si>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</si>
  <si>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</si>
  <si>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</si>
  <si>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</si>
  <si>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</si>
  <si>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</si>
  <si>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</si>
  <si>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</si>
  <si>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</si>
  <si>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</si>
  <si>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</si>
  <si>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</si>
  <si>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</si>
  <si>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</si>
  <si>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</si>
  <si>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</si>
  <si>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</si>
  <si>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</si>
  <si>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</si>
  <si>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</si>
  <si>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</si>
  <si>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</si>
  <si>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</si>
  <si>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</si>
  <si>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</si>
  <si>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</si>
  <si>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</si>
  <si>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</si>
  <si>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</si>
  <si>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</si>
  <si>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</si>
  <si>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</si>
  <si>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</si>
  <si>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</si>
  <si>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</si>
  <si>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</si>
  <si>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</si>
  <si>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</si>
  <si>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</si>
  <si>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</si>
  <si>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</si>
  <si>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</si>
  <si>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</si>
  <si>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</si>
  <si>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</si>
  <si>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</si>
  <si>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</si>
  <si>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</si>
  <si>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</si>
  <si>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</si>
  <si>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</si>
  <si>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</si>
  <si>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</si>
  <si>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</si>
  <si>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</si>
  <si>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</si>
  <si>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</si>
  <si>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</si>
  <si>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</si>
  <si>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</si>
  <si>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</si>
  <si>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</si>
  <si>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</si>
  <si>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</si>
  <si>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</si>
  <si>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</si>
  <si>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</si>
  <si>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</si>
  <si>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</si>
  <si>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</si>
  <si>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</si>
  <si>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</si>
  <si>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</si>
  <si>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</si>
  <si>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</si>
  <si>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</si>
  <si>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</si>
  <si>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</si>
  <si>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</si>
  <si>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</si>
  <si>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</si>
  <si>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</si>
  <si>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</si>
  <si>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</si>
  <si>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</si>
  <si>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</si>
  <si>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</si>
  <si>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</si>
  <si>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</si>
  <si>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</si>
  <si>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</si>
  <si>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</si>
  <si>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</si>
  <si>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</si>
  <si>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</si>
  <si>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</si>
  <si>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</si>
  <si>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</si>
  <si>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</si>
  <si>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</si>
  <si>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</si>
  <si>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</si>
  <si>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</si>
  <si>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</si>
  <si>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</si>
  <si>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</si>
  <si>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</si>
  <si>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</si>
  <si>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</si>
  <si>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</si>
  <si>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</si>
  <si>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</si>
  <si>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</si>
  <si>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</si>
  <si>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</si>
  <si>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</si>
  <si>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</si>
  <si>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</si>
  <si>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</si>
  <si>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</si>
  <si>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</si>
  <si>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</si>
  <si>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</si>
  <si>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</si>
  <si>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</si>
  <si>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</si>
  <si>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</si>
  <si>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</si>
  <si>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</si>
  <si>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</si>
  <si>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</si>
  <si>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</si>
  <si>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</si>
  <si>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</si>
  <si>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</si>
  <si>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</si>
  <si>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</si>
  <si>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</si>
  <si>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</si>
  <si>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</si>
  <si>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</si>
  <si>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</si>
  <si>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</si>
  <si>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</si>
  <si>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</si>
  <si>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</si>
  <si>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</si>
  <si>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</si>
  <si>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</si>
  <si>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</si>
  <si>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</si>
  <si>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</si>
  <si>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</si>
  <si>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</si>
  <si>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</si>
  <si>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</si>
  <si>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</si>
  <si>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</si>
  <si>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</si>
  <si>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</si>
  <si>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</si>
  <si>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</si>
  <si>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</si>
  <si>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</si>
  <si>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</si>
  <si>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</si>
  <si>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</si>
  <si>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</si>
  <si>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</si>
  <si>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</si>
  <si>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</si>
  <si>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</si>
  <si>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</si>
  <si>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</si>
  <si>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</si>
  <si>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</si>
  <si>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</si>
  <si>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</si>
  <si>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</si>
  <si>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</si>
  <si>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</si>
  <si>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</si>
  <si>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</si>
  <si>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</si>
  <si>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</si>
  <si>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</si>
  <si>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</si>
  <si>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</si>
  <si>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</si>
  <si>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</si>
  <si>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</si>
  <si>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</si>
  <si>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</si>
  <si>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</si>
  <si>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</si>
  <si>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</si>
  <si>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</si>
  <si>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</si>
  <si>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</si>
  <si>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</si>
  <si>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</si>
  <si>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</si>
  <si>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</si>
  <si>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</si>
  <si>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</si>
  <si>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</si>
  <si>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</si>
  <si>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</si>
  <si>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</si>
  <si>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</si>
  <si>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</si>
  <si>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</si>
  <si>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</si>
  <si>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</si>
  <si>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</si>
  <si>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</si>
  <si>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</si>
  <si>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</si>
  <si>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</si>
  <si>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</si>
  <si>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</si>
  <si>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</si>
  <si>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</si>
  <si>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</si>
  <si>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</si>
  <si>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</si>
  <si>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</si>
  <si>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</si>
  <si>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</si>
  <si>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</si>
  <si>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</si>
  <si>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</si>
  <si>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</si>
  <si>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</si>
  <si>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</si>
  <si>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</si>
  <si>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</si>
  <si>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</si>
  <si>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</si>
  <si>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</si>
  <si>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</si>
  <si>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</si>
  <si>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</si>
  <si>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</si>
  <si>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</si>
  <si>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</si>
  <si>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</si>
  <si>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</si>
  <si>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</si>
  <si>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</si>
  <si>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</si>
  <si>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</si>
  <si>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</si>
  <si>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</si>
  <si>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</si>
  <si>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</si>
  <si>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</si>
  <si>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</si>
  <si>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</si>
  <si>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</si>
  <si>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</si>
  <si>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</si>
  <si>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</si>
  <si>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</si>
  <si>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</si>
  <si>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</si>
  <si>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</si>
  <si>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</si>
  <si>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</si>
  <si>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</si>
  <si>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</si>
  <si>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</si>
  <si>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</si>
  <si>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</si>
  <si>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</si>
  <si>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</si>
  <si>
    <t>仓储</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</si>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</sst>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27752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11473</v>
      </c>
    </row>
    <row r="47" spans="1:2">
      <c r="A47" s="2856" t="s">
        <v>2725</v>
      </c>
      <c r="B47" s="2857">
        <f ca="1">'预评函-2'!Q5</f>
        <v>2517</v>
      </c>
    </row>
    <row r="48" spans="1:2">
      <c r="A48" s="2856" t="s">
        <v>2726</v>
      </c>
      <c r="B48" s="2857">
        <f ca="1">'预评函-2'!R5</f>
        <v>238142</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238142</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3" t="str">
        <f>IF(B10="北京市","北京市",C10)&amp;F10&amp;B16&amp;"国有建设用地使用权"&amp;B9&amp;"预评估"</f>
        <v>出让国有建设用地使用权市场价格预评估</v>
      </c>
      <c r="C1" s="3214"/>
      <c r="D1" s="3214"/>
      <c r="E1" s="3214"/>
      <c r="F1" s="3214"/>
      <c r="G1" s="3214"/>
      <c r="H1" s="3214"/>
      <c r="I1" s="3215"/>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19"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2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6"/>
      <c r="C12" s="3217"/>
      <c r="D12" s="3218"/>
      <c r="E12" s="1698" t="s">
        <v>2062</v>
      </c>
      <c r="F12" s="3234" t="s">
        <v>2891</v>
      </c>
      <c r="G12" s="3235"/>
      <c r="H12" s="3235"/>
      <c r="I12" s="3236"/>
      <c r="J12" s="1693"/>
      <c r="K12" s="1773"/>
      <c r="L12" s="1722"/>
      <c r="M12" s="1722"/>
      <c r="N12" s="1693"/>
      <c r="O12" s="1694"/>
      <c r="P12" s="1693"/>
      <c r="Q12" s="1693"/>
      <c r="R12" s="1693"/>
      <c r="S12" s="1693"/>
      <c r="T12" s="1693"/>
      <c r="U12" s="1693"/>
    </row>
    <row r="13" spans="1:21">
      <c r="A13" s="1686" t="s">
        <v>2060</v>
      </c>
      <c r="B13" s="3216"/>
      <c r="C13" s="3217"/>
      <c r="D13" s="3218"/>
      <c r="E13" s="1698" t="s">
        <v>2062</v>
      </c>
      <c r="F13" s="3234" t="s">
        <v>2892</v>
      </c>
      <c r="G13" s="3235"/>
      <c r="H13" s="3235"/>
      <c r="I13" s="3236"/>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t="s">
        <v>3118</v>
      </c>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c r="E17" s="1699"/>
      <c r="F17" s="1699"/>
      <c r="G17" s="1699"/>
      <c r="H17" s="1699">
        <v>45825</v>
      </c>
      <c r="I17" s="1699">
        <v>61775</v>
      </c>
      <c r="J17" s="1693"/>
      <c r="K17" s="2434" t="str">
        <f>CONCATENATE(K16,L16,M16,N16,O16,P16,Q16,R16,S16,T16,,U16)</f>
        <v>仓储2025年6月17日、工业2069年2月16日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f>IF(B16="出让",IF(H17="","",ROUNDDOWN(MIN((H17-$D$3)/365,H18),2)),H18)</f>
        <v>6.33</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31"/>
      <c r="E20" s="3232"/>
      <c r="F20" s="3232"/>
      <c r="G20" s="3232"/>
      <c r="H20" s="3232"/>
      <c r="I20" s="3233"/>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21" t="s">
        <v>1999</v>
      </c>
      <c r="F21" s="3222"/>
      <c r="G21" s="3222"/>
      <c r="H21" s="3222"/>
      <c r="I21" s="3223"/>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21" t="s">
        <v>2893</v>
      </c>
      <c r="F22" s="3222"/>
      <c r="G22" s="3222"/>
      <c r="H22" s="3222"/>
      <c r="I22" s="322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4" t="s">
        <v>1967</v>
      </c>
      <c r="C24" s="3225"/>
      <c r="D24" s="3226" t="s">
        <v>1968</v>
      </c>
      <c r="E24" s="3227"/>
      <c r="F24" s="1707" t="s">
        <v>1969</v>
      </c>
      <c r="G24" s="1693"/>
      <c r="H24" s="1693"/>
      <c r="I24" s="1706"/>
      <c r="J24" s="1693"/>
      <c r="K24" s="321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37" t="s">
        <v>3103</v>
      </c>
      <c r="D31" s="3238"/>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t="s">
        <v>3104</v>
      </c>
      <c r="C35" s="1775" t="str">
        <f>IF(B35="场地平整","——","具体情况：")</f>
        <v>——</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2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2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3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1" t="s">
        <v>1986</v>
      </c>
      <c r="T40" s="1730" t="str">
        <f>NUMBERSTRING(7-K40,1)&amp;"通"</f>
        <v>七通</v>
      </c>
      <c r="U40" s="1693"/>
    </row>
    <row r="41" spans="1:21">
      <c r="A41" s="1662"/>
      <c r="B41" s="3244" t="s">
        <v>1722</v>
      </c>
      <c r="C41" s="3244"/>
      <c r="D41" s="3244"/>
      <c r="E41" s="324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AH28" sqref="AH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3000</v>
      </c>
      <c r="M6" s="177">
        <f t="shared" ref="M6:M14" si="0">ROUND(K6*L6/10000,0)</f>
        <v>283859</v>
      </c>
      <c r="N6" s="3003">
        <v>0</v>
      </c>
      <c r="O6" s="177">
        <f>IF($N$5="成新度","——",ROUND(M6*N6,0))</f>
        <v>0</v>
      </c>
      <c r="P6" s="178">
        <f>IF($N$5="成新度","——",M6-O6)</f>
        <v>283859</v>
      </c>
      <c r="Q6" s="3004">
        <v>0.2</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45</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3000</v>
      </c>
      <c r="M16" s="206">
        <f>SUM(M6:M14)</f>
        <v>283859</v>
      </c>
      <c r="N16" s="207">
        <f>ROUND(SUMPRODUCT(M6:M14,N6:N14)/M16,3)</f>
        <v>0</v>
      </c>
      <c r="O16" s="206">
        <f>SUM(O6:O14)</f>
        <v>0</v>
      </c>
      <c r="P16" s="206">
        <f>SUM(P6:P14)</f>
        <v>283859</v>
      </c>
      <c r="Q16" s="208">
        <f>ROUND(SUMPRODUCT(Q6:Q13,K6:K13)/SUMPRODUCT((Q6:Q13&gt;0)*(K6:K13)),2)</f>
        <v>0.2</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9" sqref="D29"/>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265894</v>
      </c>
      <c r="C5" s="3021">
        <f ca="1">ROUND(B5*10000/$B$1,0)</f>
        <v>2691</v>
      </c>
      <c r="D5" s="3021">
        <f ca="1">ROUND(B5*10000/$B$2,0)</f>
        <v>11837</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238142</v>
      </c>
      <c r="C7" s="3021">
        <f t="shared" ca="1" si="0"/>
        <v>2410</v>
      </c>
      <c r="D7" s="3021">
        <f t="shared" ca="1" si="1"/>
        <v>10602</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238142</v>
      </c>
      <c r="E14" s="3025">
        <f ca="1">ROUND(D14*10000/B14,0)</f>
        <v>2517</v>
      </c>
      <c r="F14" s="3025">
        <f ca="1">ROUND(D14*10000/C14,0)</f>
        <v>11473</v>
      </c>
      <c r="G14" s="3025" t="str">
        <f>结果表!C44</f>
        <v>——</v>
      </c>
      <c r="H14" s="3025">
        <f ca="1">结果表!C45</f>
        <v>238142</v>
      </c>
      <c r="I14" s="3025" t="str">
        <f>结果表!C46</f>
        <v>——</v>
      </c>
    </row>
    <row r="15" spans="1:9" ht="16.5">
      <c r="A15" s="3028" t="s">
        <v>2862</v>
      </c>
      <c r="B15" s="3029">
        <f>'[2]数据-汇总表'!$E$3</f>
        <v>41963</v>
      </c>
      <c r="C15" s="3029">
        <f>'[2]数据-汇总表'!$D$3</f>
        <v>17054.57</v>
      </c>
      <c r="D15" s="3029">
        <f ca="1">[2]结果表!$D$19</f>
        <v>27752</v>
      </c>
      <c r="E15" s="3025">
        <f t="shared" ref="E15:E23" ca="1" si="2">ROUND(D15*10000/B15,0)</f>
        <v>6613</v>
      </c>
      <c r="F15" s="3025">
        <f t="shared" ref="F15:F23" ca="1" si="3">ROUND(D15*10000/C15,0)</f>
        <v>16272</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91" t="s">
        <v>301</v>
      </c>
      <c r="F4" s="3333"/>
      <c r="G4" s="3333"/>
      <c r="H4" s="3333"/>
      <c r="I4" s="329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61" t="s">
        <v>303</v>
      </c>
      <c r="F5" s="262"/>
      <c r="G5" s="262"/>
      <c r="H5" s="262"/>
      <c r="I5" s="263"/>
      <c r="J5" s="2030"/>
      <c r="K5" s="2029"/>
      <c r="L5" s="2029"/>
      <c r="M5" s="2029"/>
      <c r="N5" s="2029"/>
      <c r="O5" s="2029"/>
      <c r="P5" s="2029"/>
      <c r="Q5" s="2029"/>
      <c r="R5" s="2029"/>
      <c r="S5" s="2029"/>
      <c r="T5" s="2029"/>
      <c r="U5" s="2029"/>
      <c r="V5" s="2029"/>
    </row>
    <row r="6" spans="1:22" ht="14.25">
      <c r="A6" s="3320"/>
      <c r="B6" s="3321"/>
      <c r="C6" s="3330"/>
      <c r="D6" s="3332"/>
      <c r="E6" s="261" t="s">
        <v>304</v>
      </c>
      <c r="F6" s="262"/>
      <c r="G6" s="262"/>
      <c r="H6" s="262"/>
      <c r="I6" s="263"/>
      <c r="J6" s="2030"/>
      <c r="K6" s="2029"/>
      <c r="L6" s="2029"/>
      <c r="M6" s="2029"/>
      <c r="N6" s="2029"/>
      <c r="O6" s="2029"/>
      <c r="P6" s="2029"/>
      <c r="Q6" s="2029"/>
      <c r="R6" s="2029"/>
      <c r="S6" s="2029"/>
      <c r="T6" s="2029"/>
      <c r="U6" s="2029"/>
      <c r="V6" s="2029"/>
    </row>
    <row r="7" spans="1:22" ht="14.25">
      <c r="A7" s="3320"/>
      <c r="B7" s="3321"/>
      <c r="C7" s="3331"/>
      <c r="D7" s="3332"/>
      <c r="E7" s="261" t="s">
        <v>305</v>
      </c>
      <c r="F7" s="262"/>
      <c r="G7" s="262"/>
      <c r="H7" s="262"/>
      <c r="I7" s="263"/>
      <c r="J7" s="2030"/>
      <c r="K7" s="2029"/>
      <c r="L7" s="2029"/>
      <c r="M7" s="2029"/>
      <c r="N7" s="2029"/>
      <c r="O7" s="2029"/>
      <c r="P7" s="2029"/>
      <c r="Q7" s="2029"/>
      <c r="R7" s="2029"/>
      <c r="S7" s="2029"/>
      <c r="T7" s="2029"/>
      <c r="U7" s="2029"/>
      <c r="V7" s="2029"/>
    </row>
    <row r="8" spans="1:22" ht="14.25">
      <c r="A8" s="3320" t="s">
        <v>306</v>
      </c>
      <c r="B8" s="3321">
        <v>15</v>
      </c>
      <c r="C8" s="3329"/>
      <c r="D8" s="3332"/>
      <c r="E8" s="261" t="s">
        <v>307</v>
      </c>
      <c r="F8" s="262"/>
      <c r="G8" s="262"/>
      <c r="H8" s="262"/>
      <c r="I8" s="263"/>
      <c r="J8" s="2030"/>
      <c r="K8" s="2029"/>
      <c r="L8" s="2029"/>
      <c r="M8" s="2029"/>
      <c r="N8" s="2029"/>
      <c r="O8" s="2029"/>
      <c r="P8" s="2029"/>
      <c r="Q8" s="2029"/>
      <c r="R8" s="2029"/>
      <c r="S8" s="2029"/>
      <c r="T8" s="2029"/>
      <c r="U8" s="2029"/>
      <c r="V8" s="2029"/>
    </row>
    <row r="9" spans="1:22" ht="14.25">
      <c r="A9" s="3320"/>
      <c r="B9" s="3321"/>
      <c r="C9" s="3331"/>
      <c r="D9" s="3332"/>
      <c r="E9" s="261" t="s">
        <v>308</v>
      </c>
      <c r="F9" s="262"/>
      <c r="G9" s="262"/>
      <c r="H9" s="262"/>
      <c r="I9" s="263"/>
      <c r="J9" s="2030"/>
      <c r="K9" s="2029"/>
      <c r="L9" s="2029"/>
      <c r="M9" s="2029"/>
      <c r="N9" s="2029"/>
      <c r="O9" s="2029"/>
      <c r="P9" s="2029"/>
      <c r="Q9" s="2029"/>
      <c r="R9" s="2029"/>
      <c r="S9" s="2029"/>
      <c r="T9" s="2029"/>
      <c r="U9" s="2029"/>
      <c r="V9" s="2029"/>
    </row>
    <row r="10" spans="1:22" ht="14.25">
      <c r="A10" s="3320" t="s">
        <v>309</v>
      </c>
      <c r="B10" s="3321">
        <v>15</v>
      </c>
      <c r="C10" s="3329"/>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0"/>
      <c r="B11" s="3321"/>
      <c r="C11" s="3331"/>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0" t="s">
        <v>312</v>
      </c>
      <c r="B12" s="3321">
        <v>15</v>
      </c>
      <c r="C12" s="3329"/>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0"/>
      <c r="B13" s="3321"/>
      <c r="C13" s="3331"/>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0" t="s">
        <v>315</v>
      </c>
      <c r="B14" s="3321">
        <v>30</v>
      </c>
      <c r="C14" s="3329">
        <v>0</v>
      </c>
      <c r="D14" s="3332">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0"/>
      <c r="B15" s="3321"/>
      <c r="C15" s="3330"/>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0"/>
      <c r="B16" s="3321"/>
      <c r="C16" s="3331"/>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238142</v>
      </c>
      <c r="E19" s="268" t="s">
        <v>323</v>
      </c>
      <c r="F19" s="269" t="s">
        <v>322</v>
      </c>
      <c r="G19" s="272">
        <f ca="1">ROUND(C19*$C$18+D19*$D$18,0)</f>
        <v>238142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2517</v>
      </c>
      <c r="E20" s="274"/>
      <c r="F20" s="275" t="s">
        <v>325</v>
      </c>
      <c r="G20" s="278">
        <f ca="1">ROUND(C20*$C$18+D20*$D$18,0)</f>
        <v>2517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11473</v>
      </c>
      <c r="E21" s="274"/>
      <c r="F21" s="280" t="s">
        <v>327</v>
      </c>
      <c r="G21" s="282">
        <f ca="1">ROUND(C21*$C$18+D21*$D$18,0)</f>
        <v>11473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2.9836400133824021</v>
      </c>
      <c r="E22" s="284"/>
      <c r="F22" s="285"/>
      <c r="G22" s="286">
        <f ca="1">ROUND(G19/('数据-汇总表'!D3/666.67),0)</f>
        <v>765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出让国有建设用地使用权价格：238142万元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大写金额：人民币贰拾叁亿捌仟壹佰肆拾贰万元整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单位面积地价：11473元/平方米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楼面地价：2517元/平方米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抵押担保权已注销时的抵押价格：238142万元</v>
      </c>
      <c r="L31" s="2444"/>
      <c r="M31" s="2444"/>
      <c r="N31" s="2444"/>
      <c r="O31" s="2445"/>
      <c r="P31" s="2029"/>
      <c r="V31" s="2029"/>
    </row>
    <row r="32" spans="1:26" ht="18.75" thickBot="1">
      <c r="A32" s="268" t="s">
        <v>337</v>
      </c>
      <c r="B32" s="1382" t="s">
        <v>1689</v>
      </c>
      <c r="C32" s="1383">
        <f ca="1">G19-C24</f>
        <v>238142</v>
      </c>
      <c r="D32" s="1384" t="s">
        <v>1690</v>
      </c>
      <c r="E32" s="311"/>
      <c r="F32" s="311"/>
      <c r="G32" s="311"/>
      <c r="H32" s="311"/>
      <c r="I32" s="311"/>
      <c r="J32" s="2029"/>
      <c r="K32" s="2443" t="str">
        <f ca="1">IF(K31="——","——","大写金额：人民币"&amp;NUMBERSTRING(INT(O40*10000),2)&amp;"元整")</f>
        <v>大写金额：人民币贰拾叁亿捌仟壹佰肆拾贰万元整</v>
      </c>
      <c r="L32" s="2446"/>
      <c r="M32" s="2446"/>
      <c r="N32" s="2446"/>
      <c r="O32" s="2447"/>
      <c r="P32" s="2029"/>
      <c r="V32" s="2029"/>
    </row>
    <row r="33" spans="1:26" ht="18.75" thickBot="1">
      <c r="A33" s="298" t="s">
        <v>340</v>
      </c>
      <c r="B33" s="1385" t="s">
        <v>1691</v>
      </c>
      <c r="C33" s="264">
        <f ca="1">ROUND(C32*10000/'数据-汇总表'!E3,0)</f>
        <v>2517</v>
      </c>
      <c r="D33" s="1386" t="s">
        <v>1692</v>
      </c>
      <c r="E33" s="329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11473</v>
      </c>
      <c r="D34" s="1388" t="s">
        <v>1692</v>
      </c>
      <c r="E34" s="329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765</v>
      </c>
      <c r="D35" s="1391" t="s">
        <v>1694</v>
      </c>
      <c r="E35" s="3295"/>
      <c r="F35" s="301" t="s">
        <v>342</v>
      </c>
      <c r="G35" s="982"/>
      <c r="H35" s="981" t="s">
        <v>343</v>
      </c>
      <c r="I35" s="311"/>
      <c r="J35" s="2029"/>
      <c r="K35" s="3299" t="s">
        <v>350</v>
      </c>
      <c r="L35" s="3299" t="s">
        <v>351</v>
      </c>
      <c r="M35" s="1264" t="s">
        <v>352</v>
      </c>
      <c r="N35" s="3299" t="s">
        <v>353</v>
      </c>
      <c r="O35" s="3299" t="s">
        <v>354</v>
      </c>
      <c r="P35" s="2029"/>
      <c r="V35" s="2029"/>
    </row>
    <row r="36" spans="1:26" ht="16.5" customHeight="1">
      <c r="A36" s="303" t="s">
        <v>344</v>
      </c>
      <c r="B36" s="304" t="s">
        <v>333</v>
      </c>
      <c r="C36" s="305" t="s">
        <v>345</v>
      </c>
      <c r="D36" s="305" t="s">
        <v>346</v>
      </c>
      <c r="E36" s="306" t="s">
        <v>347</v>
      </c>
      <c r="F36" s="311"/>
      <c r="G36" s="311"/>
      <c r="H36" s="311"/>
      <c r="I36" s="311"/>
      <c r="J36" s="2031"/>
      <c r="K36" s="3300"/>
      <c r="L36" s="3300"/>
      <c r="M36" s="1266" t="s">
        <v>355</v>
      </c>
      <c r="N36" s="3300"/>
      <c r="O36" s="3300"/>
      <c r="P36" s="2029"/>
      <c r="V36" s="2029"/>
    </row>
    <row r="37" spans="1:26" ht="16.5" customHeight="1" thickBot="1">
      <c r="A37" s="1260" t="s">
        <v>348</v>
      </c>
      <c r="B37" s="307"/>
      <c r="C37" s="294"/>
      <c r="D37" s="294"/>
      <c r="E37" s="295"/>
      <c r="F37" s="311"/>
      <c r="G37" s="311"/>
      <c r="H37" s="311"/>
      <c r="I37" s="311"/>
      <c r="J37" s="2031"/>
      <c r="K37" s="3301"/>
      <c r="L37" s="3301"/>
      <c r="M37" s="1267"/>
      <c r="N37" s="3301"/>
      <c r="O37" s="3301"/>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11473</v>
      </c>
      <c r="N38" s="1269">
        <f ca="1">C33</f>
        <v>2517</v>
      </c>
      <c r="O38" s="1270">
        <f ca="1">C32</f>
        <v>238142</v>
      </c>
      <c r="P38" s="2029"/>
      <c r="V38" s="2029"/>
    </row>
    <row r="39" spans="1:26" ht="16.5" customHeight="1" thickBot="1">
      <c r="A39" s="1265"/>
      <c r="B39" s="308"/>
      <c r="C39" s="309"/>
      <c r="D39" s="309"/>
      <c r="E39" s="310"/>
      <c r="F39" s="311"/>
      <c r="G39" s="311"/>
      <c r="H39" s="311"/>
      <c r="I39" s="311"/>
      <c r="J39" s="2031"/>
      <c r="K39" s="3276" t="str">
        <f>MID(A44,3,LEN(A44)-2)</f>
        <v/>
      </c>
      <c r="L39" s="3277"/>
      <c r="M39" s="3277"/>
      <c r="N39" s="3278"/>
      <c r="O39" s="1393" t="str">
        <f>C44</f>
        <v>——</v>
      </c>
      <c r="P39" s="2029"/>
      <c r="V39" s="2029"/>
    </row>
    <row r="40" spans="1:26" ht="19.5" thickBot="1">
      <c r="A40" s="104" t="s">
        <v>873</v>
      </c>
      <c r="B40" s="311"/>
      <c r="C40" s="311"/>
      <c r="D40" s="311"/>
      <c r="E40" s="311"/>
      <c r="F40" s="311"/>
      <c r="G40" s="311"/>
      <c r="H40" s="311"/>
      <c r="I40" s="311"/>
      <c r="J40" s="2031"/>
      <c r="K40" s="3276" t="str">
        <f t="shared" ref="K40:K41" si="0">MID(A45,3,LEN(A45)-2)</f>
        <v>抵押担保权已注销时的抵押价格</v>
      </c>
      <c r="L40" s="3277"/>
      <c r="M40" s="3277"/>
      <c r="N40" s="3278"/>
      <c r="O40" s="1393">
        <f ca="1">C45</f>
        <v>238142</v>
      </c>
      <c r="P40" s="2029"/>
      <c r="V40" s="2029"/>
    </row>
    <row r="41" spans="1:26" ht="16.5" thickBot="1">
      <c r="A41" s="312" t="s">
        <v>356</v>
      </c>
      <c r="B41" s="313"/>
      <c r="C41" s="314" t="s">
        <v>357</v>
      </c>
      <c r="D41" s="315" t="s">
        <v>358</v>
      </c>
      <c r="E41" s="315" t="s">
        <v>359</v>
      </c>
      <c r="F41" s="316" t="s">
        <v>360</v>
      </c>
      <c r="G41" s="311"/>
      <c r="H41" s="311"/>
      <c r="I41" s="311"/>
      <c r="J41" s="2031"/>
      <c r="K41" s="3276" t="str">
        <f t="shared" si="0"/>
        <v/>
      </c>
      <c r="L41" s="3277"/>
      <c r="M41" s="3277"/>
      <c r="N41" s="3278"/>
      <c r="O41" s="1393" t="str">
        <f>C46</f>
        <v>——</v>
      </c>
      <c r="P41" s="2029"/>
      <c r="V41" s="2029"/>
    </row>
    <row r="42" spans="1:26" ht="29.25">
      <c r="A42" s="3336" t="s">
        <v>2068</v>
      </c>
      <c r="B42" s="3337"/>
      <c r="C42" s="264">
        <f ca="1">C32</f>
        <v>238142</v>
      </c>
      <c r="D42" s="317">
        <f ca="1">C33</f>
        <v>2517</v>
      </c>
      <c r="E42" s="317">
        <f ca="1">C34</f>
        <v>11473</v>
      </c>
      <c r="F42" s="318">
        <f ca="1">C35</f>
        <v>765</v>
      </c>
      <c r="G42" s="311"/>
      <c r="H42" s="311"/>
      <c r="I42" s="319"/>
      <c r="J42" s="2031"/>
      <c r="K42" s="1271" t="s">
        <v>361</v>
      </c>
      <c r="L42" s="2048" t="s">
        <v>362</v>
      </c>
      <c r="M42" s="1272" t="s">
        <v>363</v>
      </c>
      <c r="N42" s="2049" t="s">
        <v>364</v>
      </c>
      <c r="O42" s="2050" t="s">
        <v>365</v>
      </c>
      <c r="P42" s="2029"/>
      <c r="V42" s="2029"/>
    </row>
    <row r="43" spans="1:26" ht="18">
      <c r="A43" s="3346" t="s">
        <v>2731</v>
      </c>
      <c r="B43" s="3347"/>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238142</v>
      </c>
      <c r="O43" s="1277">
        <f ca="1">IF(O42="最终结果/万元",C32,C33)</f>
        <v>238142</v>
      </c>
      <c r="P43" s="2029"/>
      <c r="V43" s="2029"/>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238142</v>
      </c>
      <c r="M44" s="1280">
        <f>D18</f>
        <v>1</v>
      </c>
      <c r="N44" s="1281"/>
      <c r="O44" s="1282"/>
      <c r="P44" s="2029"/>
      <c r="V44" s="2029"/>
    </row>
    <row r="45" spans="1:26" ht="15">
      <c r="A45" s="3341" t="str">
        <f>IF(项目基本情况!E8="已注销及未注销","4.抵押担保权已注销时的抵押价格",IF(项目基本情况!E8="已注销","3.抵押担保权已注销时的抵押价格","——"))</f>
        <v>3.抵押担保权已注销时的抵押价格</v>
      </c>
      <c r="B45" s="3342"/>
      <c r="C45" s="1804">
        <f ca="1">IF(A45="——","——",IF(项目基本情况!E8="抵押价格","——",C32-G34-G35))</f>
        <v>238142</v>
      </c>
      <c r="D45" s="317">
        <f ca="1">ROUND(C45*10000/'数据-汇总表'!E3,0)</f>
        <v>2517</v>
      </c>
      <c r="E45" s="317">
        <f ca="1">ROUND(C45*10000/'数据-汇总表'!D3,0)</f>
        <v>11473</v>
      </c>
      <c r="F45" s="318">
        <f ca="1">ROUND(C45/('数据-汇总表'!D3/666.67),0)</f>
        <v>765</v>
      </c>
      <c r="G45" s="311"/>
      <c r="H45" s="311"/>
      <c r="I45" s="319"/>
      <c r="J45" s="2031"/>
      <c r="K45" s="2029"/>
      <c r="L45" s="2029"/>
      <c r="M45" s="2029"/>
      <c r="N45" s="2029"/>
      <c r="O45" s="2029"/>
      <c r="P45" s="2029"/>
      <c r="V45" s="2029"/>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1">
        <f ca="1">ROUND(C42*F63,0)</f>
        <v>142885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3" t="s">
        <v>378</v>
      </c>
      <c r="B64" s="3344"/>
      <c r="C64" s="3344"/>
      <c r="D64" s="3344"/>
      <c r="E64" s="3344"/>
      <c r="F64" s="3344"/>
      <c r="G64" s="334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0" t="s">
        <v>386</v>
      </c>
      <c r="B66" s="3311"/>
      <c r="C66" s="3311"/>
      <c r="D66" s="261">
        <f ca="1">IF(H66="情况1",0,IF(H66="情况2",D70,IF(H66="情况3",D71,IF(H66="情况4",D72))))</f>
        <v>7621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0" t="s">
        <v>385</v>
      </c>
      <c r="M66" s="3281"/>
      <c r="N66" s="2438"/>
      <c r="O66" s="2439"/>
      <c r="P66" s="2440"/>
      <c r="Q66" s="2029"/>
      <c r="R66" s="2029"/>
      <c r="S66" s="2029"/>
      <c r="T66" s="2029"/>
      <c r="U66" s="2029"/>
      <c r="V66" s="2029"/>
    </row>
    <row r="67" spans="1:22" ht="25.5" customHeight="1">
      <c r="A67" s="352" t="s">
        <v>390</v>
      </c>
      <c r="B67" s="3323" t="s">
        <v>391</v>
      </c>
      <c r="C67" s="3323"/>
      <c r="D67" s="353">
        <v>0</v>
      </c>
      <c r="E67" s="41" t="s">
        <v>392</v>
      </c>
      <c r="F67" s="62" t="s">
        <v>21</v>
      </c>
      <c r="G67" s="3307"/>
      <c r="H67" s="311"/>
      <c r="I67" s="1292"/>
      <c r="J67" s="2036"/>
      <c r="K67" s="1977">
        <v>2</v>
      </c>
      <c r="L67" s="3279" t="s">
        <v>389</v>
      </c>
      <c r="M67" s="3279"/>
      <c r="N67" s="1325">
        <f>'数据-取费表'!B2</f>
        <v>43512</v>
      </c>
      <c r="O67" s="1325"/>
      <c r="P67" s="1325"/>
      <c r="Q67" s="2029"/>
      <c r="R67" s="2029"/>
      <c r="S67" s="2029"/>
      <c r="T67" s="2029"/>
      <c r="U67" s="2029"/>
      <c r="V67" s="2029"/>
    </row>
    <row r="68" spans="1:22" ht="25.5" customHeight="1">
      <c r="A68" s="354"/>
      <c r="B68" s="3323" t="s">
        <v>394</v>
      </c>
      <c r="C68" s="3323"/>
      <c r="D68" s="355"/>
      <c r="E68" s="77"/>
      <c r="F68" s="356"/>
      <c r="G68" s="3308"/>
      <c r="H68" s="311"/>
      <c r="I68" s="1292"/>
      <c r="J68" s="2036"/>
      <c r="K68" s="1977">
        <v>3</v>
      </c>
      <c r="L68" s="3279" t="s">
        <v>393</v>
      </c>
      <c r="M68" s="3279"/>
      <c r="N68" s="1293">
        <f ca="1">C42</f>
        <v>238142</v>
      </c>
      <c r="O68" s="1293"/>
      <c r="P68" s="1293"/>
      <c r="Q68" s="2029"/>
      <c r="R68" s="2029"/>
      <c r="S68" s="2029"/>
      <c r="T68" s="2029"/>
      <c r="U68" s="2029"/>
      <c r="V68" s="2029"/>
    </row>
    <row r="69" spans="1:22" ht="12" customHeight="1">
      <c r="A69" s="357"/>
      <c r="B69" s="3323" t="s">
        <v>395</v>
      </c>
      <c r="C69" s="3323"/>
      <c r="D69" s="358"/>
      <c r="E69" s="73"/>
      <c r="F69" s="356"/>
      <c r="G69" s="3309"/>
      <c r="H69" s="311"/>
      <c r="I69" s="1292"/>
      <c r="J69" s="2036"/>
      <c r="K69" s="1294">
        <v>4</v>
      </c>
      <c r="L69" s="3285" t="s">
        <v>2884</v>
      </c>
      <c r="M69" s="3286"/>
      <c r="N69" s="1295" t="str">
        <f>C44</f>
        <v>——</v>
      </c>
      <c r="O69" s="1295"/>
      <c r="P69" s="1295"/>
      <c r="Q69" s="2029"/>
      <c r="R69" s="2029"/>
      <c r="S69" s="2029"/>
      <c r="T69" s="2029"/>
      <c r="U69" s="2029"/>
      <c r="V69" s="2029"/>
    </row>
    <row r="70" spans="1:22" ht="24" customHeight="1">
      <c r="A70" s="359" t="s">
        <v>396</v>
      </c>
      <c r="B70" s="3323" t="s">
        <v>397</v>
      </c>
      <c r="C70" s="3323"/>
      <c r="D70" s="358">
        <f ca="1">ROUND(D63*'数据-取费表'!B41/(1+'数据-取费表'!C42),0)</f>
        <v>7621</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2" t="s">
        <v>405</v>
      </c>
      <c r="C71" s="3334"/>
      <c r="D71" s="358">
        <f ca="1">ROUND(D63*'数据-取费表'!B41/(1+'数据-取费表'!C42),0)</f>
        <v>7621</v>
      </c>
      <c r="E71" s="17" t="s">
        <v>398</v>
      </c>
      <c r="F71" s="360">
        <f>'数据-取费表'!B41</f>
        <v>5.6000000000000001E-2</v>
      </c>
      <c r="G71" s="361"/>
      <c r="H71" s="311"/>
      <c r="I71" s="1292"/>
      <c r="J71" s="2036"/>
      <c r="K71" s="3037" t="s">
        <v>399</v>
      </c>
      <c r="L71" s="3287" t="s">
        <v>400</v>
      </c>
      <c r="M71" s="3287"/>
      <c r="N71" s="3037" t="s">
        <v>401</v>
      </c>
      <c r="O71" s="3037" t="s">
        <v>402</v>
      </c>
      <c r="P71" s="3037" t="s">
        <v>403</v>
      </c>
      <c r="Q71" s="2029"/>
      <c r="R71" s="2029"/>
      <c r="S71" s="2029"/>
      <c r="T71" s="2029"/>
      <c r="U71" s="2029"/>
      <c r="V71" s="2029"/>
    </row>
    <row r="72" spans="1:22" ht="12" customHeight="1">
      <c r="A72" s="359" t="s">
        <v>407</v>
      </c>
      <c r="B72" s="3322" t="s">
        <v>408</v>
      </c>
      <c r="C72" s="3334"/>
      <c r="D72" s="358">
        <f ca="1">C86</f>
        <v>7509</v>
      </c>
      <c r="E72" s="73" t="s">
        <v>409</v>
      </c>
      <c r="F72" s="360">
        <f>'数据-取费表'!B41</f>
        <v>5.6000000000000001E-2</v>
      </c>
      <c r="G72" s="361"/>
      <c r="H72" s="1298"/>
      <c r="I72" s="1292"/>
      <c r="J72" s="2036"/>
      <c r="K72" s="1977">
        <v>1</v>
      </c>
      <c r="L72" s="3284" t="s">
        <v>406</v>
      </c>
      <c r="M72" s="3284"/>
      <c r="N72" s="1296">
        <f ca="1">D66</f>
        <v>7621</v>
      </c>
      <c r="O72" s="1860" t="str">
        <f>E66</f>
        <v>销售额×税（费）率</v>
      </c>
      <c r="P72" s="1297">
        <f>F66</f>
        <v>5.6000000000000001E-2</v>
      </c>
      <c r="Q72" s="2029"/>
      <c r="R72" s="2029"/>
      <c r="S72" s="2029"/>
      <c r="T72" s="2029"/>
      <c r="U72" s="2029"/>
      <c r="V72" s="2029"/>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284" t="s">
        <v>410</v>
      </c>
      <c r="M73" s="3284"/>
      <c r="N73" s="1296">
        <f t="shared" ref="N73:P74" si="1">D73</f>
        <v>0</v>
      </c>
      <c r="O73" s="1860" t="str">
        <f t="shared" si="1"/>
        <v>销售额×税（费）率</v>
      </c>
      <c r="P73" s="1297" t="str">
        <f t="shared" si="1"/>
        <v>免征</v>
      </c>
      <c r="Q73" s="2029"/>
      <c r="R73" s="2029"/>
      <c r="S73" s="2029"/>
      <c r="T73" s="2029"/>
      <c r="U73" s="2029"/>
      <c r="V73" s="2029"/>
    </row>
    <row r="74" spans="1:22" ht="24.75">
      <c r="A74" s="3310" t="s">
        <v>415</v>
      </c>
      <c r="B74" s="3311"/>
      <c r="C74" s="3311"/>
      <c r="D74" s="362">
        <f ca="1">IF(H74="个人住宅",D75,D76)</f>
        <v>80218</v>
      </c>
      <c r="E74" s="17" t="s">
        <v>416</v>
      </c>
      <c r="F74" s="360" t="str">
        <f>IF(H74="正常",F76,"免征")</f>
        <v>——</v>
      </c>
      <c r="G74" s="983" t="s">
        <v>417</v>
      </c>
      <c r="H74" s="363" t="s">
        <v>413</v>
      </c>
      <c r="I74" s="42"/>
      <c r="J74" s="2036"/>
      <c r="K74" s="1977">
        <v>3</v>
      </c>
      <c r="L74" s="3284" t="s">
        <v>414</v>
      </c>
      <c r="M74" s="3284"/>
      <c r="N74" s="1296">
        <f t="shared" ca="1" si="1"/>
        <v>80218</v>
      </c>
      <c r="O74" s="1860" t="str">
        <f t="shared" si="1"/>
        <v>增值额×税（费）率</v>
      </c>
      <c r="P74" s="1299" t="str">
        <f t="shared" si="1"/>
        <v>——</v>
      </c>
      <c r="Q74" s="2029"/>
      <c r="R74" s="2029"/>
      <c r="S74" s="2029"/>
      <c r="T74" s="2029"/>
      <c r="U74" s="2029"/>
      <c r="V74" s="2029"/>
    </row>
    <row r="75" spans="1:22" ht="24">
      <c r="A75" s="359" t="s">
        <v>418</v>
      </c>
      <c r="B75" s="3291" t="s">
        <v>419</v>
      </c>
      <c r="C75" s="3292"/>
      <c r="D75" s="364">
        <v>0</v>
      </c>
      <c r="E75" s="41" t="s">
        <v>420</v>
      </c>
      <c r="F75" s="365"/>
      <c r="G75" s="361"/>
      <c r="H75" s="42"/>
      <c r="I75" s="42"/>
      <c r="J75" s="2036"/>
      <c r="K75" s="3030">
        <f>IF(H77="非个人房产","",4)</f>
        <v>4</v>
      </c>
      <c r="L75" s="3284" t="str">
        <f>IF(H77="非个人房产","——","个人所得税")</f>
        <v>个人所得税</v>
      </c>
      <c r="M75" s="3284"/>
      <c r="N75" s="1300">
        <f ca="1">D77</f>
        <v>1429</v>
      </c>
      <c r="O75" s="1873" t="str">
        <f>E77</f>
        <v>销售额×税（费）率</v>
      </c>
      <c r="P75" s="1301">
        <f>F77</f>
        <v>0.01</v>
      </c>
      <c r="Q75" s="2029"/>
      <c r="R75" s="2029"/>
      <c r="S75" s="2029"/>
      <c r="T75" s="2029"/>
      <c r="U75" s="2029"/>
      <c r="V75" s="2029"/>
    </row>
    <row r="76" spans="1:22" ht="24.75">
      <c r="A76" s="359" t="s">
        <v>396</v>
      </c>
      <c r="B76" s="3291" t="s">
        <v>422</v>
      </c>
      <c r="C76" s="3333"/>
      <c r="D76" s="362">
        <f ca="1">IF(H76="转让取得",C99,C115)</f>
        <v>80218</v>
      </c>
      <c r="E76" s="17" t="s">
        <v>423</v>
      </c>
      <c r="F76" s="53" t="s">
        <v>21</v>
      </c>
      <c r="G76" s="361"/>
      <c r="H76" s="363" t="s">
        <v>424</v>
      </c>
      <c r="I76" s="42"/>
      <c r="J76" s="2036"/>
      <c r="K76" s="3030"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6">
        <f ca="1">IF(H77="非个人房产","——",IF(H77="个人住宅",0,ROUND(D63*I77,0)))</f>
        <v>1429</v>
      </c>
      <c r="E77" s="367" t="str">
        <f>IF(H77="非个人房产","——","销售额×税（费）率")</f>
        <v>销售额×税（费）率</v>
      </c>
      <c r="F77" s="368">
        <f>IF(H77="非个人房产","——",IF(H77="个人住宅","免征",I77))</f>
        <v>0.01</v>
      </c>
      <c r="G77" s="984" t="s">
        <v>417</v>
      </c>
      <c r="H77" s="363" t="s">
        <v>2885</v>
      </c>
      <c r="I77" s="369">
        <v>0.01</v>
      </c>
      <c r="J77" s="2036"/>
      <c r="K77" s="3298">
        <f>IF(AND(K75="",K76=""),4,IF(项目基本情况!K6="上海银行",K76+1,K75+1))</f>
        <v>5</v>
      </c>
      <c r="L77" s="3284" t="s">
        <v>2886</v>
      </c>
      <c r="M77" s="3036" t="s">
        <v>421</v>
      </c>
      <c r="N77" s="1302"/>
      <c r="O77" s="1303">
        <f ca="1">SUMIF(N72:N76,"&lt;9e307")</f>
        <v>89268</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298"/>
      <c r="L78" s="3284"/>
      <c r="M78" s="3036" t="s">
        <v>425</v>
      </c>
      <c r="N78" s="1302"/>
      <c r="O78" s="1303" t="str">
        <f ca="1">NUMBERSTRING(INT(O77*10000),2)&amp;"元整"</f>
        <v>捌亿玖仟贰佰陆拾捌万元整</v>
      </c>
      <c r="P78" s="1304"/>
      <c r="Q78" s="2029"/>
      <c r="R78" s="2029"/>
      <c r="S78" s="2029"/>
      <c r="T78" s="2029"/>
      <c r="U78" s="2029"/>
      <c r="V78" s="2029"/>
    </row>
    <row r="79" spans="1:22" ht="13.5" thickBot="1">
      <c r="A79" s="3288" t="s">
        <v>427</v>
      </c>
      <c r="B79" s="3288"/>
      <c r="C79" s="3288"/>
      <c r="D79" s="3288"/>
      <c r="E79" s="3288"/>
      <c r="F79" s="42"/>
      <c r="G79" s="42"/>
      <c r="H79" s="1003"/>
      <c r="I79" s="311"/>
      <c r="J79" s="2036"/>
      <c r="K79" s="3282">
        <f>K77+1</f>
        <v>6</v>
      </c>
      <c r="L79" s="3284" t="s">
        <v>2887</v>
      </c>
      <c r="M79" s="3036" t="s">
        <v>421</v>
      </c>
      <c r="N79" s="1302"/>
      <c r="O79" s="1303" t="e">
        <f ca="1">N69-O77</f>
        <v>#VALUE!</v>
      </c>
      <c r="P79" s="1304"/>
      <c r="Q79" s="2029"/>
      <c r="R79" s="2029"/>
      <c r="S79" s="2029"/>
      <c r="T79" s="2029"/>
      <c r="U79" s="2029"/>
      <c r="V79" s="2029"/>
    </row>
    <row r="80" spans="1:22" ht="12.75">
      <c r="A80" s="3289" t="s">
        <v>428</v>
      </c>
      <c r="B80" s="3290"/>
      <c r="C80" s="994"/>
      <c r="D80" s="994" t="s">
        <v>429</v>
      </c>
      <c r="E80" s="370" t="s">
        <v>430</v>
      </c>
      <c r="F80" s="42"/>
      <c r="G80" s="42"/>
      <c r="H80" s="1003"/>
      <c r="I80" s="311"/>
      <c r="J80" s="2029"/>
      <c r="K80" s="3283"/>
      <c r="L80" s="3284"/>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136081</v>
      </c>
      <c r="D81" s="373"/>
      <c r="E81" s="374"/>
      <c r="F81" s="42"/>
      <c r="G81" s="42"/>
      <c r="H81" s="1003"/>
      <c r="I81" s="311"/>
      <c r="J81" s="2029"/>
      <c r="K81" s="3030">
        <f>K79+1</f>
        <v>7</v>
      </c>
      <c r="L81" s="3296" t="s">
        <v>2888</v>
      </c>
      <c r="M81" s="3297"/>
      <c r="N81" s="1306"/>
      <c r="O81" s="1307" t="e">
        <f ca="1">ROUND(O79*10000/'数据-汇总表'!E3,0)</f>
        <v>#VALUE!</v>
      </c>
      <c r="P81" s="1308"/>
      <c r="Q81" s="2029"/>
      <c r="R81" s="2029"/>
      <c r="S81" s="2029"/>
      <c r="T81" s="2029"/>
      <c r="U81" s="2029"/>
      <c r="V81" s="2029"/>
    </row>
    <row r="82" spans="1:26" ht="13.5" thickTop="1">
      <c r="A82" s="375" t="s">
        <v>1825</v>
      </c>
      <c r="B82" s="376" t="s">
        <v>432</v>
      </c>
      <c r="C82" s="377">
        <f ca="1">D63</f>
        <v>142885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1"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1"/>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134081</v>
      </c>
      <c r="D85" s="378" t="s">
        <v>19</v>
      </c>
      <c r="E85" s="379"/>
      <c r="F85" s="42"/>
      <c r="G85" s="42"/>
      <c r="H85" s="1003"/>
      <c r="I85" s="311"/>
      <c r="J85" s="2029"/>
      <c r="K85" s="3271"/>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7509</v>
      </c>
      <c r="D86" s="389">
        <f>'数据-取费表'!B41</f>
        <v>5.6000000000000001E-2</v>
      </c>
      <c r="E86" s="390"/>
      <c r="F86" s="42"/>
      <c r="G86" s="42"/>
      <c r="H86" s="1003"/>
      <c r="I86" s="311"/>
      <c r="J86" s="2029"/>
      <c r="K86" s="3271"/>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1"/>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25" t="s">
        <v>437</v>
      </c>
      <c r="B88" s="3326"/>
      <c r="C88" s="3326"/>
      <c r="D88" s="3326"/>
      <c r="E88" s="3326"/>
      <c r="F88" s="3326"/>
      <c r="G88" s="3326"/>
      <c r="H88" s="3326"/>
      <c r="I88" s="1315"/>
      <c r="J88" s="2037"/>
      <c r="K88" s="3271"/>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89" t="s">
        <v>428</v>
      </c>
      <c r="B89" s="3290"/>
      <c r="C89" s="994"/>
      <c r="D89" s="994" t="s">
        <v>429</v>
      </c>
      <c r="E89" s="391" t="s">
        <v>438</v>
      </c>
      <c r="F89" s="392"/>
      <c r="G89" s="392"/>
      <c r="H89" s="393"/>
      <c r="I89" s="1316"/>
      <c r="J89" s="2039"/>
      <c r="K89" s="3271"/>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136081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2" t="s">
        <v>447</v>
      </c>
      <c r="F94" s="3323"/>
      <c r="G94" s="3323"/>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816</v>
      </c>
      <c r="D96" s="406">
        <f>'数据-取费表'!B43</f>
        <v>6.000000000000001E-3</v>
      </c>
      <c r="E96" s="3312" t="s">
        <v>2429</v>
      </c>
      <c r="F96" s="3313"/>
      <c r="G96" s="3313"/>
      <c r="H96" s="331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132704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39.296416938110752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78440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9" t="s">
        <v>428</v>
      </c>
      <c r="B102" s="329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136081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1506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5" t="s">
        <v>462</v>
      </c>
      <c r="F109" s="3313"/>
      <c r="G109" s="331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816</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134575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89.359229747675968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80218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283859</v>
      </c>
      <c r="D13" s="451"/>
      <c r="E13" s="365"/>
      <c r="F13" s="452"/>
      <c r="G13" s="444"/>
      <c r="H13" s="447"/>
      <c r="I13" s="447"/>
      <c r="J13" s="447"/>
      <c r="K13" s="448"/>
    </row>
    <row r="14" spans="1:41" s="2117" customFormat="1" ht="13.5" customHeight="1">
      <c r="A14" s="1634" t="s">
        <v>1850</v>
      </c>
      <c r="B14" s="449" t="s">
        <v>480</v>
      </c>
      <c r="C14" s="53">
        <f ca="1">ROUND(C13*F14,0)</f>
        <v>8516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4258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315557</v>
      </c>
      <c r="D18" s="461"/>
      <c r="E18" s="462"/>
      <c r="F18" s="462"/>
      <c r="G18" s="1327" t="s">
        <v>2433</v>
      </c>
      <c r="H18" s="447"/>
      <c r="I18" s="447"/>
      <c r="J18" s="447"/>
      <c r="K18" s="448"/>
    </row>
    <row r="19" spans="1:14" s="2120" customFormat="1" ht="13.5" customHeight="1">
      <c r="A19" s="1635" t="s">
        <v>1855</v>
      </c>
      <c r="B19" s="459" t="s">
        <v>493</v>
      </c>
      <c r="C19" s="460">
        <f ca="1">ROUND(C18*F19,0)</f>
        <v>6311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39594</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39594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64374</v>
      </c>
      <c r="D24" s="489">
        <f ca="1">C26</f>
        <v>6.0000000000000001E-3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64374</v>
      </c>
      <c r="D25" s="472"/>
      <c r="E25" s="473"/>
      <c r="F25" s="480"/>
      <c r="G25" s="1326" t="s">
        <v>2434</v>
      </c>
      <c r="H25" s="457"/>
      <c r="I25" s="457"/>
      <c r="J25" s="457"/>
      <c r="K25" s="458"/>
    </row>
    <row r="26" spans="1:14" s="2121" customFormat="1" ht="13.5" customHeight="1">
      <c r="A26" s="1634" t="s">
        <v>1850</v>
      </c>
      <c r="B26" s="1328" t="s">
        <v>509</v>
      </c>
      <c r="C26" s="491">
        <f ca="1">ROUND(F20*F24,4)</f>
        <v>6.0000000000000001E-3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469499</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1" t="s">
        <v>2932</v>
      </c>
      <c r="D7" s="3382"/>
      <c r="E7" s="3381" t="s">
        <v>2933</v>
      </c>
      <c r="F7" s="3382"/>
      <c r="G7" s="3381" t="s">
        <v>2934</v>
      </c>
      <c r="H7" s="3382"/>
      <c r="I7" s="3381" t="s">
        <v>2935</v>
      </c>
      <c r="J7" s="3382"/>
      <c r="K7" s="514"/>
      <c r="L7" s="2134"/>
      <c r="M7" s="2133"/>
      <c r="N7" s="2133"/>
      <c r="O7" s="2135"/>
      <c r="P7" s="3374"/>
      <c r="Q7" s="3375"/>
      <c r="R7" s="3360"/>
      <c r="S7" s="3361"/>
      <c r="T7" s="3360"/>
      <c r="U7" s="3361"/>
      <c r="V7" s="3378"/>
      <c r="W7" s="3378"/>
      <c r="X7" s="1568"/>
      <c r="Y7" s="3360"/>
      <c r="Z7" s="3361"/>
      <c r="AA7" s="3354"/>
      <c r="AB7" s="3354"/>
      <c r="AC7" s="3354"/>
    </row>
    <row r="8" spans="1:30" ht="21" thickBot="1">
      <c r="A8" s="515"/>
      <c r="B8" s="516"/>
      <c r="C8" s="3383" t="s">
        <v>2936</v>
      </c>
      <c r="D8" s="3384"/>
      <c r="E8" s="3383" t="s">
        <v>2936</v>
      </c>
      <c r="F8" s="3384"/>
      <c r="G8" s="3379" t="s">
        <v>2936</v>
      </c>
      <c r="H8" s="3380"/>
      <c r="I8" s="3379" t="s">
        <v>2936</v>
      </c>
      <c r="J8" s="3380"/>
      <c r="K8" s="514" t="s">
        <v>528</v>
      </c>
      <c r="L8" s="2134"/>
      <c r="M8" s="2133"/>
      <c r="N8" s="2133"/>
      <c r="O8" s="2135"/>
      <c r="P8" s="3376"/>
      <c r="Q8" s="3377"/>
      <c r="R8" s="3360"/>
      <c r="S8" s="3361"/>
      <c r="T8" s="3362"/>
      <c r="U8" s="3363"/>
      <c r="V8" s="3378"/>
      <c r="W8" s="3378"/>
      <c r="X8" s="1568"/>
      <c r="Y8" s="3362"/>
      <c r="Z8" s="3363"/>
      <c r="AA8" s="3355"/>
      <c r="AB8" s="3355"/>
      <c r="AC8" s="3355"/>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6" t="s">
        <v>540</v>
      </c>
      <c r="Q17" s="1573" t="str">
        <f t="shared" si="6"/>
        <v>居住社区成熟度</v>
      </c>
      <c r="R17" s="1574" t="s">
        <v>8</v>
      </c>
      <c r="S17" s="1575">
        <f t="shared" si="0"/>
        <v>100</v>
      </c>
      <c r="T17" s="1574" t="s">
        <v>8</v>
      </c>
      <c r="U17" s="1575">
        <f t="shared" si="1"/>
        <v>100</v>
      </c>
      <c r="V17" s="1574" t="s">
        <v>8</v>
      </c>
      <c r="W17" s="1575">
        <f t="shared" si="2"/>
        <v>100</v>
      </c>
      <c r="X17" s="1568"/>
      <c r="Y17" s="336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7"/>
      <c r="Q28" s="1573"/>
      <c r="R28" s="1574"/>
      <c r="S28" s="1575"/>
      <c r="T28" s="1574"/>
      <c r="U28" s="1575"/>
      <c r="V28" s="1574"/>
      <c r="W28" s="1575"/>
      <c r="X28" s="1568"/>
      <c r="Y28" s="3367"/>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7"/>
      <c r="Q30" s="1151"/>
      <c r="R30" s="1569"/>
      <c r="S30" s="1570"/>
      <c r="T30" s="1569"/>
      <c r="U30" s="1570"/>
      <c r="V30" s="1569"/>
      <c r="W30" s="1570"/>
      <c r="X30" s="1571"/>
      <c r="Y30" s="3367"/>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7"/>
      <c r="Q31" s="2558" t="str">
        <f t="shared" ref="Q31" si="9">B31</f>
        <v>基础设施水平</v>
      </c>
      <c r="R31" s="1569" t="s">
        <v>8</v>
      </c>
      <c r="S31" s="1570">
        <f>F31</f>
        <v>100</v>
      </c>
      <c r="T31" s="1569" t="s">
        <v>8</v>
      </c>
      <c r="U31" s="1570">
        <f>H31</f>
        <v>100</v>
      </c>
      <c r="V31" s="1569" t="s">
        <v>8</v>
      </c>
      <c r="W31" s="1570">
        <f>J31</f>
        <v>100</v>
      </c>
      <c r="X31" s="1571"/>
      <c r="Y31" s="3367"/>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7"/>
      <c r="Q32" s="2558"/>
      <c r="R32" s="1569"/>
      <c r="S32" s="1570"/>
      <c r="T32" s="1569"/>
      <c r="U32" s="1570"/>
      <c r="V32" s="1569"/>
      <c r="W32" s="1570"/>
      <c r="X32" s="1571"/>
      <c r="Y32" s="3367"/>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9"/>
      <c r="Q40" s="1573" t="str">
        <f>B40</f>
        <v>宗地面积</v>
      </c>
      <c r="R40" s="1574" t="s">
        <v>8</v>
      </c>
      <c r="S40" s="1575" t="e">
        <f t="shared" si="10"/>
        <v>#N/A</v>
      </c>
      <c r="T40" s="1574" t="s">
        <v>8</v>
      </c>
      <c r="U40" s="1575" t="e">
        <f t="shared" si="11"/>
        <v>#N/A</v>
      </c>
      <c r="V40" s="1574" t="s">
        <v>8</v>
      </c>
      <c r="W40" s="1575" t="e">
        <f t="shared" si="12"/>
        <v>#N/A</v>
      </c>
      <c r="X40" s="1568"/>
      <c r="Y40" s="336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64" t="str">
        <f>A48</f>
        <v>成交单价</v>
      </c>
      <c r="Q48" s="3364"/>
      <c r="R48" s="3378">
        <f>E48</f>
        <v>0</v>
      </c>
      <c r="S48" s="3378"/>
      <c r="T48" s="3378">
        <f>G48</f>
        <v>0</v>
      </c>
      <c r="U48" s="3378"/>
      <c r="V48" s="3378">
        <f>I48</f>
        <v>0</v>
      </c>
      <c r="W48" s="3378"/>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4" t="str">
        <f>A49</f>
        <v>比较价格（元/平方米）</v>
      </c>
      <c r="Q49" s="3364"/>
      <c r="R49" s="3388" t="e">
        <f>ROUND(PRODUCT(R48,AA9:AA47),0)</f>
        <v>#DIV/0!</v>
      </c>
      <c r="S49" s="3388"/>
      <c r="T49" s="3388" t="e">
        <f>ROUND(PRODUCT(T48,AB9:AB47),0)</f>
        <v>#DIV/0!</v>
      </c>
      <c r="U49" s="3388"/>
      <c r="V49" s="3388" t="e">
        <f>ROUND(PRODUCT(V48,AC9:AC47),0)</f>
        <v>#DIV/0!</v>
      </c>
      <c r="W49" s="3388"/>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85" t="str">
        <f>A50</f>
        <v>估价对象XX用房的比较价格（楼面单价，元/平方米）</v>
      </c>
      <c r="Q50" s="3386"/>
      <c r="R50" s="3387" t="e">
        <f>ROUND(AVERAGE(R49:V49),0)</f>
        <v>#DIV/0!</v>
      </c>
      <c r="S50" s="3387"/>
      <c r="T50" s="3387"/>
      <c r="U50" s="3387"/>
      <c r="V50" s="3387"/>
      <c r="W50" s="338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8" t="s">
        <v>2282</v>
      </c>
      <c r="H57" s="334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50"/>
      <c r="H58" s="335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52"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5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5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5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19" sqref="A19:X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238142</v>
      </c>
      <c r="C2" s="2105"/>
      <c r="D2" s="2105"/>
      <c r="E2" s="2105"/>
      <c r="F2" s="2105"/>
      <c r="G2" s="2105"/>
      <c r="H2" s="2105"/>
      <c r="I2" s="2105"/>
      <c r="J2" s="2105"/>
      <c r="K2" s="2105"/>
    </row>
    <row r="3" spans="1:31" s="2042" customFormat="1" ht="18" customHeight="1">
      <c r="A3" s="2107" t="s">
        <v>1685</v>
      </c>
      <c r="B3" s="2108">
        <f ca="1">ROUND(B2*10000/IF(B1="",'数据-汇总表'!E3,INDIRECT("'数据-取费表'!K"&amp;$K$1)),0)</f>
        <v>2517</v>
      </c>
      <c r="C3" s="2105"/>
      <c r="D3" s="2105"/>
      <c r="E3" s="2105"/>
      <c r="F3" s="2105"/>
      <c r="G3" s="2105"/>
      <c r="H3" s="2105"/>
      <c r="I3" s="2105"/>
      <c r="J3" s="2105"/>
      <c r="K3" s="2105"/>
    </row>
    <row r="4" spans="1:31" s="2042" customFormat="1" ht="18" customHeight="1">
      <c r="A4" s="426" t="s">
        <v>468</v>
      </c>
      <c r="B4" s="427">
        <f ca="1">ROUND(B2*10000/IF(B1="",'数据-汇总表'!D3,INDIRECT("'数据-取费表'!R"&amp;$K$1)),0)</f>
        <v>11473</v>
      </c>
      <c r="C4" s="428"/>
      <c r="D4" s="422"/>
      <c r="E4" s="422"/>
      <c r="F4" s="422"/>
      <c r="G4" s="422"/>
      <c r="H4" s="422"/>
      <c r="I4" s="422"/>
      <c r="J4" s="422"/>
      <c r="K4" s="422"/>
    </row>
    <row r="5" spans="1:31" s="2042" customFormat="1" ht="18" customHeight="1" thickBot="1">
      <c r="A5" s="429"/>
      <c r="B5" s="430">
        <f ca="1">ROUND(B2/(IF(B1="",'数据-汇总表'!D3,INDIRECT("'数据-取费表'!R"&amp;$K$1))/666.67),0)</f>
        <v>765</v>
      </c>
      <c r="C5" s="431" t="s">
        <v>469</v>
      </c>
      <c r="D5" s="422"/>
      <c r="E5" s="422"/>
      <c r="F5" s="422"/>
      <c r="G5" s="422"/>
      <c r="H5" s="422"/>
      <c r="I5" s="422"/>
      <c r="J5" s="422"/>
      <c r="K5" s="422"/>
    </row>
    <row r="6" spans="1:31" s="2112" customFormat="1" ht="16.5" customHeight="1">
      <c r="A6" s="2807" t="s">
        <v>1843</v>
      </c>
      <c r="B6" s="2808"/>
      <c r="C6" s="2809">
        <f ca="1">SUM(C10:K10)</f>
        <v>864281</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9134</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864281</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283859</v>
      </c>
      <c r="D13" s="2823"/>
      <c r="E13" s="2824"/>
      <c r="F13" s="2825"/>
      <c r="G13" s="2791"/>
      <c r="H13" s="2792"/>
      <c r="I13" s="2792"/>
      <c r="J13" s="2792"/>
      <c r="K13" s="2793"/>
    </row>
    <row r="14" spans="1:31" s="2117" customFormat="1" ht="13.5" customHeight="1">
      <c r="A14" s="2821" t="s">
        <v>1850</v>
      </c>
      <c r="B14" s="2822" t="s">
        <v>480</v>
      </c>
      <c r="C14" s="53">
        <f ca="1">ROUND(C13*F14,0)</f>
        <v>8516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4258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315557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6311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25928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42784</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42784</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46095</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436675</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436675</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69559</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69559</v>
      </c>
      <c r="D35" s="1630"/>
      <c r="E35" s="2843"/>
      <c r="F35" s="1631"/>
      <c r="G35" s="2801"/>
      <c r="H35" s="2802"/>
      <c r="I35" s="2802"/>
      <c r="J35" s="2802"/>
      <c r="K35" s="2803"/>
    </row>
    <row r="36" spans="1:11" s="2086" customFormat="1" ht="13.5" customHeight="1" thickBot="1">
      <c r="A36" s="284" t="s">
        <v>1845</v>
      </c>
      <c r="B36" s="2805"/>
      <c r="C36" s="2844">
        <f ca="1">ROUND((C6-C30-C33)/(1+D30+D33),0)</f>
        <v>238142</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394" t="s">
        <v>523</v>
      </c>
      <c r="F6" s="3395"/>
      <c r="G6" s="3370" t="s">
        <v>524</v>
      </c>
      <c r="H6" s="3371"/>
      <c r="I6" s="3370" t="s">
        <v>525</v>
      </c>
      <c r="J6" s="3371"/>
      <c r="K6" s="514" t="s">
        <v>526</v>
      </c>
      <c r="L6" s="2134"/>
      <c r="M6" s="2135"/>
      <c r="N6" s="2135"/>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1" t="s">
        <v>2932</v>
      </c>
      <c r="D7" s="3382"/>
      <c r="E7" s="3396" t="str">
        <f>土地案例!A2</f>
        <v>宝安区燕罗街道</v>
      </c>
      <c r="F7" s="3397"/>
      <c r="G7" s="3381" t="str">
        <f>土地案例!A17</f>
        <v>光明新区光侨路与东长路交汇处东南侧</v>
      </c>
      <c r="H7" s="3382"/>
      <c r="I7" s="3381" t="str">
        <f>土地案例!A30</f>
        <v>光明新区光明办事处</v>
      </c>
      <c r="J7" s="3382"/>
      <c r="K7" s="514"/>
      <c r="L7" s="2134"/>
      <c r="M7" s="2135"/>
      <c r="N7" s="2135"/>
      <c r="O7" s="2135"/>
      <c r="P7" s="3374"/>
      <c r="Q7" s="3375"/>
      <c r="R7" s="3360"/>
      <c r="S7" s="3361"/>
      <c r="T7" s="3360"/>
      <c r="U7" s="3361"/>
      <c r="V7" s="3378"/>
      <c r="W7" s="3378"/>
      <c r="X7" s="1568"/>
      <c r="Y7" s="3360"/>
      <c r="Z7" s="3361"/>
      <c r="AA7" s="3354"/>
      <c r="AB7" s="3354"/>
      <c r="AC7" s="3354"/>
    </row>
    <row r="8" spans="1:29" ht="15.75" thickBot="1">
      <c r="A8" s="517"/>
      <c r="B8" s="518"/>
      <c r="C8" s="3379" t="s">
        <v>2936</v>
      </c>
      <c r="D8" s="3380"/>
      <c r="E8" s="3398" t="s">
        <v>2936</v>
      </c>
      <c r="F8" s="3399"/>
      <c r="G8" s="3379" t="s">
        <v>2936</v>
      </c>
      <c r="H8" s="3380"/>
      <c r="I8" s="3379" t="s">
        <v>2936</v>
      </c>
      <c r="J8" s="3380"/>
      <c r="K8" s="514" t="s">
        <v>528</v>
      </c>
      <c r="L8" s="2134"/>
      <c r="M8" s="2135"/>
      <c r="N8" s="2135"/>
      <c r="O8" s="2135"/>
      <c r="P8" s="3376"/>
      <c r="Q8" s="3377"/>
      <c r="R8" s="3360"/>
      <c r="S8" s="3361"/>
      <c r="T8" s="3362"/>
      <c r="U8" s="3363"/>
      <c r="V8" s="3378"/>
      <c r="W8" s="3378"/>
      <c r="X8" s="1568"/>
      <c r="Y8" s="3362"/>
      <c r="Z8" s="3363"/>
      <c r="AA8" s="3355"/>
      <c r="AB8" s="3355"/>
      <c r="AC8" s="3355"/>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56" t="s">
        <v>530</v>
      </c>
      <c r="Q9" s="3365"/>
      <c r="R9" s="1569" t="s">
        <v>8</v>
      </c>
      <c r="S9" s="1570">
        <f t="shared" ref="S9:S17" si="0">F9</f>
        <v>98</v>
      </c>
      <c r="T9" s="1569" t="s">
        <v>8</v>
      </c>
      <c r="U9" s="1570">
        <f t="shared" ref="U9:U17" si="1">H9</f>
        <v>98.5</v>
      </c>
      <c r="V9" s="1569" t="s">
        <v>8</v>
      </c>
      <c r="W9" s="1570">
        <f t="shared" ref="W9:W17" si="2">J9</f>
        <v>95.5</v>
      </c>
      <c r="X9" s="1571"/>
      <c r="Y9" s="3356" t="s">
        <v>530</v>
      </c>
      <c r="Z9" s="3357"/>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64"/>
      <c r="Q13" s="1151" t="str">
        <f t="shared" si="6"/>
        <v>容积率</v>
      </c>
      <c r="R13" s="1569" t="s">
        <v>8</v>
      </c>
      <c r="S13" s="1570">
        <f t="shared" si="0"/>
        <v>100</v>
      </c>
      <c r="T13" s="1569" t="s">
        <v>8</v>
      </c>
      <c r="U13" s="1570">
        <f t="shared" si="1"/>
        <v>100</v>
      </c>
      <c r="V13" s="1569" t="s">
        <v>8</v>
      </c>
      <c r="W13" s="1570">
        <f t="shared" si="2"/>
        <v>100</v>
      </c>
      <c r="X13" s="1571"/>
      <c r="Y13" s="3321"/>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7"/>
      <c r="Q24" s="1573"/>
      <c r="R24" s="1574"/>
      <c r="S24" s="1575"/>
      <c r="T24" s="1574"/>
      <c r="U24" s="1575"/>
      <c r="V24" s="1574"/>
      <c r="W24" s="1575"/>
      <c r="X24" s="1568"/>
      <c r="Y24" s="3367"/>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7"/>
      <c r="Q26" s="1151"/>
      <c r="R26" s="1569"/>
      <c r="S26" s="1570"/>
      <c r="T26" s="1569"/>
      <c r="U26" s="1570"/>
      <c r="V26" s="1569"/>
      <c r="W26" s="1570"/>
      <c r="X26" s="1571"/>
      <c r="Y26" s="3367"/>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7"/>
      <c r="Q27" s="2558" t="str">
        <f t="shared" ref="Q27" si="9">B27</f>
        <v>基础设施水平</v>
      </c>
      <c r="R27" s="1569" t="s">
        <v>8</v>
      </c>
      <c r="S27" s="1570">
        <f>F27</f>
        <v>100</v>
      </c>
      <c r="T27" s="1569" t="s">
        <v>8</v>
      </c>
      <c r="U27" s="1570">
        <f>H27</f>
        <v>100</v>
      </c>
      <c r="V27" s="1569" t="s">
        <v>8</v>
      </c>
      <c r="W27" s="1570">
        <f>J27</f>
        <v>100</v>
      </c>
      <c r="X27" s="1571"/>
      <c r="Y27" s="3367"/>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7"/>
      <c r="Q28" s="2558"/>
      <c r="R28" s="1569"/>
      <c r="S28" s="1570"/>
      <c r="T28" s="1569"/>
      <c r="U28" s="1570"/>
      <c r="V28" s="1569"/>
      <c r="W28" s="1570"/>
      <c r="X28" s="1571"/>
      <c r="Y28" s="3367"/>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7"/>
      <c r="Q31" s="1573"/>
      <c r="R31" s="1574"/>
      <c r="S31" s="1575"/>
      <c r="T31" s="1574"/>
      <c r="U31" s="1575"/>
      <c r="V31" s="1574"/>
      <c r="W31" s="1575"/>
      <c r="X31" s="1568"/>
      <c r="Y31" s="3367"/>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69"/>
      <c r="Q36" s="1573" t="str">
        <f>B36</f>
        <v>宗地面积</v>
      </c>
      <c r="R36" s="1574" t="s">
        <v>8</v>
      </c>
      <c r="S36" s="1575">
        <f t="shared" si="10"/>
        <v>98</v>
      </c>
      <c r="T36" s="1574" t="s">
        <v>8</v>
      </c>
      <c r="U36" s="1575">
        <f t="shared" si="11"/>
        <v>100</v>
      </c>
      <c r="V36" s="1574" t="s">
        <v>8</v>
      </c>
      <c r="W36" s="1575">
        <f t="shared" si="12"/>
        <v>103</v>
      </c>
      <c r="X36" s="1568"/>
      <c r="Y36" s="3369"/>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64" t="str">
        <f>A43</f>
        <v>成交单价</v>
      </c>
      <c r="Q43" s="3364"/>
      <c r="R43" s="3378">
        <f>E43</f>
        <v>2726</v>
      </c>
      <c r="S43" s="3378"/>
      <c r="T43" s="3378">
        <f>G43</f>
        <v>3145</v>
      </c>
      <c r="U43" s="3378"/>
      <c r="V43" s="3378">
        <f>I43</f>
        <v>2566</v>
      </c>
      <c r="W43" s="3378"/>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64" t="str">
        <f>A44</f>
        <v>比较价格（元/平方米）</v>
      </c>
      <c r="Q44" s="3364"/>
      <c r="R44" s="3388">
        <f>ROUND(PRODUCT(R43,AA9:AA42),0)</f>
        <v>2838</v>
      </c>
      <c r="S44" s="3388"/>
      <c r="T44" s="3388">
        <f>ROUND(PRODUCT(T43,AB9:AB42),0)</f>
        <v>3193</v>
      </c>
      <c r="U44" s="3388"/>
      <c r="V44" s="3388">
        <f>ROUND(PRODUCT(V43,AC9:AC42),0)</f>
        <v>2609</v>
      </c>
      <c r="W44" s="3388"/>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85" t="str">
        <f>A45</f>
        <v>估价对象XX用房的比较价格（楼面单价，元/平方米）</v>
      </c>
      <c r="Q45" s="3386"/>
      <c r="R45" s="3387">
        <f>ROUND(AVERAGE(R44:V44),0)</f>
        <v>2880</v>
      </c>
      <c r="S45" s="3387"/>
      <c r="T45" s="3387"/>
      <c r="U45" s="3387"/>
      <c r="V45" s="3387"/>
      <c r="W45" s="338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9" t="s">
        <v>2285</v>
      </c>
      <c r="H52" s="3390"/>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1"/>
      <c r="H53" s="339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02"/>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1" t="s">
        <v>2784</v>
      </c>
      <c r="X8" s="341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2"/>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1"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03"/>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7"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5" t="s">
        <v>1634</v>
      </c>
      <c r="B90" s="3405"/>
      <c r="C90" s="3405"/>
      <c r="D90" s="3405"/>
      <c r="E90" s="3405"/>
      <c r="F90" s="3405"/>
      <c r="G90" s="3405"/>
      <c r="H90" s="3405"/>
      <c r="I90" s="3405"/>
      <c r="J90" s="3405"/>
      <c r="K90" s="2430"/>
      <c r="L90" s="2430"/>
      <c r="M90" s="2430"/>
      <c r="N90" s="2430"/>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1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1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1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1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1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1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0" t="s">
        <v>1640</v>
      </c>
      <c r="B110" s="3400"/>
      <c r="C110" s="3400"/>
      <c r="D110" s="3400"/>
      <c r="E110" s="3400"/>
      <c r="F110" s="3400"/>
      <c r="G110" s="3400"/>
      <c r="H110" s="3400"/>
      <c r="I110" s="3400"/>
      <c r="J110" s="3400"/>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2" t="s">
        <v>2577</v>
      </c>
      <c r="C1" s="3432"/>
      <c r="D1" s="3432"/>
      <c r="E1" s="3432"/>
      <c r="F1" s="3432"/>
      <c r="G1" s="3431" t="s">
        <v>2578</v>
      </c>
      <c r="H1" s="3431"/>
      <c r="I1" s="3431"/>
      <c r="J1" s="3431"/>
      <c r="K1" s="3431"/>
      <c r="L1" s="3431"/>
      <c r="N1" s="3431" t="s">
        <v>2579</v>
      </c>
      <c r="O1" s="3431"/>
      <c r="P1" s="3431"/>
      <c r="Q1" s="3431"/>
      <c r="R1" s="2634"/>
      <c r="S1" s="3431" t="s">
        <v>2580</v>
      </c>
      <c r="T1" s="3431"/>
      <c r="U1" s="3431"/>
      <c r="V1" s="3431"/>
      <c r="X1" s="3430" t="s">
        <v>2640</v>
      </c>
      <c r="Y1" s="3431"/>
      <c r="Z1" s="3431"/>
      <c r="AA1" s="3431"/>
      <c r="AB1" s="3431"/>
      <c r="AD1" s="3430" t="s">
        <v>2644</v>
      </c>
      <c r="AE1" s="3431"/>
      <c r="AF1" s="3431"/>
      <c r="AG1" s="3431"/>
      <c r="AH1" s="3431"/>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4">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0"/>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0"/>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5"/>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5"/>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5"/>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6">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7"/>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7"/>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8"/>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5"/>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5">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5">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5">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5">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5">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5">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5">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5">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4">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4">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5">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4">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4">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5">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C33" sqref="C3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3119</v>
      </c>
      <c r="E1" s="2367" t="s">
        <v>2375</v>
      </c>
      <c r="F1" s="2368">
        <f ca="1">J53</f>
        <v>45</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864281</v>
      </c>
      <c r="C2" s="2058"/>
      <c r="D2" s="2056"/>
      <c r="E2" s="2057"/>
      <c r="F2" s="2057"/>
      <c r="G2" s="1591"/>
      <c r="H2" s="2058"/>
      <c r="I2" s="2058"/>
      <c r="J2" s="2058"/>
      <c r="K2" s="2059"/>
      <c r="L2" s="2058"/>
      <c r="M2" s="2058"/>
    </row>
    <row r="3" spans="1:33" ht="18" customHeight="1" thickBot="1">
      <c r="A3" s="833" t="s">
        <v>1728</v>
      </c>
      <c r="B3" s="834">
        <f ca="1">IF(ISERROR(B2*10000/F43),0,ROUND(B2*10000/F43,0))</f>
        <v>9134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469499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283859</v>
      </c>
      <c r="D14" s="1980" t="s">
        <v>1746</v>
      </c>
      <c r="E14" s="1981"/>
      <c r="F14" s="805"/>
      <c r="G14" s="1593"/>
      <c r="H14" s="1650" t="s">
        <v>1831</v>
      </c>
      <c r="I14" s="2232" t="s">
        <v>2827</v>
      </c>
      <c r="J14" s="53">
        <f ca="1">C29</f>
        <v>469499</v>
      </c>
      <c r="K14" s="26"/>
      <c r="L14" s="801"/>
      <c r="M14" s="802"/>
    </row>
    <row r="15" spans="1:33" s="2065" customFormat="1" ht="18" customHeight="1" thickBot="1">
      <c r="A15" s="1649" t="s">
        <v>1886</v>
      </c>
      <c r="B15" s="784" t="s">
        <v>647</v>
      </c>
      <c r="C15" s="53">
        <f ca="1">ROUND(C14*F15,0)</f>
        <v>8516</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46542</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39500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4258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315557</v>
      </c>
      <c r="D19" s="261" t="s">
        <v>1758</v>
      </c>
      <c r="E19" s="1983"/>
      <c r="F19" s="56"/>
      <c r="G19" s="1593"/>
      <c r="H19" s="1649" t="s">
        <v>1886</v>
      </c>
      <c r="I19" s="784" t="s">
        <v>1759</v>
      </c>
      <c r="J19" s="53">
        <f ca="1">IF(K19="按租金收入计税",ROUND(J5*M19,1),ROUND(C29*F33*0.7,1))</f>
        <v>39437.9</v>
      </c>
      <c r="K19" s="811" t="s">
        <v>665</v>
      </c>
      <c r="L19" s="784" t="s">
        <v>1748</v>
      </c>
      <c r="M19" s="809">
        <f>IF(K19="按租金收入计税",'数据-取费表'!B51,'数据-取费表'!B50)</f>
        <v>1.2E-2</v>
      </c>
    </row>
    <row r="20" spans="1:33" s="2065" customFormat="1" ht="18" customHeight="1">
      <c r="A20" s="1650" t="s">
        <v>1890</v>
      </c>
      <c r="B20" s="784" t="s">
        <v>666</v>
      </c>
      <c r="C20" s="53">
        <f ca="1">ROUND(C19*F20,0)</f>
        <v>6311</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7042</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39594</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-46542</v>
      </c>
      <c r="K25" s="2528" t="s">
        <v>1778</v>
      </c>
      <c r="L25" s="2529"/>
      <c r="M25" s="2530"/>
    </row>
    <row r="26" spans="1:33" ht="18" customHeight="1">
      <c r="A26" s="1649" t="s">
        <v>1832</v>
      </c>
      <c r="B26" s="784" t="s">
        <v>2439</v>
      </c>
      <c r="C26" s="53">
        <f ca="1">ROUND((C19+C20)*F26,0)</f>
        <v>64374</v>
      </c>
      <c r="D26" s="812" t="s">
        <v>1779</v>
      </c>
      <c r="E26" s="795" t="s">
        <v>1780</v>
      </c>
      <c r="F26" s="794">
        <f ca="1">INDIRECT("'数据-取费表'!q"&amp;$G$1)</f>
        <v>0.2</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6.0000000000000001E-3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469499</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16834</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39907</v>
      </c>
      <c r="K35" s="2079"/>
      <c r="L35" s="2078"/>
      <c r="M35" s="2078"/>
    </row>
    <row r="36" spans="1:18" ht="18" customHeight="1">
      <c r="A36" s="1650" t="s">
        <v>1890</v>
      </c>
      <c r="B36" s="784" t="s">
        <v>1803</v>
      </c>
      <c r="C36" s="53">
        <f ca="1">ROUND(C29*F36,1)</f>
        <v>7042.5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704.2</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29848</v>
      </c>
      <c r="D39" s="2528" t="s">
        <v>1807</v>
      </c>
      <c r="E39" s="2529"/>
      <c r="F39" s="2530"/>
      <c r="G39" s="2063"/>
      <c r="H39" s="2078"/>
      <c r="I39" s="837" t="s">
        <v>1819</v>
      </c>
      <c r="J39" s="845">
        <f ca="1">ROUND(J35/C39,3)</f>
        <v>1.337</v>
      </c>
      <c r="K39" s="2084"/>
      <c r="L39" s="2078"/>
      <c r="M39" s="2078"/>
    </row>
    <row r="40" spans="1:18" ht="18" customHeight="1">
      <c r="A40" s="781" t="s">
        <v>1896</v>
      </c>
      <c r="B40" s="2233" t="s">
        <v>2302</v>
      </c>
      <c r="C40" s="783">
        <f ca="1">ROUND(C39*(1-((1+F42)/(1+F40))^F41)/(F40-F42),0)</f>
        <v>864281</v>
      </c>
      <c r="D40" s="814" t="s">
        <v>1808</v>
      </c>
      <c r="E40" s="784" t="s">
        <v>2420</v>
      </c>
      <c r="F40" s="794">
        <f ca="1">INDIRECT("'数据-取费表'!I"&amp;$G$1)</f>
        <v>0.05</v>
      </c>
      <c r="G40" s="2063"/>
      <c r="H40" s="2063"/>
      <c r="I40" s="837" t="s">
        <v>1820</v>
      </c>
      <c r="J40" s="845">
        <f ca="1">1-J39</f>
        <v>-0.33699999999999997</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45</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0.54300000000000004</v>
      </c>
      <c r="K42" s="2083"/>
      <c r="L42" s="1989"/>
      <c r="M42" s="1989"/>
    </row>
    <row r="43" spans="1:18" ht="18" customHeight="1" thickBot="1">
      <c r="A43" s="823" t="s">
        <v>1788</v>
      </c>
      <c r="B43" s="824" t="s">
        <v>1811</v>
      </c>
      <c r="C43" s="825">
        <f ca="1">ROUND(C40*10000/F43,0)</f>
        <v>9134</v>
      </c>
      <c r="D43" s="826" t="s">
        <v>1812</v>
      </c>
      <c r="E43" s="827" t="s">
        <v>1813</v>
      </c>
      <c r="F43" s="828">
        <f ca="1">INDIRECT("'数据-取费表'!k"&amp;$G$1)</f>
        <v>946196</v>
      </c>
      <c r="G43" s="2063"/>
      <c r="H43" s="1989"/>
      <c r="I43" s="847" t="s">
        <v>1823</v>
      </c>
      <c r="J43" s="848">
        <f ca="1">1-J42</f>
        <v>0.45699999999999996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-1003079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864281</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469499</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-198794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45</v>
      </c>
      <c r="K53" s="3441" t="s">
        <v>2971</v>
      </c>
      <c r="L53" s="3442"/>
      <c r="O53" s="2381" t="s">
        <v>2389</v>
      </c>
      <c r="P53" s="2379" t="s">
        <v>2390</v>
      </c>
      <c r="Q53" s="2380">
        <f ca="1">J53</f>
        <v>45</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864281</v>
      </c>
      <c r="R54" s="2383" t="s">
        <v>2393</v>
      </c>
    </row>
    <row r="55" spans="1:18" s="2060" customFormat="1" ht="18" customHeight="1" thickTop="1" thickBot="1">
      <c r="A55" s="797">
        <v>2</v>
      </c>
      <c r="B55" s="798" t="s">
        <v>644</v>
      </c>
      <c r="C55" s="799">
        <f ca="1">C13</f>
        <v>469499</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469499</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7809</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864281</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7042.5</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864281</v>
      </c>
      <c r="R63" s="2383" t="s">
        <v>2393</v>
      </c>
    </row>
    <row r="64" spans="1:18" s="2060" customFormat="1" ht="16.5" thickBot="1">
      <c r="A64" s="1650" t="s">
        <v>1891</v>
      </c>
      <c r="B64" s="784" t="s">
        <v>679</v>
      </c>
      <c r="C64" s="53">
        <f ca="1">ROUND(C55*F64,1)</f>
        <v>704.2</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-7809</v>
      </c>
      <c r="D66" s="2618" t="s">
        <v>700</v>
      </c>
      <c r="E66" s="2617"/>
      <c r="F66" s="820"/>
      <c r="K66" s="2087"/>
      <c r="O66" s="2378" t="s">
        <v>2380</v>
      </c>
      <c r="P66" s="2379" t="s">
        <v>2410</v>
      </c>
      <c r="Q66" s="2380">
        <f ca="1">C40+J29</f>
        <v>864281</v>
      </c>
      <c r="R66" s="2379" t="s">
        <v>2381</v>
      </c>
    </row>
    <row r="67" spans="1:18" s="2060" customFormat="1" ht="20.25" thickBot="1">
      <c r="A67" s="781" t="s">
        <v>1781</v>
      </c>
      <c r="B67" s="2233" t="s">
        <v>2302</v>
      </c>
      <c r="C67" s="783">
        <f ca="1">ROUND(C66*(1-((1+F69)/(1+F67))^F68)/(F67-F69),0)</f>
        <v>-138798</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45</v>
      </c>
      <c r="O68" s="2381" t="s">
        <v>2384</v>
      </c>
      <c r="P68" s="2379" t="s">
        <v>2414</v>
      </c>
      <c r="Q68" s="2385">
        <f ca="1">L51</f>
        <v>-198794</v>
      </c>
      <c r="R68" s="2386" t="s">
        <v>2417</v>
      </c>
    </row>
    <row r="69" spans="1:18" ht="20.25" thickBot="1">
      <c r="A69" s="790"/>
      <c r="B69" s="791"/>
      <c r="C69" s="792"/>
      <c r="D69" s="816"/>
      <c r="E69" s="784" t="s">
        <v>710</v>
      </c>
      <c r="F69" s="2351"/>
      <c r="O69" s="2381" t="s">
        <v>2385</v>
      </c>
      <c r="P69" s="2387" t="s">
        <v>2399</v>
      </c>
      <c r="Q69" s="2380">
        <f ca="1">ROUND(Q70-Q71*Q72,0)</f>
        <v>-10059</v>
      </c>
      <c r="R69" s="2383"/>
    </row>
    <row r="70" spans="1:18" ht="15.75" thickBot="1">
      <c r="A70" s="823" t="s">
        <v>1788</v>
      </c>
      <c r="B70" s="824" t="s">
        <v>1811</v>
      </c>
      <c r="C70" s="825">
        <f ca="1">ROUND(C67*10000/F70,0)</f>
        <v>-1467</v>
      </c>
      <c r="D70" s="826" t="s">
        <v>1812</v>
      </c>
      <c r="E70" s="827" t="s">
        <v>1813</v>
      </c>
      <c r="F70" s="828">
        <f ca="1">F43</f>
        <v>946196</v>
      </c>
      <c r="O70" s="2381" t="s">
        <v>2400</v>
      </c>
      <c r="P70" s="2387" t="s">
        <v>2401</v>
      </c>
      <c r="Q70" s="2380">
        <f ca="1">C39</f>
        <v>29848</v>
      </c>
      <c r="R70" s="2379" t="s">
        <v>2381</v>
      </c>
    </row>
    <row r="71" spans="1:18" ht="15.75" thickBot="1">
      <c r="O71" s="2381" t="s">
        <v>2402</v>
      </c>
      <c r="P71" s="2387" t="s">
        <v>2403</v>
      </c>
      <c r="Q71" s="2380">
        <f ca="1">C13</f>
        <v>469499</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864281</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46">
        <f>C27-C30-C31-C32</f>
        <v>0</v>
      </c>
      <c r="F26" s="3446"/>
      <c r="G26" s="3446"/>
      <c r="H26" s="3020" t="s">
        <v>2844</v>
      </c>
    </row>
    <row r="27" spans="1:9">
      <c r="A27" s="2511">
        <v>1</v>
      </c>
      <c r="B27" s="2512" t="s">
        <v>2517</v>
      </c>
      <c r="C27" s="2512"/>
      <c r="D27" s="2512"/>
      <c r="E27" s="3447"/>
      <c r="F27" s="3447"/>
      <c r="G27" s="3447"/>
    </row>
    <row r="28" spans="1:9">
      <c r="A28" s="2513" t="s">
        <v>2518</v>
      </c>
      <c r="B28" s="2512" t="s">
        <v>2519</v>
      </c>
      <c r="C28" s="2512"/>
      <c r="D28" s="2512"/>
      <c r="E28" s="3447"/>
      <c r="F28" s="3447"/>
      <c r="G28" s="344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8"/>
      <c r="F32" s="3448"/>
      <c r="G32" s="3448"/>
    </row>
    <row r="33" spans="1:7" hidden="1">
      <c r="A33" s="3443" t="s">
        <v>2527</v>
      </c>
      <c r="B33" s="3444"/>
      <c r="C33" s="3444"/>
      <c r="D33" s="3445"/>
      <c r="E33" s="3446"/>
      <c r="F33" s="3446"/>
      <c r="G33" s="3446"/>
    </row>
    <row r="34" spans="1:7" hidden="1">
      <c r="A34" s="2515">
        <v>1</v>
      </c>
      <c r="B34" s="2512" t="s">
        <v>2528</v>
      </c>
      <c r="C34" s="2512"/>
      <c r="D34" s="2512"/>
      <c r="E34" s="3447"/>
      <c r="F34" s="3447"/>
      <c r="G34" s="3447"/>
    </row>
    <row r="35" spans="1:7" hidden="1">
      <c r="A35" s="2515">
        <v>2</v>
      </c>
      <c r="B35" s="2512" t="s">
        <v>2529</v>
      </c>
      <c r="C35" s="2512"/>
      <c r="D35" s="2512"/>
      <c r="E35" s="3447"/>
      <c r="F35" s="3447"/>
      <c r="G35" s="3447"/>
    </row>
    <row r="36" spans="1:7" hidden="1">
      <c r="A36" s="2515">
        <v>3</v>
      </c>
      <c r="B36" s="2512" t="s">
        <v>2530</v>
      </c>
      <c r="C36" s="2512"/>
      <c r="D36" s="2512"/>
      <c r="E36" s="3447"/>
      <c r="F36" s="3447"/>
      <c r="G36" s="3447"/>
    </row>
    <row r="37" spans="1:7" hidden="1">
      <c r="A37" s="2515">
        <v>4</v>
      </c>
      <c r="B37" s="2512" t="s">
        <v>2531</v>
      </c>
      <c r="C37" s="2512"/>
      <c r="D37" s="2512"/>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645</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31</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121</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725.11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725.11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645</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645</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394" t="s">
        <v>523</v>
      </c>
      <c r="F4" s="3395"/>
      <c r="G4" s="3370" t="s">
        <v>524</v>
      </c>
      <c r="H4" s="3371"/>
      <c r="I4" s="3370" t="s">
        <v>525</v>
      </c>
      <c r="J4" s="3371"/>
      <c r="K4" s="853"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85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85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6" t="s">
        <v>530</v>
      </c>
      <c r="Q7" s="3365"/>
      <c r="R7" s="1569" t="s">
        <v>13</v>
      </c>
      <c r="S7" s="1570">
        <f t="shared" ref="S7:S15" si="0">F7</f>
        <v>0</v>
      </c>
      <c r="T7" s="1569" t="s">
        <v>13</v>
      </c>
      <c r="U7" s="1570">
        <f t="shared" ref="U7:U15" si="1">H7</f>
        <v>0</v>
      </c>
      <c r="V7" s="1569" t="s">
        <v>13</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6" t="s">
        <v>533</v>
      </c>
      <c r="Q8" s="3357"/>
      <c r="R8" s="1569" t="s">
        <v>13</v>
      </c>
      <c r="S8" s="1570">
        <f t="shared" si="0"/>
        <v>0</v>
      </c>
      <c r="T8" s="1569" t="s">
        <v>13</v>
      </c>
      <c r="U8" s="1570">
        <f t="shared" si="1"/>
        <v>0</v>
      </c>
      <c r="V8" s="1569" t="s">
        <v>13</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6" t="s">
        <v>540</v>
      </c>
      <c r="Q15" s="1573" t="str">
        <f t="shared" si="6"/>
        <v>居住社区成熟度</v>
      </c>
      <c r="R15" s="1574" t="s">
        <v>11</v>
      </c>
      <c r="S15" s="1575">
        <f t="shared" si="0"/>
        <v>100</v>
      </c>
      <c r="T15" s="1574" t="s">
        <v>11</v>
      </c>
      <c r="U15" s="1575">
        <f t="shared" si="1"/>
        <v>100</v>
      </c>
      <c r="V15" s="1574" t="s">
        <v>11</v>
      </c>
      <c r="W15" s="1575">
        <f t="shared" si="2"/>
        <v>100</v>
      </c>
      <c r="X15" s="1568"/>
      <c r="Y15" s="336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7"/>
      <c r="Q21" s="2559" t="str">
        <f>B21</f>
        <v>基础设施水平</v>
      </c>
      <c r="R21" s="1574" t="s">
        <v>11</v>
      </c>
      <c r="S21" s="1575">
        <f>F21</f>
        <v>100</v>
      </c>
      <c r="T21" s="1574" t="s">
        <v>11</v>
      </c>
      <c r="U21" s="1575">
        <f>H21</f>
        <v>100</v>
      </c>
      <c r="V21" s="1574" t="s">
        <v>11</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78"/>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78"/>
      <c r="AC6" s="3355"/>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394" t="s">
        <v>523</v>
      </c>
      <c r="F4" s="3395"/>
      <c r="G4" s="3370" t="s">
        <v>524</v>
      </c>
      <c r="H4" s="3371"/>
      <c r="I4" s="3370" t="s">
        <v>525</v>
      </c>
      <c r="J4" s="3371"/>
      <c r="K4" s="514" t="s">
        <v>526</v>
      </c>
      <c r="L4" s="2134"/>
      <c r="M4" s="2135"/>
      <c r="N4" s="2135"/>
      <c r="O4" s="2135"/>
      <c r="P4" s="3467"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468"/>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469"/>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7"/>
      <c r="Q18" s="1573"/>
      <c r="R18" s="1574"/>
      <c r="S18" s="1575"/>
      <c r="T18" s="1574"/>
      <c r="U18" s="1575"/>
      <c r="V18" s="1574"/>
      <c r="W18" s="1575"/>
      <c r="X18" s="1568"/>
      <c r="Y18" s="3367"/>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7"/>
      <c r="Q20" s="1573"/>
      <c r="R20" s="1574"/>
      <c r="S20" s="1575"/>
      <c r="T20" s="1574"/>
      <c r="U20" s="1575"/>
      <c r="V20" s="1574"/>
      <c r="W20" s="1575"/>
      <c r="X20" s="1568"/>
      <c r="Y20" s="3367"/>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7"/>
      <c r="Q22" s="2559"/>
      <c r="R22" s="1574"/>
      <c r="S22" s="1575"/>
      <c r="T22" s="1574"/>
      <c r="U22" s="1575"/>
      <c r="V22" s="1574"/>
      <c r="W22" s="1575"/>
      <c r="X22" s="2561"/>
      <c r="Y22" s="3367"/>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6" t="str">
        <f>A48</f>
        <v>成交单价（元/平方米）</v>
      </c>
      <c r="Q48" s="3364"/>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6" t="str">
        <f>A49</f>
        <v>比较价格（元/平方米）</v>
      </c>
      <c r="Q49" s="33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0" t="str">
        <f>A50</f>
        <v>估价对象XX用房的比较价格（楼面单价，元/平方米）</v>
      </c>
      <c r="Q50" s="3386"/>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5" t="str">
        <f>A43</f>
        <v>估价对象XX用房的比较价格（楼面单价，元/平方米）</v>
      </c>
      <c r="Q43" s="3386"/>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81" t="s">
        <v>2933</v>
      </c>
      <c r="F5" s="3382"/>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83" t="s">
        <v>2936</v>
      </c>
      <c r="F6" s="3384"/>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5" t="str">
        <f>A39</f>
        <v>估价对象XX用房的比较价格（楼面单价，元/平方米）</v>
      </c>
      <c r="Q39" s="3386"/>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94" t="s">
        <v>799</v>
      </c>
      <c r="F4" s="3395"/>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5" t="str">
        <f>A37</f>
        <v>估价对象XX用房的比较价格（楼面单价，元/平方米）</v>
      </c>
      <c r="Q37" s="3386"/>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2039</v>
      </c>
      <c r="B1" s="3187"/>
      <c r="C1" s="3187"/>
      <c r="D1" s="3187"/>
      <c r="E1" s="3187"/>
      <c r="F1" s="3187"/>
      <c r="G1" s="3187"/>
      <c r="H1" s="3187"/>
      <c r="I1" s="3187"/>
      <c r="J1" s="3187"/>
      <c r="K1" s="3187"/>
      <c r="L1" s="3187"/>
      <c r="M1" s="3187"/>
      <c r="N1" s="3187"/>
      <c r="O1" s="3187"/>
      <c r="P1" s="3187"/>
      <c r="Q1" s="3187"/>
      <c r="R1" s="3187"/>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2030</v>
      </c>
      <c r="B3" s="3188" t="s">
        <v>2732</v>
      </c>
      <c r="C3" s="3189" t="s">
        <v>2031</v>
      </c>
      <c r="D3" s="3188" t="s">
        <v>2736</v>
      </c>
      <c r="E3" s="3191" t="s">
        <v>2032</v>
      </c>
      <c r="F3" s="3191"/>
      <c r="G3" s="3191"/>
      <c r="H3" s="3191" t="s">
        <v>2033</v>
      </c>
      <c r="I3" s="3191"/>
      <c r="J3" s="3191"/>
      <c r="K3" s="3189" t="s">
        <v>2034</v>
      </c>
      <c r="L3" s="3189" t="s">
        <v>2035</v>
      </c>
      <c r="M3" s="3188" t="s">
        <v>2733</v>
      </c>
      <c r="N3" s="3190" t="str">
        <f>"（分摊）"&amp;项目基本情况!B16&amp;"国有建设用地使用权面积/㎡"</f>
        <v>（分摊）出让国有建设用地使用权面积/㎡</v>
      </c>
      <c r="O3" s="3188" t="s">
        <v>2064</v>
      </c>
      <c r="P3" s="3189" t="s">
        <v>2044</v>
      </c>
      <c r="Q3" s="3189" t="s">
        <v>2065</v>
      </c>
      <c r="R3" s="3189" t="s">
        <v>2036</v>
      </c>
    </row>
    <row r="4" spans="1:18" ht="36.75" customHeight="1">
      <c r="A4" s="3188"/>
      <c r="B4" s="3188"/>
      <c r="C4" s="3189"/>
      <c r="D4" s="3188"/>
      <c r="E4" s="2629" t="s">
        <v>2043</v>
      </c>
      <c r="F4" s="2629" t="s">
        <v>2745</v>
      </c>
      <c r="G4" s="2629" t="s">
        <v>2037</v>
      </c>
      <c r="H4" s="2629" t="s">
        <v>2038</v>
      </c>
      <c r="I4" s="2629" t="s">
        <v>2746</v>
      </c>
      <c r="J4" s="2629" t="s">
        <v>2037</v>
      </c>
      <c r="K4" s="3189"/>
      <c r="L4" s="3189"/>
      <c r="M4" s="3188"/>
      <c r="N4" s="3190"/>
      <c r="O4" s="3188"/>
      <c r="P4" s="3189"/>
      <c r="Q4" s="3189"/>
      <c r="R4" s="3189"/>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11473</v>
      </c>
      <c r="Q5" s="1811">
        <f ca="1">结果表!D42</f>
        <v>2517</v>
      </c>
      <c r="R5" s="1812">
        <f ca="1">结果表!C42</f>
        <v>238142</v>
      </c>
    </row>
    <row r="6" spans="1:18">
      <c r="A6" s="3184" t="str">
        <f>IF(项目基本情况!B9="市场价格","——","抵押价格")</f>
        <v>——</v>
      </c>
      <c r="B6" s="3185"/>
      <c r="C6" s="3185"/>
      <c r="D6" s="3185"/>
      <c r="E6" s="3185"/>
      <c r="F6" s="3185"/>
      <c r="G6" s="3185"/>
      <c r="H6" s="3185"/>
      <c r="I6" s="3185"/>
      <c r="J6" s="3185"/>
      <c r="K6" s="3185"/>
      <c r="L6" s="3185"/>
      <c r="M6" s="3185"/>
      <c r="N6" s="3185"/>
      <c r="O6" s="3185"/>
      <c r="P6" s="3185"/>
      <c r="Q6" s="3186"/>
      <c r="R6" s="1813"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f ca="1">结果表!O40</f>
        <v>238142</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2" t="s">
        <v>2700</v>
      </c>
      <c r="B23" s="3192"/>
      <c r="C23" s="3192"/>
      <c r="D23" s="3192"/>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43536</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2019-03-12T07:30:12Z</dcterms:modified>
</cp:coreProperties>
</file>