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150" windowWidth="15720" windowHeight="11760" tabRatio="899" firstSheet="16"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收益法倒推-商业"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比较法-商业售价" sheetId="85" r:id="rId45"/>
    <sheet name="案例-商业出售" sheetId="90" r:id="rId46"/>
    <sheet name="欧陆时尚购物中心-租赁台账" sheetId="88" r:id="rId47"/>
    <sheet name="合同租金" sheetId="89" r:id="rId48"/>
    <sheet name="租金" sheetId="86" state="hidden" r:id="rId49"/>
    <sheet name="商业案例" sheetId="83" state="hidden" r:id="rId50"/>
    <sheet name="售价" sheetId="87" state="hidden" r:id="rId51"/>
    <sheet name="成本法 (元)" sheetId="69" state="hidden" r:id="rId52"/>
    <sheet name="基准地价修正" sheetId="43"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4"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4">'比较法-商业售价'!$A$1:$K$54,'比较法-商业售价'!$A$57:$M$131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51">'成本法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5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6">'欧陆时尚购物中心-租赁台账'!$A$1:$N$109</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4">'收益法倒推-商业'!$A$1:$I$42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6">'欧陆时尚购物中心-租赁台账'!$2:$2</definedName>
    <definedName name="八级">区片价!$P$1:$P$44</definedName>
    <definedName name="办公层高" localSheetId="45">'[1]比较法-办公'!$B$119:$M$119</definedName>
    <definedName name="办公层高" localSheetId="47">#REF!</definedName>
    <definedName name="办公层高" localSheetId="46">'[2]比较法-办公'!$B$119:$M$119</definedName>
    <definedName name="办公层高" localSheetId="49">'[3]租金比较法-商业'!$B$119:$M$119</definedName>
    <definedName name="办公层高" localSheetId="34">'[4]比较法-办公'!$B$119:$M$119</definedName>
    <definedName name="办公层高" localSheetId="48">'[5]比较法-办公'!$B$119:$M$119</definedName>
    <definedName name="办公层高">'比较法-办公'!$B$119:$M$119</definedName>
    <definedName name="办公朝向" localSheetId="45">'[1]比较法-办公'!$B$91:$M$91</definedName>
    <definedName name="办公朝向" localSheetId="47">#REF!</definedName>
    <definedName name="办公朝向" localSheetId="46">'[2]比较法-办公'!$B$91:$M$91</definedName>
    <definedName name="办公朝向" localSheetId="49">'[3]租金比较法-商业'!$B$91:$M$91</definedName>
    <definedName name="办公朝向" localSheetId="34">'[4]比较法-办公'!$B$91:$M$91</definedName>
    <definedName name="办公朝向" localSheetId="48">'[5]比较法-办公'!$B$91:$M$91</definedName>
    <definedName name="办公朝向">'比较法-办公'!$B$91:$M$91</definedName>
    <definedName name="办公道路级别" localSheetId="45">'[1]比较法-办公'!$B$87:$M$87</definedName>
    <definedName name="办公道路级别" localSheetId="47">#REF!</definedName>
    <definedName name="办公道路级别" localSheetId="46">'[2]比较法-办公'!$B$87:$M$87</definedName>
    <definedName name="办公道路级别" localSheetId="49">'[3]租金比较法-商业'!$B$87:$M$87</definedName>
    <definedName name="办公道路级别" localSheetId="34">'[4]比较法-办公'!$B$87:$M$87</definedName>
    <definedName name="办公道路级别" localSheetId="48">'[5]比较法-办公'!$B$87:$M$87</definedName>
    <definedName name="办公道路级别">'比较法-办公'!$B$87:$M$87</definedName>
    <definedName name="办公公共部分装修" localSheetId="45">'[1]比较法-办公'!$B$108:$M$108</definedName>
    <definedName name="办公公共部分装修" localSheetId="47">#REF!</definedName>
    <definedName name="办公公共部分装修" localSheetId="46">'[2]比较法-办公'!$B$108:$M$108</definedName>
    <definedName name="办公公共部分装修" localSheetId="49">'[3]租金比较法-商业'!$B$108:$M$108</definedName>
    <definedName name="办公公共部分装修" localSheetId="34">'[4]比较法-办公'!$B$108:$M$108</definedName>
    <definedName name="办公公共部分装修" localSheetId="48">'[5]比较法-办公'!$B$108:$M$108</definedName>
    <definedName name="办公公共部分装修">'比较法-办公'!$B$108:$M$108</definedName>
    <definedName name="办公基础设施水平" localSheetId="45">'[1]比较法-办公'!$B$117:$M$117</definedName>
    <definedName name="办公基础设施水平" localSheetId="47">#REF!</definedName>
    <definedName name="办公基础设施水平" localSheetId="46">'[2]比较法-办公'!$B$117:$M$117</definedName>
    <definedName name="办公基础设施水平" localSheetId="49">'[3]租金比较法-商业'!$B$117:$M$117</definedName>
    <definedName name="办公基础设施水平" localSheetId="34">'[4]比较法-办公'!$B$117:$M$117</definedName>
    <definedName name="办公基础设施水平" localSheetId="48">'[5]比较法-办公'!$B$117:$M$117</definedName>
    <definedName name="办公基础设施水平">'比较法-办公'!$B$117:$M$117</definedName>
    <definedName name="办公集聚程度" localSheetId="45">[1]定义!$M$1:$M$6</definedName>
    <definedName name="办公集聚程度" localSheetId="47">[6]定义!$M$1:$M$6</definedName>
    <definedName name="办公集聚程度" localSheetId="46">[2]定义!$M$1:$M$6</definedName>
    <definedName name="办公集聚程度" localSheetId="49">[3]定义!$M$1:$M$6</definedName>
    <definedName name="办公集聚程度" localSheetId="34">[4]定义!$M$1:$M$6</definedName>
    <definedName name="办公集聚程度" localSheetId="48">[5]定义!$M$1:$M$6</definedName>
    <definedName name="办公集聚程度">定义!$M$1:$M$6</definedName>
    <definedName name="办公建筑结构" localSheetId="45">'[1]比较法-办公'!$B$106:$M$106</definedName>
    <definedName name="办公建筑结构" localSheetId="47">#REF!</definedName>
    <definedName name="办公建筑结构" localSheetId="46">'[2]比较法-办公'!$B$106:$M$106</definedName>
    <definedName name="办公建筑结构" localSheetId="49">'[3]租金比较法-商业'!$B$106:$M$106</definedName>
    <definedName name="办公建筑结构" localSheetId="34">'[4]比较法-办公'!$B$106:$M$106</definedName>
    <definedName name="办公建筑结构" localSheetId="48">'[5]比较法-办公'!$B$106:$M$106</definedName>
    <definedName name="办公建筑结构">'比较法-办公'!$B$106:$M$106</definedName>
    <definedName name="办公建筑类型" localSheetId="45">'[1]比较法-办公'!$B$101:$M$101</definedName>
    <definedName name="办公建筑类型" localSheetId="47">#REF!</definedName>
    <definedName name="办公建筑类型" localSheetId="46">'[2]比较法-办公'!$B$101:$M$101</definedName>
    <definedName name="办公建筑类型" localSheetId="49">'[3]租金比较法-商业'!$B$101:$M$101</definedName>
    <definedName name="办公建筑类型" localSheetId="34">'[4]比较法-办公'!$B$101:$M$101</definedName>
    <definedName name="办公建筑类型" localSheetId="48">'[5]比较法-办公'!$B$101:$M$101</definedName>
    <definedName name="办公建筑类型">'比较法-办公'!$B$101:$M$101</definedName>
    <definedName name="办公交易情况" localSheetId="45">'[1]比较法-办公'!$A$62:$M$62</definedName>
    <definedName name="办公交易情况" localSheetId="47">#REF!</definedName>
    <definedName name="办公交易情况" localSheetId="46">'[2]比较法-办公'!$A$62:$M$62</definedName>
    <definedName name="办公交易情况" localSheetId="49">'[3]租金比较法-商业'!$A$62:$M$62</definedName>
    <definedName name="办公交易情况" localSheetId="34">'[4]比较法-办公'!$A$62:$M$62</definedName>
    <definedName name="办公交易情况" localSheetId="48">'[5]比较法-办公'!$A$62:$M$62</definedName>
    <definedName name="办公交易情况">'比较法-办公'!$A$62:$M$62</definedName>
    <definedName name="办公楼层" localSheetId="45">'[1]比较法-办公'!$B$89:$M$89</definedName>
    <definedName name="办公楼层" localSheetId="47">#REF!</definedName>
    <definedName name="办公楼层" localSheetId="46">'[2]比较法-办公'!$B$89:$M$89</definedName>
    <definedName name="办公楼层" localSheetId="49">'[3]租金比较法-商业'!$B$89:$M$89</definedName>
    <definedName name="办公楼层" localSheetId="34">'[4]比较法-办公'!$B$89:$M$89</definedName>
    <definedName name="办公楼层" localSheetId="48">'[5]比较法-办公'!$B$89:$M$89</definedName>
    <definedName name="办公楼层">'比较法-办公'!$B$89:$M$89</definedName>
    <definedName name="办公内部装修" localSheetId="45">'[1]比较法-办公'!$B$123:$M$123</definedName>
    <definedName name="办公内部装修" localSheetId="47">#REF!</definedName>
    <definedName name="办公内部装修" localSheetId="46">'[2]比较法-办公'!$B$123:$M$123</definedName>
    <definedName name="办公内部装修" localSheetId="49">'[3]租金比较法-商业'!$B$123:$M$123</definedName>
    <definedName name="办公内部装修" localSheetId="34">'[4]比较法-办公'!$B$123:$M$123</definedName>
    <definedName name="办公内部装修" localSheetId="48">'[5]比较法-办公'!$B$123:$M$123</definedName>
    <definedName name="办公内部装修">'比较法-办公'!$B$123:$M$123</definedName>
    <definedName name="办公物业管理" localSheetId="45">'[1]比较法-办公'!$B$115:$M$115</definedName>
    <definedName name="办公物业管理" localSheetId="47">#REF!</definedName>
    <definedName name="办公物业管理" localSheetId="46">'[2]比较法-办公'!$B$115:$M$115</definedName>
    <definedName name="办公物业管理" localSheetId="49">'[3]租金比较法-商业'!$B$115:$M$115</definedName>
    <definedName name="办公物业管理" localSheetId="34">'[4]比较法-办公'!$B$115:$M$115</definedName>
    <definedName name="办公物业管理" localSheetId="48">'[5]比较法-办公'!$B$115:$M$115</definedName>
    <definedName name="办公物业管理">'比较法-办公'!$B$115:$M$115</definedName>
    <definedName name="办公用途" localSheetId="45">'[1]比较法-办公'!$B$64:$M$64</definedName>
    <definedName name="办公用途" localSheetId="47">#REF!</definedName>
    <definedName name="办公用途" localSheetId="46">'[2]比较法-办公'!$B$64:$M$64</definedName>
    <definedName name="办公用途" localSheetId="49">'[3]租金比较法-商业'!$B$64:$M$64</definedName>
    <definedName name="办公用途" localSheetId="34">'[4]比较法-办公'!$B$64:$M$64</definedName>
    <definedName name="办公用途" localSheetId="48">'[5]比较法-办公'!$B$64:$M$64</definedName>
    <definedName name="办公用途">'比较法-办公'!$B$64:$M$64</definedName>
    <definedName name="仓储公共部分装修" localSheetId="45">'[1]比较法-仓储'!$B$77:$M$77</definedName>
    <definedName name="仓储公共部分装修" localSheetId="47">'[6]比较法-仓储'!$B$77:$M$77</definedName>
    <definedName name="仓储公共部分装修" localSheetId="46">'[2]比较法-仓储'!$B$77:$M$77</definedName>
    <definedName name="仓储公共部分装修" localSheetId="49">'[3]比较法-仓储'!$B$77:$M$77</definedName>
    <definedName name="仓储公共部分装修" localSheetId="34">'[4]比较法-仓储'!$B$77:$M$77</definedName>
    <definedName name="仓储公共部分装修" localSheetId="48">'[5]比较法-仓储'!$B$77:$M$77</definedName>
    <definedName name="仓储公共部分装修">'比较法-仓储'!$B$77:$M$77</definedName>
    <definedName name="仓储交易情况" localSheetId="45">'[1]比较法-仓储'!$A$49:$M$49</definedName>
    <definedName name="仓储交易情况" localSheetId="47">'[6]比较法-仓储'!$A$49:$M$49</definedName>
    <definedName name="仓储交易情况" localSheetId="46">'[2]比较法-仓储'!$A$49:$M$49</definedName>
    <definedName name="仓储交易情况" localSheetId="49">'[3]比较法-仓储'!$A$49:$M$49</definedName>
    <definedName name="仓储交易情况" localSheetId="34">'[4]比较法-仓储'!$A$49:$M$49</definedName>
    <definedName name="仓储交易情况" localSheetId="48">'[5]比较法-仓储'!$A$49:$M$49</definedName>
    <definedName name="仓储交易情况">'比较法-仓储'!$A$49:$M$49</definedName>
    <definedName name="仓储楼层" localSheetId="45">'[1]比较法-仓储'!$B$69:$M$69</definedName>
    <definedName name="仓储楼层" localSheetId="47">'[6]比较法-仓储'!$B$69:$M$69</definedName>
    <definedName name="仓储楼层" localSheetId="46">'[2]比较法-仓储'!$B$69:$M$69</definedName>
    <definedName name="仓储楼层" localSheetId="49">'[3]比较法-仓储'!$B$69:$M$69</definedName>
    <definedName name="仓储楼层" localSheetId="34">'[4]比较法-仓储'!$B$69:$M$69</definedName>
    <definedName name="仓储楼层" localSheetId="48">'[5]比较法-仓储'!$B$69:$M$69</definedName>
    <definedName name="仓储楼层">'比较法-仓储'!$B$69:$M$69</definedName>
    <definedName name="仓储物业等级" localSheetId="45">'[1]比较法-仓储'!$B$82:$M$82</definedName>
    <definedName name="仓储物业等级" localSheetId="47">'[6]比较法-仓储'!$B$82:$M$82</definedName>
    <definedName name="仓储物业等级" localSheetId="46">'[2]比较法-仓储'!$B$82:$M$82</definedName>
    <definedName name="仓储物业等级" localSheetId="49">'[3]比较法-仓储'!$B$82:$M$82</definedName>
    <definedName name="仓储物业等级" localSheetId="34">'[4]比较法-仓储'!$B$82:$M$82</definedName>
    <definedName name="仓储物业等级" localSheetId="48">'[5]比较法-仓储'!$B$82:$M$82</definedName>
    <definedName name="仓储物业等级">'比较法-仓储'!$B$82:$M$82</definedName>
    <definedName name="仓储用途" localSheetId="45">'[1]比较法-仓储'!$B$51:$M$51</definedName>
    <definedName name="仓储用途" localSheetId="47">'[6]比较法-仓储'!$B$51:$M$51</definedName>
    <definedName name="仓储用途" localSheetId="46">'[2]比较法-仓储'!$B$51:$M$51</definedName>
    <definedName name="仓储用途" localSheetId="49">'[3]比较法-仓储'!$B$51:$M$51</definedName>
    <definedName name="仓储用途" localSheetId="34">'[4]比较法-仓储'!$B$51:$M$51</definedName>
    <definedName name="仓储用途" localSheetId="48">'[5]比较法-仓储'!$B$51:$M$51</definedName>
    <definedName name="仓储用途">'比较法-仓储'!$B$51:$M$51</definedName>
    <definedName name="产业集聚程度" localSheetId="45">[1]定义!$N$1:$N$6</definedName>
    <definedName name="产业集聚程度" localSheetId="47">[6]定义!$N$1:$N$6</definedName>
    <definedName name="产业集聚程度" localSheetId="46">[2]定义!$N$1:$N$6</definedName>
    <definedName name="产业集聚程度" localSheetId="49">[3]定义!$N$1:$N$6</definedName>
    <definedName name="产业集聚程度" localSheetId="34">[4]定义!$N$1:$N$6</definedName>
    <definedName name="产业集聚程度" localSheetId="48">[5]定义!$N$1:$N$6</definedName>
    <definedName name="产业集聚程度">定义!$N$1:$N$6</definedName>
    <definedName name="车位公共部分装修" localSheetId="45">'[1]比较法-车位'!$B$83:$M$83</definedName>
    <definedName name="车位公共部分装修" localSheetId="47">'[6]比较法-车位'!$B$83:$M$83</definedName>
    <definedName name="车位公共部分装修" localSheetId="46">'[2]比较法-车位'!$B$83:$M$83</definedName>
    <definedName name="车位公共部分装修" localSheetId="49">'[3]比较法-车位'!$B$83:$M$83</definedName>
    <definedName name="车位公共部分装修" localSheetId="34">'[4]比较法-车位'!$B$83:$M$83</definedName>
    <definedName name="车位公共部分装修" localSheetId="48">'[5]比较法-车位'!$B$83:$M$83</definedName>
    <definedName name="车位公共部分装修">'比较法-车位'!$B$83:$M$83</definedName>
    <definedName name="车位交易情况" localSheetId="45">'[1]比较法-车位'!$A$51:$M$51</definedName>
    <definedName name="车位交易情况" localSheetId="47">'[6]比较法-车位'!$A$51:$M$51</definedName>
    <definedName name="车位交易情况" localSheetId="46">'[2]比较法-车位'!$A$51:$M$51</definedName>
    <definedName name="车位交易情况" localSheetId="49">'[3]比较法-车位'!$A$51:$M$51</definedName>
    <definedName name="车位交易情况" localSheetId="34">'[4]比较法-车位'!$A$51:$M$51</definedName>
    <definedName name="车位交易情况" localSheetId="48">'[5]比较法-车位'!$A$51:$M$51</definedName>
    <definedName name="车位交易情况">'比较法-车位'!$A$51:$M$51</definedName>
    <definedName name="车位类型" localSheetId="45">'[1]比较法-车位'!$B$93:$M$93</definedName>
    <definedName name="车位类型" localSheetId="47">'[6]比较法-车位'!$B$93:$M$93</definedName>
    <definedName name="车位类型" localSheetId="46">'[2]比较法-车位'!$B$93:$M$93</definedName>
    <definedName name="车位类型" localSheetId="49">'[3]比较法-车位'!$B$93:$M$93</definedName>
    <definedName name="车位类型" localSheetId="34">'[4]比较法-车位'!$B$93:$M$93</definedName>
    <definedName name="车位类型" localSheetId="48">'[5]比较法-车位'!$B$93:$M$93</definedName>
    <definedName name="车位类型">'比较法-车位'!$B$93:$M$93</definedName>
    <definedName name="车位楼层" localSheetId="45">'[1]比较法-车位'!$B$71:$M$71</definedName>
    <definedName name="车位楼层" localSheetId="47">'[6]比较法-车位'!$B$71:$M$71</definedName>
    <definedName name="车位楼层" localSheetId="46">'[2]比较法-车位'!$B$71:$M$71</definedName>
    <definedName name="车位楼层" localSheetId="49">'[3]比较法-车位'!$B$71:$M$71</definedName>
    <definedName name="车位楼层" localSheetId="34">'[4]比较法-车位'!$B$71:$M$71</definedName>
    <definedName name="车位楼层" localSheetId="48">'[5]比较法-车位'!$B$71:$M$71</definedName>
    <definedName name="车位楼层">'比较法-车位'!$B$71:$M$71</definedName>
    <definedName name="车位配套类型" localSheetId="45">'[1]比较法-车位'!$B$79:$M$79</definedName>
    <definedName name="车位配套类型" localSheetId="47">'[6]比较法-车位'!$B$79:$M$79</definedName>
    <definedName name="车位配套类型" localSheetId="46">'[2]比较法-车位'!$B$79:$M$79</definedName>
    <definedName name="车位配套类型" localSheetId="49">'[3]比较法-车位'!$B$79:$M$79</definedName>
    <definedName name="车位配套类型" localSheetId="34">'[4]比较法-车位'!$B$79:$M$79</definedName>
    <definedName name="车位配套类型" localSheetId="48">'[5]比较法-车位'!$B$79:$M$79</definedName>
    <definedName name="车位配套类型">'比较法-车位'!$B$79:$M$79</definedName>
    <definedName name="车位物业等级" localSheetId="45">'[1]比较法-车位'!$B$88:$M$88</definedName>
    <definedName name="车位物业等级" localSheetId="47">'[6]比较法-车位'!$B$88:$M$88</definedName>
    <definedName name="车位物业等级" localSheetId="46">'[2]比较法-车位'!$B$88:$M$88</definedName>
    <definedName name="车位物业等级" localSheetId="49">'[3]比较法-车位'!$B$88:$M$88</definedName>
    <definedName name="车位物业等级" localSheetId="34">'[4]比较法-车位'!$B$88:$M$88</definedName>
    <definedName name="车位物业等级" localSheetId="48">'[5]比较法-车位'!$B$88:$M$88</definedName>
    <definedName name="车位物业等级">'比较法-车位'!$B$88:$M$88</definedName>
    <definedName name="车位用途" localSheetId="45">'[1]比较法-车位'!$B$53:$M$53</definedName>
    <definedName name="车位用途" localSheetId="47">'[6]比较法-车位'!$B$53:$M$53</definedName>
    <definedName name="车位用途" localSheetId="46">'[2]比较法-车位'!$B$53:$M$53</definedName>
    <definedName name="车位用途" localSheetId="49">'[3]比较法-车位'!$B$53:$M$53</definedName>
    <definedName name="车位用途" localSheetId="34">'[4]比较法-车位'!$B$53:$M$53</definedName>
    <definedName name="车位用途" localSheetId="48">'[5]比较法-车位'!$B$53:$M$53</definedName>
    <definedName name="车位用途">'比较法-车位'!$B$53:$M$53</definedName>
    <definedName name="城镇土地纳税等级分级范围" localSheetId="45">'[1]数据-取费表'!$A$53:$A$63</definedName>
    <definedName name="城镇土地纳税等级分级范围" localSheetId="47">'[6]数据-取费表'!$A$53:$A$63</definedName>
    <definedName name="城镇土地纳税等级分级范围" localSheetId="46">'[2]数据-取费表'!$A$53:$A$63</definedName>
    <definedName name="城镇土地纳税等级分级范围" localSheetId="49">'[3]数据-取费表'!$A$53:$A$63</definedName>
    <definedName name="城镇土地纳税等级分级范围" localSheetId="34">'[4]数据-取费表'!$A$53:$A$63</definedName>
    <definedName name="城镇土地纳税等级分级范围" localSheetId="48">'[5]数据-取费表'!$A$53:$A$63</definedName>
    <definedName name="城镇土地纳税等级分级范围">'数据-取费表'!$A$53:$A$63</definedName>
    <definedName name="单价内涵" localSheetId="45">[1]定义!$V$1:$V$3</definedName>
    <definedName name="单价内涵" localSheetId="47">[6]定义!$V$1:$V$3</definedName>
    <definedName name="单价内涵" localSheetId="46">[2]定义!$V$1:$V$3</definedName>
    <definedName name="单价内涵" localSheetId="49">[3]定义!$V$1:$V$3</definedName>
    <definedName name="单价内涵" localSheetId="34">[4]定义!$V$1:$V$3</definedName>
    <definedName name="单价内涵" localSheetId="48">[5]定义!$V$1:$V$3</definedName>
    <definedName name="单价内涵">定义!$V$1:$V$3</definedName>
    <definedName name="地类判定" localSheetId="45">[1]定义!$H$1:$H$9</definedName>
    <definedName name="地类判定" localSheetId="47">[6]定义!$H$1:$H$9</definedName>
    <definedName name="地类判定" localSheetId="46">[2]定义!$H$1:$H$9</definedName>
    <definedName name="地类判定" localSheetId="49">[3]定义!$H$1:$H$9</definedName>
    <definedName name="地类判定" localSheetId="34">[4]定义!$H$1:$H$9</definedName>
    <definedName name="地类判定" localSheetId="48">[5]定义!$H$1:$H$9</definedName>
    <definedName name="地类判定">定义!$H$1:$H$9</definedName>
    <definedName name="二级">区片价!$J$1:$J$21</definedName>
    <definedName name="二级分类" localSheetId="45">[1]修正!$C$19:$C$51</definedName>
    <definedName name="二级分类" localSheetId="47">[6]修正!$C$19:$C$51</definedName>
    <definedName name="二级分类" localSheetId="46">[2]修正!$C$19:$C$51</definedName>
    <definedName name="二级分类" localSheetId="49">[3]修正!$C$17:$C$39</definedName>
    <definedName name="二级分类" localSheetId="34">[4]修正!$C$17:$C$39</definedName>
    <definedName name="二级分类" localSheetId="48">[5]修正!$C$19:$C$51</definedName>
    <definedName name="二级分类">修正!$C$19:$C$51</definedName>
    <definedName name="法定最高年限" localSheetId="45">[1]定义!$G$1:$G$6</definedName>
    <definedName name="法定最高年限" localSheetId="47">[6]定义!$G$1:$G$6</definedName>
    <definedName name="法定最高年限" localSheetId="46">[2]定义!$G$1:$G$6</definedName>
    <definedName name="法定最高年限" localSheetId="49">[3]定义!$G$1:$G$4</definedName>
    <definedName name="法定最高年限" localSheetId="34">[4]定义!$G$1:$G$4</definedName>
    <definedName name="法定最高年限" localSheetId="48">[5]定义!$G$1:$G$6</definedName>
    <definedName name="法定最高年限">定义!$G$1:$G$6</definedName>
    <definedName name="工业公共部分装修" localSheetId="45">'[1]比较法-工业'!$B$95:$M$95</definedName>
    <definedName name="工业公共部分装修" localSheetId="47">'[6]比较法-工业'!$B$95:$M$95</definedName>
    <definedName name="工业公共部分装修" localSheetId="46">'[2]比较法-工业'!$B$95:$M$95</definedName>
    <definedName name="工业公共部分装修" localSheetId="49">'[3]比较法-工业'!$B$95:$M$95</definedName>
    <definedName name="工业公共部分装修" localSheetId="34">'[4]比较法-工业'!$B$95:$M$95</definedName>
    <definedName name="工业公共部分装修" localSheetId="48">'[5]比较法-工业'!$B$95:$M$95</definedName>
    <definedName name="工业公共部分装修">'比较法-工业'!$B$95:$M$95</definedName>
    <definedName name="工业基础设施水平" localSheetId="45">'[1]比较法-工业'!$B$102:$M$102</definedName>
    <definedName name="工业基础设施水平" localSheetId="47">'[6]比较法-工业'!$B$102:$M$102</definedName>
    <definedName name="工业基础设施水平" localSheetId="46">'[2]比较法-工业'!$B$102:$M$102</definedName>
    <definedName name="工业基础设施水平" localSheetId="49">'[3]比较法-工业'!$B$102:$M$102</definedName>
    <definedName name="工业基础设施水平" localSheetId="34">'[4]比较法-工业'!$B$102:$M$102</definedName>
    <definedName name="工业基础设施水平" localSheetId="48">'[5]比较法-工业'!$B$102:$M$102</definedName>
    <definedName name="工业基础设施水平">'比较法-工业'!$B$102:$M$102</definedName>
    <definedName name="工业建筑结构" localSheetId="45">'[1]比较法-工业'!$B$93:$M$93</definedName>
    <definedName name="工业建筑结构" localSheetId="47">'[6]比较法-工业'!$B$93:$M$93</definedName>
    <definedName name="工业建筑结构" localSheetId="46">'[2]比较法-工业'!$B$93:$M$93</definedName>
    <definedName name="工业建筑结构" localSheetId="49">'[3]比较法-工业'!$B$93:$M$93</definedName>
    <definedName name="工业建筑结构" localSheetId="34">'[4]比较法-工业'!$B$93:$M$93</definedName>
    <definedName name="工业建筑结构" localSheetId="48">'[5]比较法-工业'!$B$93:$M$93</definedName>
    <definedName name="工业建筑结构">'比较法-工业'!$B$93:$M$93</definedName>
    <definedName name="工业建筑类型" localSheetId="45">'[1]比较法-工业'!$B$88:$M$88</definedName>
    <definedName name="工业建筑类型" localSheetId="47">'[6]比较法-工业'!$B$88:$M$88</definedName>
    <definedName name="工业建筑类型" localSheetId="46">'[2]比较法-工业'!$B$88:$M$88</definedName>
    <definedName name="工业建筑类型" localSheetId="49">'[3]比较法-工业'!$B$88:$M$88</definedName>
    <definedName name="工业建筑类型" localSheetId="34">'[4]比较法-工业'!$B$88:$M$88</definedName>
    <definedName name="工业建筑类型" localSheetId="48">'[5]比较法-工业'!$B$88:$M$88</definedName>
    <definedName name="工业建筑类型">'比较法-工业'!$B$88:$M$88</definedName>
    <definedName name="工业交易情况" localSheetId="45">'[1]比较法-工业'!$A$55:$M$55</definedName>
    <definedName name="工业交易情况" localSheetId="47">'[6]比较法-工业'!$A$55:$M$55</definedName>
    <definedName name="工业交易情况" localSheetId="46">'[2]比较法-工业'!$A$55:$M$55</definedName>
    <definedName name="工业交易情况" localSheetId="49">'[3]比较法-工业'!$A$55:$M$55</definedName>
    <definedName name="工业交易情况" localSheetId="34">'[4]比较法-工业'!$A$55:$M$55</definedName>
    <definedName name="工业交易情况" localSheetId="48">'[5]比较法-工业'!$A$55:$M$55</definedName>
    <definedName name="工业交易情况">'比较法-工业'!$A$55:$M$55</definedName>
    <definedName name="工业内部装修" localSheetId="45">'[1]比较法-工业'!$B$104:$M$104</definedName>
    <definedName name="工业内部装修" localSheetId="47">'[6]比较法-工业'!$B$104:$M$104</definedName>
    <definedName name="工业内部装修" localSheetId="46">'[2]比较法-工业'!$B$104:$M$104</definedName>
    <definedName name="工业内部装修" localSheetId="49">'[3]比较法-工业'!$B$104:$M$104</definedName>
    <definedName name="工业内部装修" localSheetId="34">'[4]比较法-工业'!$B$104:$M$104</definedName>
    <definedName name="工业内部装修" localSheetId="48">'[5]比较法-工业'!$B$104:$M$104</definedName>
    <definedName name="工业内部装修">'比较法-工业'!$B$104:$M$104</definedName>
    <definedName name="工业物业管理" localSheetId="45">'[1]比较法-工业'!$B$100:$M$100</definedName>
    <definedName name="工业物业管理" localSheetId="47">'[6]比较法-工业'!$B$100:$M$100</definedName>
    <definedName name="工业物业管理" localSheetId="46">'[2]比较法-工业'!$B$100:$M$100</definedName>
    <definedName name="工业物业管理" localSheetId="49">'[3]比较法-工业'!$B$100:$M$100</definedName>
    <definedName name="工业物业管理" localSheetId="34">'[4]比较法-工业'!$B$100:$M$100</definedName>
    <definedName name="工业物业管理" localSheetId="48">'[5]比较法-工业'!$B$100:$M$100</definedName>
    <definedName name="工业物业管理">'比较法-工业'!$B$100:$M$100</definedName>
    <definedName name="工业用途" localSheetId="45">'[1]比较法-工业'!$B$57:$M$57</definedName>
    <definedName name="工业用途" localSheetId="47">'[6]比较法-工业'!$B$57:$M$57</definedName>
    <definedName name="工业用途" localSheetId="46">'[2]比较法-工业'!$B$57:$M$57</definedName>
    <definedName name="工业用途" localSheetId="49">'[3]比较法-工业'!$B$57:$M$57</definedName>
    <definedName name="工业用途" localSheetId="34">'[4]比较法-工业'!$B$57:$M$57</definedName>
    <definedName name="工业用途" localSheetId="48">'[5]比较法-工业'!$B$57:$M$57</definedName>
    <definedName name="工业用途">'比较法-工业'!$B$57:$M$57</definedName>
    <definedName name="公共配套设施" localSheetId="45">[1]定义!$Q$1:$Q$6</definedName>
    <definedName name="公共配套设施" localSheetId="47">[6]定义!$Q$1:$Q$6</definedName>
    <definedName name="公共配套设施" localSheetId="46">[2]定义!$Q$1:$Q$6</definedName>
    <definedName name="公共配套设施" localSheetId="49">[3]定义!$Q$1:$Q$6</definedName>
    <definedName name="公共配套设施" localSheetId="34">[4]定义!$Q$1:$Q$6</definedName>
    <definedName name="公共配套设施" localSheetId="48">[5]定义!$Q$1:$Q$6</definedName>
    <definedName name="公共配套设施">定义!$Q$1:$Q$6</definedName>
    <definedName name="估价范围判定" localSheetId="45">[1]定义!$D$1:$D$4</definedName>
    <definedName name="估价范围判定" localSheetId="47">[6]定义!$D$1:$D$4</definedName>
    <definedName name="估价范围判定" localSheetId="46">[2]定义!$D$1:$D$4</definedName>
    <definedName name="估价范围判定" localSheetId="48">[5]定义!$D$1:$D$4</definedName>
    <definedName name="估价范围判定">定义!$D$1:$D$4</definedName>
    <definedName name="估价方法" localSheetId="45">[1]定义!$B$1:$B$50</definedName>
    <definedName name="估价方法" localSheetId="47">[6]定义!$B$1:$B$50</definedName>
    <definedName name="估价方法" localSheetId="46">[2]定义!$B$1:$B$50</definedName>
    <definedName name="估价方法" localSheetId="49">[3]定义!$B$1:$B$50</definedName>
    <definedName name="估价方法" localSheetId="34">[4]定义!$B$1:$B$50</definedName>
    <definedName name="估价方法" localSheetId="48">[5]定义!$B$1:$B$50</definedName>
    <definedName name="估价方法">定义!$B$1:$B$50</definedName>
    <definedName name="核算项目余额表">#REF!</definedName>
    <definedName name="环境" localSheetId="45">[1]定义!$S$1:$S$6</definedName>
    <definedName name="环境" localSheetId="47">[6]定义!$S$1:$S$6</definedName>
    <definedName name="环境" localSheetId="46">[2]定义!$S$1:$S$6</definedName>
    <definedName name="环境" localSheetId="49">[3]定义!$S$1:$S$6</definedName>
    <definedName name="环境" localSheetId="34">[4]定义!$S$1:$S$6</definedName>
    <definedName name="环境" localSheetId="48">[5]定义!$S$1:$S$6</definedName>
    <definedName name="环境">定义!$S$1:$S$6</definedName>
    <definedName name="基础设施水平" localSheetId="45">[1]定义!$R$1:$R$6</definedName>
    <definedName name="基础设施水平" localSheetId="47">[6]定义!$R$1:$R$6</definedName>
    <definedName name="基础设施水平" localSheetId="46">[2]定义!$R$1:$R$6</definedName>
    <definedName name="基础设施水平" localSheetId="49">[3]定义!$R$1:$R$6</definedName>
    <definedName name="基础设施水平" localSheetId="34">[4]定义!$R$1:$R$6</definedName>
    <definedName name="基础设施水平" localSheetId="48">[5]定义!$R$1:$R$6</definedName>
    <definedName name="基础设施水平">定义!$R$1:$R$6</definedName>
    <definedName name="季度">基准地价修正!$Q$19:$AD$19</definedName>
    <definedName name="价值类型2" localSheetId="45">[1]定义!$B$54:$B$56</definedName>
    <definedName name="价值类型2" localSheetId="47">[6]定义!$B$54:$B$56</definedName>
    <definedName name="价值类型2" localSheetId="46">[2]定义!$B$54:$B$56</definedName>
    <definedName name="价值类型2" localSheetId="49">[3]定义!$B$54:$B$56</definedName>
    <definedName name="价值类型2" localSheetId="34">[4]定义!$B$54:$B$56</definedName>
    <definedName name="价值类型2" localSheetId="48">[5]定义!$B$54:$B$56</definedName>
    <definedName name="价值类型2">定义!$B$54:$B$56</definedName>
    <definedName name="交通便捷度" localSheetId="45">[1]定义!$O$1:$O$6</definedName>
    <definedName name="交通便捷度" localSheetId="47">[6]定义!$O$1:$O$6</definedName>
    <definedName name="交通便捷度" localSheetId="46">[2]定义!$O$1:$O$6</definedName>
    <definedName name="交通便捷度" localSheetId="49">[3]定义!$O$1:$O$6</definedName>
    <definedName name="交通便捷度" localSheetId="34">[4]定义!$O$1:$O$6</definedName>
    <definedName name="交通便捷度" localSheetId="48">[5]定义!$O$1:$O$6</definedName>
    <definedName name="交通便捷度">定义!$O$1:$O$6</definedName>
    <definedName name="九级">区片价!$Q$1:$Q$51</definedName>
    <definedName name="居住社区成熟度" localSheetId="45">[1]定义!$K$1:$K$6</definedName>
    <definedName name="居住社区成熟度" localSheetId="47">[6]定义!$K$1:$K$6</definedName>
    <definedName name="居住社区成熟度" localSheetId="46">[2]定义!$K$1:$K$6</definedName>
    <definedName name="居住社区成熟度" localSheetId="49">[3]定义!$K$1:$K$6</definedName>
    <definedName name="居住社区成熟度" localSheetId="34">[4]定义!$K$1:$K$6</definedName>
    <definedName name="居住社区成熟度" localSheetId="48">[5]定义!$K$1:$K$6</definedName>
    <definedName name="居住社区成熟度">定义!$K$1:$K$6</definedName>
    <definedName name="科目余额表">#REF!</definedName>
    <definedName name="类别" localSheetId="45">[1]定义!$J$1:$J$3</definedName>
    <definedName name="类别" localSheetId="47">[6]定义!$J$1:$J$3</definedName>
    <definedName name="类别" localSheetId="46">[2]定义!$J$1:$J$3</definedName>
    <definedName name="类别" localSheetId="49">[3]定义!$J$1:$J$3</definedName>
    <definedName name="类别" localSheetId="34">[4]定义!$J$1:$J$3</definedName>
    <definedName name="类别" localSheetId="48">[5]定义!$J$1:$J$3</definedName>
    <definedName name="类别">定义!$J$1:$J$3</definedName>
    <definedName name="临街状况" localSheetId="45">[1]定义!$T$1:$T$5</definedName>
    <definedName name="临街状况" localSheetId="47">[6]定义!$T$1:$T$5</definedName>
    <definedName name="临街状况" localSheetId="46">[2]定义!$T$1:$T$5</definedName>
    <definedName name="临街状况" localSheetId="49">[3]定义!$T$1:$T$5</definedName>
    <definedName name="临街状况" localSheetId="34">[4]定义!$T$1:$T$5</definedName>
    <definedName name="临街状况" localSheetId="48">[5]定义!$T$1:$T$5</definedName>
    <definedName name="临街状况">定义!$T$1:$T$5</definedName>
    <definedName name="六级">区片价!$N$1:$N$64</definedName>
    <definedName name="内部装修维护情况" localSheetId="45">[1]定义!$U$1:$U$6</definedName>
    <definedName name="内部装修维护情况" localSheetId="47">[6]定义!$U$1:$U$6</definedName>
    <definedName name="内部装修维护情况" localSheetId="46">[2]定义!$U$1:$U$6</definedName>
    <definedName name="内部装修维护情况" localSheetId="49">[3]定义!$U$1:$U$6</definedName>
    <definedName name="内部装修维护情况" localSheetId="34">[4]定义!$U$1:$U$6</definedName>
    <definedName name="内部装修维护情况" localSheetId="48">[5]定义!$U$1:$U$6</definedName>
    <definedName name="内部装修维护情况">定义!$U$1:$U$6</definedName>
    <definedName name="判定" localSheetId="49">[3]定义!$D$1:$D$4</definedName>
    <definedName name="判定" localSheetId="34">[4]定义!$D$1:$D$4</definedName>
    <definedName name="判定">定义!$D$1:$D$4</definedName>
    <definedName name="评估方法">[7]定义!$B$1:$B$50</definedName>
    <definedName name="七级">区片价!$O$1:$O$45</definedName>
    <definedName name="七通一平" localSheetId="45">[1]修正!$A$8:$A$16</definedName>
    <definedName name="七通一平" localSheetId="47">[6]修正!$A$8:$A$16</definedName>
    <definedName name="七通一平" localSheetId="46">[2]修正!$A$8:$A$16</definedName>
    <definedName name="七通一平" localSheetId="49">[3]修正!$A$6:$A$14</definedName>
    <definedName name="七通一平" localSheetId="34">[4]修正!$A$6:$A$14</definedName>
    <definedName name="七通一平" localSheetId="48">[5]修正!$A$8:$A$16</definedName>
    <definedName name="七通一平">修正!$A$8:$A$16</definedName>
    <definedName name="区域土地利用方向" localSheetId="45">[1]定义!$P$1:$P$6</definedName>
    <definedName name="区域土地利用方向" localSheetId="47">[6]定义!$P$1:$P$6</definedName>
    <definedName name="区域土地利用方向" localSheetId="46">[2]定义!$P$1:$P$6</definedName>
    <definedName name="区域土地利用方向" localSheetId="49">[3]定义!$P$1:$P$6</definedName>
    <definedName name="区域土地利用方向" localSheetId="34">[4]定义!$P$1:$P$6</definedName>
    <definedName name="区域土地利用方向" localSheetId="48">[5]定义!$P$1:$P$6</definedName>
    <definedName name="区域土地利用方向">定义!$P$1:$P$6</definedName>
    <definedName name="三级">区片价!$K$1:$K$26</definedName>
    <definedName name="商业层高" localSheetId="45">'[1]比较法-商业'!$B$116:$M$116</definedName>
    <definedName name="商业层高" localSheetId="44">'比较法-商业售价'!$B$116:$M$116</definedName>
    <definedName name="商业层高" localSheetId="47">#REF!</definedName>
    <definedName name="商业层高" localSheetId="46">'[2]比较法-商业'!$B$116:$M$116</definedName>
    <definedName name="商业层高" localSheetId="49">'[3]比较法-商业-售价'!$B$116:$M$116</definedName>
    <definedName name="商业层高" localSheetId="34">'[4]比较法-商业'!$B$116:$M$116</definedName>
    <definedName name="商业层高" localSheetId="48">'[5]比较法-商业'!$B$116:$M$116</definedName>
    <definedName name="商业层高">'比较法-商业'!$B$116:$M$116</definedName>
    <definedName name="商业成新度" localSheetId="44">'比较法-商业售价'!$B$109:$M$109</definedName>
    <definedName name="商业成新度">'比较法-商业'!$B$109:$M$109</definedName>
    <definedName name="商业繁华度" localSheetId="45">[1]定义!$L$1:$L$6</definedName>
    <definedName name="商业繁华度" localSheetId="47">[6]定义!$L$1:$L$6</definedName>
    <definedName name="商业繁华度" localSheetId="46">[2]定义!$L$1:$L$6</definedName>
    <definedName name="商业繁华度" localSheetId="49">[3]定义!$L$1:$L$6</definedName>
    <definedName name="商业繁华度" localSheetId="34">[4]定义!$L$1:$L$6</definedName>
    <definedName name="商业繁华度" localSheetId="48">[5]定义!$L$1:$L$6</definedName>
    <definedName name="商业繁华度">定义!$L$1:$L$6</definedName>
    <definedName name="商业公共部分装修" localSheetId="45">'[1]比较法-商业'!$B$107:$M$107</definedName>
    <definedName name="商业公共部分装修" localSheetId="44">'比较法-商业售价'!$B$107:$M$107</definedName>
    <definedName name="商业公共部分装修" localSheetId="47">#REF!</definedName>
    <definedName name="商业公共部分装修" localSheetId="46">'[2]比较法-商业'!$B$107:$M$107</definedName>
    <definedName name="商业公共部分装修" localSheetId="49">'[3]比较法-商业-售价'!$B$107:$M$107</definedName>
    <definedName name="商业公共部分装修" localSheetId="34">'[4]比较法-商业'!$B$107:$M$107</definedName>
    <definedName name="商业公共部分装修" localSheetId="48">'[5]比较法-商业'!$B$107:$M$107</definedName>
    <definedName name="商业公共部分装修">'比较法-商业'!$B$107:$M$107</definedName>
    <definedName name="商业基础设施水平" localSheetId="45">'[1]比较法-商业'!$B$112:$M$112</definedName>
    <definedName name="商业基础设施水平" localSheetId="44">'比较法-商业售价'!$B$112:$M$112</definedName>
    <definedName name="商业基础设施水平" localSheetId="47">#REF!</definedName>
    <definedName name="商业基础设施水平" localSheetId="46">'[2]比较法-商业'!$B$112:$M$112</definedName>
    <definedName name="商业基础设施水平" localSheetId="49">'[3]比较法-商业-售价'!$B$112:$M$112</definedName>
    <definedName name="商业基础设施水平" localSheetId="34">'[4]比较法-商业'!$B$112:$M$112</definedName>
    <definedName name="商业基础设施水平" localSheetId="48">'[5]比较法-商业'!$B$112:$M$112</definedName>
    <definedName name="商业基础设施水平">'比较法-商业'!$B$112:$M$112</definedName>
    <definedName name="商业建筑结构" localSheetId="45">'[1]比较法-商业'!$B$105:$M$105</definedName>
    <definedName name="商业建筑结构" localSheetId="44">'比较法-商业售价'!$B$105:$M$105</definedName>
    <definedName name="商业建筑结构" localSheetId="47">#REF!</definedName>
    <definedName name="商业建筑结构" localSheetId="46">'[2]比较法-商业'!$B$105:$M$105</definedName>
    <definedName name="商业建筑结构" localSheetId="49">'[3]比较法-商业-售价'!$B$105:$M$105</definedName>
    <definedName name="商业建筑结构" localSheetId="34">'[4]比较法-商业'!$B$105:$M$105</definedName>
    <definedName name="商业建筑结构" localSheetId="48">'[5]比较法-商业'!$B$105:$M$105</definedName>
    <definedName name="商业建筑结构">'比较法-商业'!$B$105:$M$105</definedName>
    <definedName name="商业交易情况" localSheetId="45">'[1]比较法-商业'!$A$61:$M$61</definedName>
    <definedName name="商业交易情况" localSheetId="44">'比较法-商业售价'!$A$61:$M$61</definedName>
    <definedName name="商业交易情况" localSheetId="47">#REF!</definedName>
    <definedName name="商业交易情况" localSheetId="46">'[2]比较法-商业'!$A$61:$M$61</definedName>
    <definedName name="商业交易情况" localSheetId="49">'[3]比较法-商业-售价'!$A$61:$M$61</definedName>
    <definedName name="商业交易情况" localSheetId="34">'[4]比较法-商业'!$A$61:$M$61</definedName>
    <definedName name="商业交易情况" localSheetId="48">'[5]比较法-商业'!$A$61:$M$61</definedName>
    <definedName name="商业交易情况">'比较法-商业'!$A$61:$M$61</definedName>
    <definedName name="商业街名称" localSheetId="45">[1]修正!$C$71:$C$138</definedName>
    <definedName name="商业街名称" localSheetId="47">[6]修正!$C$71:$C$138</definedName>
    <definedName name="商业街名称" localSheetId="46">[2]修正!$C$71:$C$138</definedName>
    <definedName name="商业街名称" localSheetId="49">[3]修正!$C$59:$C$119</definedName>
    <definedName name="商业街名称" localSheetId="34">[4]修正!$C$59:$C$119</definedName>
    <definedName name="商业街名称" localSheetId="48">[5]修正!$C$71:$C$138</definedName>
    <definedName name="商业街名称">修正!$C$71:$C$138</definedName>
    <definedName name="商业进深比" localSheetId="45">'[1]比较法-商业'!$B$120:$M$120</definedName>
    <definedName name="商业进深比" localSheetId="44">'比较法-商业售价'!$B$120:$M$120</definedName>
    <definedName name="商业进深比" localSheetId="47">#REF!</definedName>
    <definedName name="商业进深比" localSheetId="46">'[2]比较法-商业'!$B$120:$M$120</definedName>
    <definedName name="商业进深比" localSheetId="49">'[3]比较法-商业-售价'!$B$120:$M$120</definedName>
    <definedName name="商业进深比" localSheetId="34">'[4]比较法-商业'!$B$120:$M$120</definedName>
    <definedName name="商业进深比" localSheetId="48">'[5]比较法-商业'!$B$120:$M$120</definedName>
    <definedName name="商业进深比">'比较法-商业'!$B$120:$M$120</definedName>
    <definedName name="商业类型" localSheetId="45">'[1]比较法-商业'!$B$100:$M$100</definedName>
    <definedName name="商业类型" localSheetId="44">'比较法-商业售价'!$B$100:$M$100</definedName>
    <definedName name="商业类型" localSheetId="47">#REF!</definedName>
    <definedName name="商业类型" localSheetId="46">'[2]比较法-商业'!$B$100:$M$100</definedName>
    <definedName name="商业类型" localSheetId="49">'[3]比较法-商业-售价'!$B$100:$M$100</definedName>
    <definedName name="商业类型" localSheetId="34">'[4]比较法-商业'!$B$100:$M$100</definedName>
    <definedName name="商业类型" localSheetId="48">'[5]比较法-商业'!$B$100:$M$100</definedName>
    <definedName name="商业类型">'比较法-商业'!$B$100:$M$100</definedName>
    <definedName name="商业临街状况" localSheetId="45">'[1]比较法-商业'!$B$86:$M$86</definedName>
    <definedName name="商业临街状况" localSheetId="44">'比较法-商业售价'!$B$86:$M$86</definedName>
    <definedName name="商业临街状况" localSheetId="47">#REF!</definedName>
    <definedName name="商业临街状况" localSheetId="46">'[2]比较法-商业'!$B$86:$M$86</definedName>
    <definedName name="商业临街状况" localSheetId="49">'[3]比较法-商业-售价'!$B$86:$M$86</definedName>
    <definedName name="商业临街状况" localSheetId="34">'[4]比较法-商业'!$B$86:$M$86</definedName>
    <definedName name="商业临街状况" localSheetId="48">'[5]比较法-商业'!$B$86:$M$86</definedName>
    <definedName name="商业临街状况">'比较法-商业'!$B$86:$M$86</definedName>
    <definedName name="商业楼层" localSheetId="45">'[1]比较法-商业'!$B$92:$M$92</definedName>
    <definedName name="商业楼层" localSheetId="44">'比较法-商业售价'!$B$92:$M$92</definedName>
    <definedName name="商业楼层" localSheetId="47">#REF!</definedName>
    <definedName name="商业楼层" localSheetId="46">'[2]比较法-商业'!$B$92:$M$92</definedName>
    <definedName name="商业楼层" localSheetId="49">'[3]比较法-商业-售价'!$B$92:$M$92</definedName>
    <definedName name="商业楼层" localSheetId="34">'[4]比较法-商业'!$B$92:$M$92</definedName>
    <definedName name="商业楼层" localSheetId="48">'[5]比较法-商业'!$B$92:$M$92</definedName>
    <definedName name="商业楼层">'比较法-商业'!$B$92:$M$92</definedName>
    <definedName name="商业内部装修" localSheetId="45">'[1]比较法-商业'!$B$122:$M$122</definedName>
    <definedName name="商业内部装修" localSheetId="44">'比较法-商业售价'!$B$122:$M$122</definedName>
    <definedName name="商业内部装修" localSheetId="47">#REF!</definedName>
    <definedName name="商业内部装修" localSheetId="46">'[2]比较法-商业'!$B$122:$M$122</definedName>
    <definedName name="商业内部装修" localSheetId="49">'[3]比较法-商业-售价'!$B$122:$M$122</definedName>
    <definedName name="商业内部装修" localSheetId="34">'[4]比较法-商业'!$B$122:$M$122</definedName>
    <definedName name="商业内部装修" localSheetId="48">'[5]比较法-商业'!$B$122:$M$122</definedName>
    <definedName name="商业内部装修">'比较法-商业'!$B$122:$M$122</definedName>
    <definedName name="商业人流量" localSheetId="45">'[1]比较法-商业'!$B$90:$M$90</definedName>
    <definedName name="商业人流量" localSheetId="44">'比较法-商业售价'!$B$90:$M$90</definedName>
    <definedName name="商业人流量" localSheetId="47">#REF!</definedName>
    <definedName name="商业人流量" localSheetId="46">'[2]比较法-商业'!$B$90:$M$90</definedName>
    <definedName name="商业人流量" localSheetId="49">'[3]比较法-商业-售价'!$B$90:$M$90</definedName>
    <definedName name="商业人流量" localSheetId="34">'[4]比较法-商业'!$B$90:$M$90</definedName>
    <definedName name="商业人流量" localSheetId="48">'[5]比较法-商业'!$B$90:$M$90</definedName>
    <definedName name="商业人流量">'比较法-商业'!$B$90:$M$90</definedName>
    <definedName name="商业业态" localSheetId="45">'[1]比较法-商业'!$B$114:$M$114</definedName>
    <definedName name="商业业态" localSheetId="44">'比较法-商业售价'!$B$114:$M$114</definedName>
    <definedName name="商业业态" localSheetId="47">#REF!</definedName>
    <definedName name="商业业态" localSheetId="46">'[2]比较法-商业'!$B$114:$M$114</definedName>
    <definedName name="商业业态" localSheetId="49">'[3]比较法-商业-售价'!$B$114:$M$114</definedName>
    <definedName name="商业业态" localSheetId="34">'[4]比较法-商业'!$B$114:$M$114</definedName>
    <definedName name="商业业态" localSheetId="48">'[5]比较法-商业'!$B$114:$M$114</definedName>
    <definedName name="商业业态">'比较法-商业'!$B$114:$M$114</definedName>
    <definedName name="商业用途" localSheetId="45">'[1]比较法-商业'!$B$63:$M$63</definedName>
    <definedName name="商业用途" localSheetId="44">'比较法-商业售价'!$B$63:$M$63</definedName>
    <definedName name="商业用途" localSheetId="47">#REF!</definedName>
    <definedName name="商业用途" localSheetId="46">'[2]比较法-商业'!$B$63:$M$63</definedName>
    <definedName name="商业用途" localSheetId="49">'[3]比较法-商业-售价'!$B$63:$M$63</definedName>
    <definedName name="商业用途" localSheetId="34">'[4]比较法-商业'!$B$63:$M$63</definedName>
    <definedName name="商业用途" localSheetId="48">'[5]比较法-商业'!$B$63:$M$63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 localSheetId="47">'[6]比较法-仓储'!$B$89:$M$89</definedName>
    <definedName name="是否封闭" localSheetId="46">'[2]比较法-仓储'!$B$89:$M$89</definedName>
    <definedName name="是否封闭" localSheetId="49">'[3]比较法-仓储'!$B$89:$M$89</definedName>
    <definedName name="是否封闭" localSheetId="34">'[4]比较法-仓储'!$B$89:$M$89</definedName>
    <definedName name="是否封闭" localSheetId="48">'[5]比较法-仓储'!$B$89:$M$89</definedName>
    <definedName name="是否封闭">'比较法-仓储'!$B$89:$M$89</definedName>
    <definedName name="是否直接入户" localSheetId="45">'[1]比较法-车位'!$B$95:$M$95</definedName>
    <definedName name="是否直接入户" localSheetId="47">'[6]比较法-车位'!$B$95:$M$95</definedName>
    <definedName name="是否直接入户" localSheetId="46">'[2]比较法-车位'!$B$95:$M$95</definedName>
    <definedName name="是否直接入户" localSheetId="49">'[3]比较法-车位'!$B$95:$M$95</definedName>
    <definedName name="是否直接入户" localSheetId="34">'[4]比较法-车位'!$B$95:$M$95</definedName>
    <definedName name="是否直接入户" localSheetId="48">'[5]比较法-车位'!$B$95:$M$95</definedName>
    <definedName name="是否直接入户">'比较法-车位'!$B$95:$M$95</definedName>
    <definedName name="四级">区片价!$L$1:$L$33</definedName>
    <definedName name="套工道路等级" localSheetId="45">'[1]土地比较法-工业'!$B$97:$M$97</definedName>
    <definedName name="套工道路等级" localSheetId="47">'[6]土地比较法-工业'!$B$97:$M$97</definedName>
    <definedName name="套工道路等级" localSheetId="46">'[2]土地比较法-工业'!$B$97:$M$97</definedName>
    <definedName name="套工道路等级" localSheetId="49">'[3]土地比较法-工业'!$B$97:$M$97</definedName>
    <definedName name="套工道路等级" localSheetId="34">'[4]土地比较法-工业'!$B$97:$M$97</definedName>
    <definedName name="套工道路等级" localSheetId="48">'[5]土地比较法-工业'!$B$97:$M$97</definedName>
    <definedName name="套工道路等级">'土地比较法-工业'!$B$97:$M$97</definedName>
    <definedName name="套工地质条件" localSheetId="45">'[1]土地比较法-工业'!$B$114:$M$114</definedName>
    <definedName name="套工地质条件" localSheetId="47">'[6]土地比较法-工业'!$B$114:$M$114</definedName>
    <definedName name="套工地质条件" localSheetId="46">'[2]土地比较法-工业'!$B$114:$M$114</definedName>
    <definedName name="套工地质条件" localSheetId="49">'[3]土地比较法-工业'!$B$114:$M$114</definedName>
    <definedName name="套工地质条件" localSheetId="34">'[4]土地比较法-工业'!$B$114:$M$114</definedName>
    <definedName name="套工地质条件" localSheetId="48">'[5]土地比较法-工业'!$B$114:$M$114</definedName>
    <definedName name="套工地质条件">'土地比较法-工业'!$B$114:$M$114</definedName>
    <definedName name="套工交易情况" localSheetId="45">'[1]土地比较法-住宅、综合'!$A$72:$M$72</definedName>
    <definedName name="套工交易情况" localSheetId="47">'[6]土地比较法-住宅、综合'!$A$72:$M$72</definedName>
    <definedName name="套工交易情况" localSheetId="46">'[2]土地比较法-住宅、综合'!$A$72:$M$72</definedName>
    <definedName name="套工交易情况" localSheetId="49">'[3]土地比较法-住宅、综合'!$A$73:$M$73</definedName>
    <definedName name="套工交易情况" localSheetId="34">'[4]土地比较法-住宅、综合'!$A$73:$M$73</definedName>
    <definedName name="套工交易情况" localSheetId="48">'[5]土地比较法-住宅、综合'!$A$72:$M$72</definedName>
    <definedName name="套工交易情况">'土地比较法-住宅、综合'!$A$72:$M$72</definedName>
    <definedName name="套工土地级别" localSheetId="45">'[1]土地比较法-工业'!$B$99:$M$99</definedName>
    <definedName name="套工土地级别" localSheetId="47">'[6]土地比较法-工业'!$B$99:$M$99</definedName>
    <definedName name="套工土地级别" localSheetId="46">'[2]土地比较法-工业'!$B$99:$M$99</definedName>
    <definedName name="套工土地级别" localSheetId="49">'[3]土地比较法-工业'!$B$99:$M$99</definedName>
    <definedName name="套工土地级别" localSheetId="34">'[4]土地比较法-工业'!$B$99:$M$99</definedName>
    <definedName name="套工土地级别" localSheetId="48">'[5]土地比较法-工业'!$B$99:$M$99</definedName>
    <definedName name="套工土地级别">'土地比较法-工业'!$B$99:$M$99</definedName>
    <definedName name="套工用途" localSheetId="45">'[1]土地比较法-工业'!$B$70:$M$70</definedName>
    <definedName name="套工用途" localSheetId="47">'[6]土地比较法-工业'!$B$70:$M$70</definedName>
    <definedName name="套工用途" localSheetId="46">'[2]土地比较法-工业'!$B$70:$M$70</definedName>
    <definedName name="套工用途" localSheetId="49">'[3]土地比较法-工业'!$B$70:$M$70</definedName>
    <definedName name="套工用途" localSheetId="34">'[4]土地比较法-工业'!$B$70:$M$70</definedName>
    <definedName name="套工用途" localSheetId="48">'[5]土地比较法-工业'!$B$70:$M$70</definedName>
    <definedName name="套工用途">'土地比较法-工业'!$B$70:$M$70</definedName>
    <definedName name="套工宗地开发程度" localSheetId="45">'[1]土地比较法-工业'!$B$112:$M$112</definedName>
    <definedName name="套工宗地开发程度" localSheetId="47">'[6]土地比较法-工业'!$B$112:$M$112</definedName>
    <definedName name="套工宗地开发程度" localSheetId="46">'[2]土地比较法-工业'!$B$112:$M$112</definedName>
    <definedName name="套工宗地开发程度" localSheetId="49">'[3]土地比较法-工业'!$B$112:$M$112</definedName>
    <definedName name="套工宗地开发程度" localSheetId="34">'[4]土地比较法-工业'!$B$112:$M$112</definedName>
    <definedName name="套工宗地开发程度" localSheetId="48">'[5]土地比较法-工业'!$B$112:$M$112</definedName>
    <definedName name="套工宗地开发程度">'土地比较法-工业'!$B$112:$M$112</definedName>
    <definedName name="套工宗地形状" localSheetId="45">'[1]土地比较法-工业'!$B$110:$M$110</definedName>
    <definedName name="套工宗地形状" localSheetId="47">'[6]土地比较法-工业'!$B$110:$M$110</definedName>
    <definedName name="套工宗地形状" localSheetId="46">'[2]土地比较法-工业'!$B$110:$M$110</definedName>
    <definedName name="套工宗地形状" localSheetId="49">'[3]土地比较法-工业'!$B$110:$M$110</definedName>
    <definedName name="套工宗地形状" localSheetId="34">'[4]土地比较法-工业'!$B$110:$M$110</definedName>
    <definedName name="套工宗地形状" localSheetId="48">'[5]土地比较法-工业'!$B$110:$M$110</definedName>
    <definedName name="套工宗地形状">'土地比较法-工业'!$B$110:$M$110</definedName>
    <definedName name="套综道路等级" localSheetId="45">'[1]土地比较法-住宅、综合'!$B$105:$M$105</definedName>
    <definedName name="套综道路等级" localSheetId="47">'[6]土地比较法-住宅、综合'!$B$105:$M$105</definedName>
    <definedName name="套综道路等级" localSheetId="46">'[2]土地比较法-住宅、综合'!$B$105:$M$105</definedName>
    <definedName name="套综道路等级" localSheetId="49">'[3]土地比较法-住宅、综合'!$B$106:$M$106</definedName>
    <definedName name="套综道路等级" localSheetId="34">'[4]土地比较法-住宅、综合'!$B$106:$M$106</definedName>
    <definedName name="套综道路等级" localSheetId="48">'[5]土地比较法-住宅、综合'!$B$105:$M$105</definedName>
    <definedName name="套综道路等级">'土地比较法-住宅、综合'!$B$105:$M$105</definedName>
    <definedName name="套综工程地质条件" localSheetId="45">'[1]土地比较法-住宅、综合'!$B$124:$M$124</definedName>
    <definedName name="套综工程地质条件" localSheetId="47">'[6]土地比较法-住宅、综合'!$B$124:$M$124</definedName>
    <definedName name="套综工程地质条件" localSheetId="46">'[2]土地比较法-住宅、综合'!$B$124:$M$124</definedName>
    <definedName name="套综工程地质条件" localSheetId="49">'[3]土地比较法-住宅、综合'!$B$125:$M$125</definedName>
    <definedName name="套综工程地质条件" localSheetId="34">'[4]土地比较法-住宅、综合'!$B$125:$M$125</definedName>
    <definedName name="套综工程地质条件" localSheetId="48">'[5]土地比较法-住宅、综合'!$B$124:$M$124</definedName>
    <definedName name="套综工程地质条件">'土地比较法-住宅、综合'!$B$124:$M$124</definedName>
    <definedName name="套综交易情况" localSheetId="45">'[1]土地比较法-住宅、综合'!$A$72:$M$72</definedName>
    <definedName name="套综交易情况" localSheetId="47">'[6]土地比较法-住宅、综合'!$A$72:$M$72</definedName>
    <definedName name="套综交易情况" localSheetId="46">'[2]土地比较法-住宅、综合'!$A$72:$M$72</definedName>
    <definedName name="套综交易情况" localSheetId="49">'[3]土地比较法-住宅、综合'!$A$73:$M$73</definedName>
    <definedName name="套综交易情况" localSheetId="34">'[4]土地比较法-住宅、综合'!$A$73:$M$73</definedName>
    <definedName name="套综交易情况" localSheetId="48">'[5]土地比较法-住宅、综合'!$A$72:$M$72</definedName>
    <definedName name="套综交易情况">'土地比较法-住宅、综合'!$A$72:$M$72</definedName>
    <definedName name="套综临街宽度及深度" localSheetId="45">'[1]土地比较法-住宅、综合'!$B$120:$M$120</definedName>
    <definedName name="套综临街宽度及深度" localSheetId="47">'[6]土地比较法-住宅、综合'!$B$120:$M$120</definedName>
    <definedName name="套综临街宽度及深度" localSheetId="46">'[2]土地比较法-住宅、综合'!$B$120:$M$120</definedName>
    <definedName name="套综临街宽度及深度" localSheetId="49">'[3]土地比较法-住宅、综合'!$B$121:$M$121</definedName>
    <definedName name="套综临街宽度及深度" localSheetId="34">'[4]土地比较法-住宅、综合'!$B$121:$M$121</definedName>
    <definedName name="套综临街宽度及深度" localSheetId="48">'[5]土地比较法-住宅、综合'!$B$120:$M$120</definedName>
    <definedName name="套综临街宽度及深度">'土地比较法-住宅、综合'!$B$120:$M$120</definedName>
    <definedName name="套综土地级别" localSheetId="45">'[1]土地比较法-住宅、综合'!$B$107:$M$107</definedName>
    <definedName name="套综土地级别" localSheetId="47">'[6]土地比较法-住宅、综合'!$B$107:$M$107</definedName>
    <definedName name="套综土地级别" localSheetId="46">'[2]土地比较法-住宅、综合'!$B$107:$M$107</definedName>
    <definedName name="套综土地级别" localSheetId="49">'[3]土地比较法-住宅、综合'!$B$108:$M$108</definedName>
    <definedName name="套综土地级别" localSheetId="34">'[4]土地比较法-住宅、综合'!$B$108:$M$108</definedName>
    <definedName name="套综土地级别" localSheetId="48">'[5]土地比较法-住宅、综合'!$B$107:$M$107</definedName>
    <definedName name="套综土地级别">'土地比较法-住宅、综合'!$B$107:$M$107</definedName>
    <definedName name="套综用途" localSheetId="45">'[1]土地比较法-住宅、综合'!$B$74:$M$74</definedName>
    <definedName name="套综用途" localSheetId="47">'[6]土地比较法-住宅、综合'!$B$74:$M$74</definedName>
    <definedName name="套综用途" localSheetId="46">'[2]土地比较法-住宅、综合'!$B$74:$M$74</definedName>
    <definedName name="套综用途" localSheetId="49">'[3]土地比较法-住宅、综合'!$B$75:$M$75</definedName>
    <definedName name="套综用途" localSheetId="34">'[4]土地比较法-住宅、综合'!$B$75:$M$75</definedName>
    <definedName name="套综用途" localSheetId="48">'[5]土地比较法-住宅、综合'!$B$74:$M$74</definedName>
    <definedName name="套综用途">'土地比较法-住宅、综合'!$B$74:$M$74</definedName>
    <definedName name="套综宗地内开发程度" localSheetId="45">'[1]土地比较法-住宅、综合'!$B$122:$M$122</definedName>
    <definedName name="套综宗地内开发程度" localSheetId="47">'[6]土地比较法-住宅、综合'!$B$122:$M$122</definedName>
    <definedName name="套综宗地内开发程度" localSheetId="46">'[2]土地比较法-住宅、综合'!$B$122:$M$122</definedName>
    <definedName name="套综宗地内开发程度" localSheetId="49">'[3]土地比较法-住宅、综合'!$B$123:$M$123</definedName>
    <definedName name="套综宗地内开发程度" localSheetId="34">'[4]土地比较法-住宅、综合'!$B$123:$M$123</definedName>
    <definedName name="套综宗地内开发程度" localSheetId="48">'[5]土地比较法-住宅、综合'!$B$122:$M$122</definedName>
    <definedName name="套综宗地内开发程度">'土地比较法-住宅、综合'!$B$122:$M$122</definedName>
    <definedName name="套综宗地形状" localSheetId="45">'[1]土地比较法-住宅、综合'!$B$118:$M$118</definedName>
    <definedName name="套综宗地形状" localSheetId="47">'[6]土地比较法-住宅、综合'!$B$118:$M$118</definedName>
    <definedName name="套综宗地形状" localSheetId="46">'[2]土地比较法-住宅、综合'!$B$118:$M$118</definedName>
    <definedName name="套综宗地形状" localSheetId="49">'[3]土地比较法-住宅、综合'!$B$119:$M$119</definedName>
    <definedName name="套综宗地形状" localSheetId="34">'[4]土地比较法-住宅、综合'!$B$119:$M$119</definedName>
    <definedName name="套综宗地形状" localSheetId="48">'[5]土地比较法-住宅、综合'!$B$118:$M$118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 localSheetId="47">[6]定义!$C$1:$C$14</definedName>
    <definedName name="土地级别" localSheetId="46">[2]定义!$C$1:$C$14</definedName>
    <definedName name="土地级别" localSheetId="49">[3]定义!$C$1:$C$14</definedName>
    <definedName name="土地级别" localSheetId="34">[4]定义!$C$1:$C$14</definedName>
    <definedName name="土地级别" localSheetId="48">[5]定义!$C$1:$C$14</definedName>
    <definedName name="土地级别">定义!$C$1:$C$14</definedName>
    <definedName name="土地利用方向">定义!$P$1:$P$6</definedName>
    <definedName name="土地年限区间" localSheetId="49">[3]定义!$I$1:$I$8</definedName>
    <definedName name="土地年限区间" localSheetId="34">[4]定义!$I$1:$I$8</definedName>
    <definedName name="土地年限区间">定义!$I$1:$I$16</definedName>
    <definedName name="位置" localSheetId="45">[1]定义!$E$2:$E$4</definedName>
    <definedName name="位置" localSheetId="47">[6]定义!$E$2:$E$4</definedName>
    <definedName name="位置" localSheetId="46">[2]定义!$E$2:$E$4</definedName>
    <definedName name="位置" localSheetId="49">[3]定义!$E$2:$E$4</definedName>
    <definedName name="位置" localSheetId="34">[4]定义!$E$2:$E$4</definedName>
    <definedName name="位置" localSheetId="48">[5]定义!$E$2:$E$4</definedName>
    <definedName name="位置">定义!$E$2:$E$4</definedName>
    <definedName name="五等判定" localSheetId="45">[1]定义!$W$1:$W$6</definedName>
    <definedName name="五等判定" localSheetId="47">[6]定义!$W$1:$W$6</definedName>
    <definedName name="五等判定" localSheetId="46">[2]定义!$W$1:$W$6</definedName>
    <definedName name="五等判定" localSheetId="49">[3]定义!$W$1:$W$6</definedName>
    <definedName name="五等判定" localSheetId="34">[4]定义!$W$1:$W$6</definedName>
    <definedName name="五等判定" localSheetId="48">[5]定义!$W$1:$W$6</definedName>
    <definedName name="五等判定">定义!$W$1:$W$6</definedName>
    <definedName name="五级">区片价!$M$1:$M$41</definedName>
    <definedName name="项目类型" localSheetId="45">'[1]数据-汇总表'!$C$17:$C$26</definedName>
    <definedName name="项目类型" localSheetId="47">'[6]数据-汇总表'!$C$17:$C$26</definedName>
    <definedName name="项目类型" localSheetId="46">'[2]数据-汇总表'!$C$17:$C$26</definedName>
    <definedName name="项目类型" localSheetId="49">'[3]数据-汇总表'!$C$17:$C$26</definedName>
    <definedName name="项目类型" localSheetId="34">'[4]数据-汇总表'!$C$17:$C$26</definedName>
    <definedName name="项目类型" localSheetId="23">'[8]数据-汇总表'!$C$17:$C$26</definedName>
    <definedName name="项目类型" localSheetId="48">'[5]数据-汇总表'!$C$17:$C$26</definedName>
    <definedName name="项目类型">'数据-汇总表'!$C$17:$C$26</definedName>
    <definedName name="写字楼等级" localSheetId="45">'[1]比较法-办公'!$B$113:$M$113</definedName>
    <definedName name="写字楼等级" localSheetId="47">#REF!</definedName>
    <definedName name="写字楼等级" localSheetId="46">'[2]比较法-办公'!$B$113:$M$113</definedName>
    <definedName name="写字楼等级" localSheetId="49">'[3]租金比较法-商业'!$B$113:$M$113</definedName>
    <definedName name="写字楼等级" localSheetId="34">'[4]比较法-办公'!$B$113:$M$113</definedName>
    <definedName name="写字楼等级" localSheetId="48">'[5]比较法-办公'!$B$113:$M$113</definedName>
    <definedName name="写字楼等级">'比较法-办公'!$B$113:$M$113</definedName>
    <definedName name="一级">区片价!$I$1:$I$6</definedName>
    <definedName name="一修多修正项2" localSheetId="45">[1]典型户型修正!$5:$5</definedName>
    <definedName name="一修多修正项2" localSheetId="47">[6]典型户型修正!$5:$5</definedName>
    <definedName name="一修多修正项2" localSheetId="46">[2]典型户型修正!$5:$5</definedName>
    <definedName name="一修多修正项2" localSheetId="49">[3]典型户型修正!$5:$5</definedName>
    <definedName name="一修多修正项2" localSheetId="34">[4]典型户型修正!$5:$5</definedName>
    <definedName name="一修多修正项2" localSheetId="48">[5]典型户型修正!$5:$5</definedName>
    <definedName name="一修多修正项2">典型户型修正!$5:$5</definedName>
    <definedName name="一修多修正项3" localSheetId="45">[1]典型户型修正!$7:$7</definedName>
    <definedName name="一修多修正项3" localSheetId="47">[6]典型户型修正!$7:$7</definedName>
    <definedName name="一修多修正项3" localSheetId="46">[2]典型户型修正!$7:$7</definedName>
    <definedName name="一修多修正项3" localSheetId="49">[3]典型户型修正!$7:$7</definedName>
    <definedName name="一修多修正项3" localSheetId="34">[4]典型户型修正!$7:$7</definedName>
    <definedName name="一修多修正项3" localSheetId="48">[5]典型户型修正!$7:$7</definedName>
    <definedName name="一修多修正项3">典型户型修正!$7:$7</definedName>
    <definedName name="一修多修正项4" localSheetId="45">[1]典型户型修正!$9:$9</definedName>
    <definedName name="一修多修正项4" localSheetId="47">[6]典型户型修正!$9:$9</definedName>
    <definedName name="一修多修正项4" localSheetId="46">[2]典型户型修正!$9:$9</definedName>
    <definedName name="一修多修正项4" localSheetId="49">[3]典型户型修正!$9:$9</definedName>
    <definedName name="一修多修正项4" localSheetId="34">[4]典型户型修正!$9:$9</definedName>
    <definedName name="一修多修正项4" localSheetId="48">[5]典型户型修正!$9:$9</definedName>
    <definedName name="一修多修正项4">典型户型修正!$9:$9</definedName>
    <definedName name="一修多修正项5" localSheetId="45">[1]典型户型修正!$11:$11</definedName>
    <definedName name="一修多修正项5" localSheetId="47">[6]典型户型修正!$11:$11</definedName>
    <definedName name="一修多修正项5" localSheetId="46">[2]典型户型修正!$11:$11</definedName>
    <definedName name="一修多修正项5" localSheetId="49">[3]典型户型修正!$11:$11</definedName>
    <definedName name="一修多修正项5" localSheetId="34">[4]典型户型修正!$11:$11</definedName>
    <definedName name="一修多修正项5" localSheetId="48">[5]典型户型修正!$11:$11</definedName>
    <definedName name="一修多修正项5">典型户型修正!$11:$11</definedName>
    <definedName name="一修多修正项6" localSheetId="45">[1]典型户型修正!$13:$13</definedName>
    <definedName name="一修多修正项6" localSheetId="47">[6]典型户型修正!$13:$13</definedName>
    <definedName name="一修多修正项6" localSheetId="46">[2]典型户型修正!$13:$13</definedName>
    <definedName name="一修多修正项6" localSheetId="49">[3]典型户型修正!$13:$13</definedName>
    <definedName name="一修多修正项6" localSheetId="34">[4]典型户型修正!$13:$13</definedName>
    <definedName name="一修多修正项6" localSheetId="48">[5]典型户型修正!$13:$13</definedName>
    <definedName name="一修多修正项6">典型户型修正!$13:$13</definedName>
    <definedName name="一修多修正项7" localSheetId="45">[1]典型户型修正!$15:$15</definedName>
    <definedName name="一修多修正项7" localSheetId="47">[6]典型户型修正!$15:$15</definedName>
    <definedName name="一修多修正项7" localSheetId="46">[2]典型户型修正!$15:$15</definedName>
    <definedName name="一修多修正项7" localSheetId="49">[3]典型户型修正!$15:$15</definedName>
    <definedName name="一修多修正项7" localSheetId="34">[4]典型户型修正!$15:$15</definedName>
    <definedName name="一修多修正项7" localSheetId="48">[5]典型户型修正!$15:$15</definedName>
    <definedName name="一修多修正项7">典型户型修正!$15:$15</definedName>
    <definedName name="一修多修正项8" localSheetId="45">[1]典型户型修正!$17:$17</definedName>
    <definedName name="一修多修正项8" localSheetId="47">[6]典型户型修正!$17:$17</definedName>
    <definedName name="一修多修正项8" localSheetId="46">[2]典型户型修正!$17:$17</definedName>
    <definedName name="一修多修正项8" localSheetId="49">[3]典型户型修正!$17:$17</definedName>
    <definedName name="一修多修正项8" localSheetId="34">[4]典型户型修正!$17:$17</definedName>
    <definedName name="一修多修正项8" localSheetId="48">[5]典型户型修正!$17:$17</definedName>
    <definedName name="一修多修正项8">典型户型修正!$17:$17</definedName>
    <definedName name="用途明细" localSheetId="45">[1]定义!$A$1:$A$50</definedName>
    <definedName name="用途明细" localSheetId="47">[6]定义!$A$1:$A$50</definedName>
    <definedName name="用途明细" localSheetId="46">[2]定义!$A$1:$A$50</definedName>
    <definedName name="用途明细" localSheetId="49">[3]定义!$A$1:$A$50</definedName>
    <definedName name="用途明细" localSheetId="34">[4]定义!$A$1:$A$50</definedName>
    <definedName name="用途明细" localSheetId="48">[5]定义!$A$1:$A$50</definedName>
    <definedName name="用途明细">定义!$A$1:$A$50</definedName>
    <definedName name="有无电梯" localSheetId="45">'[1]比较法-仓储'!$B$84:$M$84</definedName>
    <definedName name="有无电梯" localSheetId="47">'[6]比较法-仓储'!$B$84:$M$84</definedName>
    <definedName name="有无电梯" localSheetId="46">'[2]比较法-仓储'!$B$84:$M$84</definedName>
    <definedName name="有无电梯" localSheetId="49">'[3]比较法-仓储'!$B$84:$M$84</definedName>
    <definedName name="有无电梯" localSheetId="34">'[4]比较法-仓储'!$B$84:$M$84</definedName>
    <definedName name="有无电梯" localSheetId="48">'[5]比较法-仓储'!$B$84:$M$84</definedName>
    <definedName name="有无电梯">'比较法-仓储'!$B$84:$M$84</definedName>
    <definedName name="月份">#REF!</definedName>
    <definedName name="主用途" localSheetId="45">[1]定义!$F$1:$F$12</definedName>
    <definedName name="主用途" localSheetId="47">[6]定义!$F$1:$F$12</definedName>
    <definedName name="主用途" localSheetId="46">[2]定义!$F$1:$F$12</definedName>
    <definedName name="主用途" localSheetId="49">[3]定义!$F$1:$F$10</definedName>
    <definedName name="主用途" localSheetId="34">[4]定义!$F$1:$F$10</definedName>
    <definedName name="主用途" localSheetId="48">[5]定义!$F$1:$F$12</definedName>
    <definedName name="主用途">定义!$F$1:$F$12</definedName>
    <definedName name="住宅朝向" localSheetId="45">'[1]比较法-住宅'!$B$88:$M$88</definedName>
    <definedName name="住宅朝向" localSheetId="47">'[6]比较法-住宅'!$B$88:$M$88</definedName>
    <definedName name="住宅朝向" localSheetId="46">'[2]比较法-住宅'!$B$88:$M$88</definedName>
    <definedName name="住宅朝向" localSheetId="49">'[3]比较法-住宅'!$B$88:$M$88</definedName>
    <definedName name="住宅朝向" localSheetId="34">'[4]比较法-住宅'!$B$88:$M$88</definedName>
    <definedName name="住宅朝向" localSheetId="48">'[5]比较法-住宅'!$B$88:$M$88</definedName>
    <definedName name="住宅朝向">'比较法-住宅'!$B$88:$M$88</definedName>
    <definedName name="住宅房型" localSheetId="45">'[1]比较法-住宅'!$B$118:$M$118</definedName>
    <definedName name="住宅房型" localSheetId="47">'[6]比较法-住宅'!$B$118:$M$118</definedName>
    <definedName name="住宅房型" localSheetId="46">'[2]比较法-住宅'!$B$118:$M$118</definedName>
    <definedName name="住宅房型" localSheetId="49">'[3]比较法-住宅'!$B$118:$M$118</definedName>
    <definedName name="住宅房型" localSheetId="34">'[4]比较法-住宅'!$B$118:$M$118</definedName>
    <definedName name="住宅房型" localSheetId="48">'[5]比较法-住宅'!$B$118:$M$118</definedName>
    <definedName name="住宅房型">'比较法-住宅'!$B$118:$M$118</definedName>
    <definedName name="住宅公共部分装修" localSheetId="45">'[1]比较法-住宅'!$B$109:$M$109</definedName>
    <definedName name="住宅公共部分装修" localSheetId="47">'[6]比较法-住宅'!$B$109:$M$109</definedName>
    <definedName name="住宅公共部分装修" localSheetId="46">'[2]比较法-住宅'!$B$109:$M$109</definedName>
    <definedName name="住宅公共部分装修" localSheetId="49">'[3]比较法-住宅'!$B$109:$M$109</definedName>
    <definedName name="住宅公共部分装修" localSheetId="34">'[4]比较法-住宅'!$B$109:$M$109</definedName>
    <definedName name="住宅公共部分装修" localSheetId="48">'[5]比较法-住宅'!$B$109:$M$109</definedName>
    <definedName name="住宅公共部分装修">'比较法-住宅'!$B$109:$M$109</definedName>
    <definedName name="住宅基础设施水平" localSheetId="45">'[1]比较法-住宅'!$B$116:$M$116</definedName>
    <definedName name="住宅基础设施水平" localSheetId="47">'[6]比较法-住宅'!$B$116:$M$116</definedName>
    <definedName name="住宅基础设施水平" localSheetId="46">'[2]比较法-住宅'!$B$116:$M$116</definedName>
    <definedName name="住宅基础设施水平" localSheetId="49">'[3]比较法-住宅'!$B$116:$M$116</definedName>
    <definedName name="住宅基础设施水平" localSheetId="34">'[4]比较法-住宅'!$B$116:$M$116</definedName>
    <definedName name="住宅基础设施水平" localSheetId="48">'[5]比较法-住宅'!$B$116:$M$116</definedName>
    <definedName name="住宅基础设施水平">'比较法-住宅'!$B$116:$M$116</definedName>
    <definedName name="住宅建筑结构" localSheetId="45">'[1]比较法-住宅'!$B$105:$M$105</definedName>
    <definedName name="住宅建筑结构" localSheetId="47">'[6]比较法-住宅'!$B$105:$M$105</definedName>
    <definedName name="住宅建筑结构" localSheetId="46">'[2]比较法-住宅'!$B$105:$M$105</definedName>
    <definedName name="住宅建筑结构" localSheetId="49">'[3]比较法-住宅'!$B$105:$M$105</definedName>
    <definedName name="住宅建筑结构" localSheetId="34">'[4]比较法-住宅'!$B$105:$M$105</definedName>
    <definedName name="住宅建筑结构" localSheetId="48">'[5]比较法-住宅'!$B$105:$M$105</definedName>
    <definedName name="住宅建筑结构">'比较法-住宅'!$B$105:$M$105</definedName>
    <definedName name="住宅建筑类型" localSheetId="45">'[1]比较法-住宅'!$B$100:$M$100</definedName>
    <definedName name="住宅建筑类型" localSheetId="47">'[6]比较法-住宅'!$B$100:$M$100</definedName>
    <definedName name="住宅建筑类型" localSheetId="46">'[2]比较法-住宅'!$B$100:$M$100</definedName>
    <definedName name="住宅建筑类型" localSheetId="49">'[3]比较法-住宅'!$B$100:$M$100</definedName>
    <definedName name="住宅建筑类型" localSheetId="34">'[4]比较法-住宅'!$B$100:$M$100</definedName>
    <definedName name="住宅建筑类型" localSheetId="48">'[5]比较法-住宅'!$B$100:$M$100</definedName>
    <definedName name="住宅建筑类型">'比较法-住宅'!$B$100:$M$100</definedName>
    <definedName name="住宅建筑品质" localSheetId="45">'[1]比较法-住宅'!$B$107:$M$107</definedName>
    <definedName name="住宅建筑品质" localSheetId="47">'[6]比较法-住宅'!$B$107:$M$107</definedName>
    <definedName name="住宅建筑品质" localSheetId="46">'[2]比较法-住宅'!$B$107:$M$107</definedName>
    <definedName name="住宅建筑品质" localSheetId="49">'[3]比较法-住宅'!$B$107:$M$107</definedName>
    <definedName name="住宅建筑品质" localSheetId="34">'[4]比较法-住宅'!$B$107:$M$107</definedName>
    <definedName name="住宅建筑品质" localSheetId="48">'[5]比较法-住宅'!$B$107:$M$107</definedName>
    <definedName name="住宅建筑品质">'比较法-住宅'!$B$107:$M$107</definedName>
    <definedName name="住宅交易情况" localSheetId="45">'[1]比较法-住宅'!$A$61:$M$61</definedName>
    <definedName name="住宅交易情况" localSheetId="47">'[6]比较法-住宅'!$A$61:$M$61</definedName>
    <definedName name="住宅交易情况" localSheetId="46">'[2]比较法-住宅'!$A$61:$M$61</definedName>
    <definedName name="住宅交易情况" localSheetId="49">'[3]比较法-住宅'!$A$61:$M$61</definedName>
    <definedName name="住宅交易情况" localSheetId="34">'[4]比较法-住宅'!$A$61:$M$61</definedName>
    <definedName name="住宅交易情况" localSheetId="48">'[5]比较法-住宅'!$A$61:$M$61</definedName>
    <definedName name="住宅交易情况">'比较法-住宅'!$A$61:$M$61</definedName>
    <definedName name="住宅楼层" localSheetId="45">'[1]比较法-住宅'!$B$86:$M$86</definedName>
    <definedName name="住宅楼层" localSheetId="47">'[6]比较法-住宅'!$B$86:$M$86</definedName>
    <definedName name="住宅楼层" localSheetId="46">'[2]比较法-住宅'!$B$86:$M$86</definedName>
    <definedName name="住宅楼层" localSheetId="49">'[3]比较法-住宅'!$B$86:$M$86</definedName>
    <definedName name="住宅楼层" localSheetId="34">'[4]比较法-住宅'!$B$86:$M$86</definedName>
    <definedName name="住宅楼层" localSheetId="48">'[5]比较法-住宅'!$B$86:$M$86</definedName>
    <definedName name="住宅楼层">'比较法-住宅'!$B$86:$M$86</definedName>
    <definedName name="住宅内部装修" localSheetId="45">'[1]比较法-住宅'!$B$122:$M$122</definedName>
    <definedName name="住宅内部装修" localSheetId="47">'[6]比较法-住宅'!$B$122:$M$122</definedName>
    <definedName name="住宅内部装修" localSheetId="46">'[2]比较法-住宅'!$B$122:$M$122</definedName>
    <definedName name="住宅内部装修" localSheetId="49">'[3]比较法-住宅'!$B$122:$M$122</definedName>
    <definedName name="住宅内部装修" localSheetId="34">'[4]比较法-住宅'!$B$122:$M$122</definedName>
    <definedName name="住宅内部装修" localSheetId="48">'[5]比较法-住宅'!$B$122:$M$122</definedName>
    <definedName name="住宅内部装修">'比较法-住宅'!$B$122:$M$122</definedName>
    <definedName name="住宅物业管理" localSheetId="45">'[1]比较法-住宅'!$B$114:$M$114</definedName>
    <definedName name="住宅物业管理" localSheetId="47">'[6]比较法-住宅'!$B$114:$M$114</definedName>
    <definedName name="住宅物业管理" localSheetId="46">'[2]比较法-住宅'!$B$114:$M$114</definedName>
    <definedName name="住宅物业管理" localSheetId="49">'[3]比较法-住宅'!$B$114:$M$114</definedName>
    <definedName name="住宅物业管理" localSheetId="34">'[4]比较法-住宅'!$B$114:$M$114</definedName>
    <definedName name="住宅物业管理" localSheetId="48">'[5]比较法-住宅'!$B$114:$M$114</definedName>
    <definedName name="住宅物业管理">'比较法-住宅'!$B$114:$M$114</definedName>
    <definedName name="住宅用途" localSheetId="45">'[1]比较法-住宅'!$B$63:$M$63</definedName>
    <definedName name="住宅用途" localSheetId="47">'[6]比较法-住宅'!$B$63:$M$63</definedName>
    <definedName name="住宅用途" localSheetId="46">'[2]比较法-住宅'!$B$63:$M$63</definedName>
    <definedName name="住宅用途" localSheetId="49">'[3]比较法-住宅'!$B$63:$M$63</definedName>
    <definedName name="住宅用途" localSheetId="34">'[4]比较法-住宅'!$B$63:$M$63</definedName>
    <definedName name="住宅用途" localSheetId="48">'[5]比较法-住宅'!$B$63:$M$63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 localSheetId="47">[6]估价师及机构信息!$A$3:$A$16</definedName>
    <definedName name="注册房地产估价师" localSheetId="46">[2]估价师及机构信息!$A$3:$A$16</definedName>
    <definedName name="注册房地产估价师" localSheetId="49">[3]估价师及机构信息!$A$3:$A$16</definedName>
    <definedName name="注册房地产估价师" localSheetId="34">[4]估价师及机构信息!$A$3:$A$24</definedName>
    <definedName name="注册房地产估价师" localSheetId="48">[5]估价师及机构信息!$A$3:$A$16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89" i="85" l="1"/>
  <c r="E66" i="85"/>
  <c r="F66" i="85"/>
  <c r="D66" i="85"/>
  <c r="C50" i="33" l="1"/>
  <c r="G10" i="74" l="1"/>
  <c r="I10" i="85"/>
  <c r="G10" i="85"/>
  <c r="E10" i="85"/>
  <c r="C10" i="85"/>
  <c r="M76" i="90" l="1"/>
  <c r="M55" i="90"/>
  <c r="M13" i="90"/>
  <c r="I8" i="81"/>
  <c r="E104" i="85"/>
  <c r="F104" i="85" s="1"/>
  <c r="G104" i="85" s="1"/>
  <c r="H104" i="85" s="1"/>
  <c r="I104" i="85" s="1"/>
  <c r="D104" i="85"/>
  <c r="C5" i="85"/>
  <c r="G47" i="33" l="1"/>
  <c r="G33" i="33"/>
  <c r="D112" i="33" l="1"/>
  <c r="E112" i="33"/>
  <c r="F112" i="33"/>
  <c r="C112" i="33"/>
  <c r="E104" i="33"/>
  <c r="F104" i="33" s="1"/>
  <c r="G104" i="33" s="1"/>
  <c r="H104" i="33" s="1"/>
  <c r="I104" i="33" s="1"/>
  <c r="D104" i="33"/>
  <c r="I47" i="33"/>
  <c r="E47" i="33"/>
  <c r="I33" i="33"/>
  <c r="E33" i="33"/>
  <c r="L108" i="88" l="1"/>
  <c r="M108" i="88" s="1"/>
  <c r="F108" i="88"/>
  <c r="L107" i="88"/>
  <c r="M107" i="88" s="1"/>
  <c r="F107" i="88"/>
  <c r="L106" i="88"/>
  <c r="M106" i="88" s="1"/>
  <c r="F106" i="88"/>
  <c r="G106" i="88" s="1"/>
  <c r="M105" i="88"/>
  <c r="L105" i="88"/>
  <c r="F105" i="88"/>
  <c r="F104" i="88"/>
  <c r="M104" i="88" s="1"/>
  <c r="L103" i="88"/>
  <c r="M103" i="88" s="1"/>
  <c r="M109" i="88" s="1"/>
  <c r="F103" i="88"/>
  <c r="F109" i="88" s="1"/>
  <c r="G98" i="88"/>
  <c r="H98" i="88" s="1"/>
  <c r="F98" i="88"/>
  <c r="D108" i="88" s="1"/>
  <c r="B98" i="88"/>
  <c r="C108" i="88" s="1"/>
  <c r="M97" i="88"/>
  <c r="L97" i="88"/>
  <c r="M96" i="88"/>
  <c r="L96" i="88"/>
  <c r="M95" i="88"/>
  <c r="L95" i="88"/>
  <c r="M94" i="88"/>
  <c r="L94" i="88"/>
  <c r="M93" i="88"/>
  <c r="L93" i="88"/>
  <c r="M92" i="88"/>
  <c r="L92" i="88"/>
  <c r="M91" i="88"/>
  <c r="L91" i="88"/>
  <c r="M90" i="88"/>
  <c r="L90" i="88"/>
  <c r="M89" i="88"/>
  <c r="L89" i="88"/>
  <c r="M88" i="88"/>
  <c r="L88" i="88"/>
  <c r="M87" i="88"/>
  <c r="L87" i="88"/>
  <c r="M86" i="88"/>
  <c r="M98" i="88" s="1"/>
  <c r="L86" i="88"/>
  <c r="L98" i="88" s="1"/>
  <c r="H85" i="88"/>
  <c r="G85" i="88"/>
  <c r="F85" i="88"/>
  <c r="D107" i="88" s="1"/>
  <c r="M84" i="88"/>
  <c r="L84" i="88"/>
  <c r="M83" i="88"/>
  <c r="L83" i="88"/>
  <c r="M82" i="88"/>
  <c r="L82" i="88"/>
  <c r="M81" i="88"/>
  <c r="L81" i="88"/>
  <c r="M80" i="88"/>
  <c r="L80" i="88"/>
  <c r="M79" i="88"/>
  <c r="L79" i="88"/>
  <c r="M78" i="88"/>
  <c r="L78" i="88"/>
  <c r="M77" i="88"/>
  <c r="L77" i="88"/>
  <c r="M76" i="88"/>
  <c r="L76" i="88"/>
  <c r="M75" i="88"/>
  <c r="M85" i="88" s="1"/>
  <c r="L75" i="88"/>
  <c r="L85" i="88" s="1"/>
  <c r="O85" i="88" s="1"/>
  <c r="H107" i="88" s="1"/>
  <c r="G74" i="88"/>
  <c r="B74" i="88" s="1"/>
  <c r="F74" i="88"/>
  <c r="D106" i="88" s="1"/>
  <c r="M73" i="88"/>
  <c r="L73" i="88"/>
  <c r="M72" i="88"/>
  <c r="L72" i="88"/>
  <c r="M71" i="88"/>
  <c r="L71" i="88"/>
  <c r="M69" i="88"/>
  <c r="L69" i="88"/>
  <c r="M68" i="88"/>
  <c r="L68" i="88"/>
  <c r="M67" i="88"/>
  <c r="L67" i="88"/>
  <c r="M66" i="88"/>
  <c r="L66" i="88"/>
  <c r="M65" i="88"/>
  <c r="L65" i="88"/>
  <c r="M64" i="88"/>
  <c r="L64" i="88"/>
  <c r="M63" i="88"/>
  <c r="L63" i="88"/>
  <c r="M62" i="88"/>
  <c r="L62" i="88"/>
  <c r="M60" i="88"/>
  <c r="L60" i="88"/>
  <c r="M59" i="88"/>
  <c r="L59" i="88"/>
  <c r="M58" i="88"/>
  <c r="L58" i="88"/>
  <c r="M57" i="88"/>
  <c r="L57" i="88"/>
  <c r="M56" i="88"/>
  <c r="M74" i="88" s="1"/>
  <c r="L56" i="88"/>
  <c r="L74" i="88" s="1"/>
  <c r="O74" i="88" s="1"/>
  <c r="H106" i="88" s="1"/>
  <c r="I106" i="88" s="1"/>
  <c r="J106" i="88" s="1"/>
  <c r="G55" i="88"/>
  <c r="H55" i="88" s="1"/>
  <c r="F55" i="88"/>
  <c r="D105" i="88" s="1"/>
  <c r="L54" i="88"/>
  <c r="L53" i="88"/>
  <c r="L52" i="88"/>
  <c r="L51" i="88"/>
  <c r="L50" i="88"/>
  <c r="Q49" i="88"/>
  <c r="P49" i="88"/>
  <c r="M49" i="88"/>
  <c r="L49" i="88"/>
  <c r="Q48" i="88"/>
  <c r="P48" i="88"/>
  <c r="M48" i="88"/>
  <c r="L48" i="88"/>
  <c r="Q47" i="88"/>
  <c r="P47" i="88"/>
  <c r="Q46" i="88"/>
  <c r="P46" i="88"/>
  <c r="Q45" i="88"/>
  <c r="M45" i="88"/>
  <c r="L45" i="88"/>
  <c r="P45" i="88" s="1"/>
  <c r="Q44" i="88"/>
  <c r="M44" i="88"/>
  <c r="L44" i="88"/>
  <c r="P44" i="88" s="1"/>
  <c r="L43" i="88"/>
  <c r="Q42" i="88"/>
  <c r="P42" i="88"/>
  <c r="Q41" i="88"/>
  <c r="P41" i="88"/>
  <c r="M41" i="88"/>
  <c r="L41" i="88"/>
  <c r="Q40" i="88"/>
  <c r="P40" i="88"/>
  <c r="M40" i="88"/>
  <c r="L40" i="88"/>
  <c r="Q39" i="88"/>
  <c r="P39" i="88"/>
  <c r="M39" i="88"/>
  <c r="L39" i="88"/>
  <c r="Q38" i="88"/>
  <c r="P38" i="88"/>
  <c r="M38" i="88"/>
  <c r="L38" i="88"/>
  <c r="Q37" i="88"/>
  <c r="P37" i="88"/>
  <c r="M37" i="88"/>
  <c r="L37" i="88"/>
  <c r="Q36" i="88"/>
  <c r="P36" i="88"/>
  <c r="M36" i="88"/>
  <c r="L36" i="88"/>
  <c r="Q35" i="88"/>
  <c r="P35" i="88"/>
  <c r="M35" i="88"/>
  <c r="L35" i="88"/>
  <c r="Q34" i="88"/>
  <c r="Q55" i="88" s="1"/>
  <c r="P34" i="88"/>
  <c r="P55" i="88" s="1"/>
  <c r="R55" i="88" s="1"/>
  <c r="H105" i="88" s="1"/>
  <c r="M34" i="88"/>
  <c r="M55" i="88" s="1"/>
  <c r="L34" i="88"/>
  <c r="L55" i="88" s="1"/>
  <c r="O55" i="88" s="1"/>
  <c r="G33" i="88"/>
  <c r="F33" i="88"/>
  <c r="D104" i="88" s="1"/>
  <c r="M32" i="88"/>
  <c r="L32" i="88"/>
  <c r="M31" i="88"/>
  <c r="L31" i="88"/>
  <c r="M30" i="88"/>
  <c r="L30" i="88"/>
  <c r="M29" i="88"/>
  <c r="L29" i="88"/>
  <c r="M28" i="88"/>
  <c r="L28" i="88"/>
  <c r="M27" i="88"/>
  <c r="L27" i="88"/>
  <c r="M26" i="88"/>
  <c r="M33" i="88" s="1"/>
  <c r="M25" i="88"/>
  <c r="L25" i="88"/>
  <c r="M24" i="88"/>
  <c r="L24" i="88"/>
  <c r="M23" i="88"/>
  <c r="L23" i="88"/>
  <c r="M22" i="88"/>
  <c r="L22" i="88"/>
  <c r="M21" i="88"/>
  <c r="L21" i="88"/>
  <c r="M20" i="88"/>
  <c r="L20" i="88"/>
  <c r="M19" i="88"/>
  <c r="L19" i="88"/>
  <c r="M18" i="88"/>
  <c r="L18" i="88"/>
  <c r="M17" i="88"/>
  <c r="L17" i="88"/>
  <c r="M16" i="88"/>
  <c r="L16" i="88"/>
  <c r="M15" i="88"/>
  <c r="L15" i="88"/>
  <c r="L33" i="88" s="1"/>
  <c r="O33" i="88" s="1"/>
  <c r="H104" i="88" s="1"/>
  <c r="H14" i="88"/>
  <c r="G14" i="88"/>
  <c r="F14" i="88"/>
  <c r="B14" i="88" s="1"/>
  <c r="C103" i="88" s="1"/>
  <c r="M12" i="88"/>
  <c r="L12" i="88"/>
  <c r="M11" i="88"/>
  <c r="L11" i="88"/>
  <c r="L10" i="88"/>
  <c r="M9" i="88"/>
  <c r="L9" i="88"/>
  <c r="M7" i="88"/>
  <c r="L7" i="88"/>
  <c r="M5" i="88"/>
  <c r="L5" i="88"/>
  <c r="L4" i="88"/>
  <c r="M3" i="88"/>
  <c r="M14" i="88" s="1"/>
  <c r="L3" i="88"/>
  <c r="L14" i="88" s="1"/>
  <c r="O14" i="88" s="1"/>
  <c r="H103" i="88" s="1"/>
  <c r="E106" i="88" l="1"/>
  <c r="B106" i="88"/>
  <c r="L99" i="88"/>
  <c r="O98" i="88"/>
  <c r="H108" i="88" s="1"/>
  <c r="I108" i="88" s="1"/>
  <c r="J108" i="88" s="1"/>
  <c r="E108" i="88"/>
  <c r="G108" i="88"/>
  <c r="L109" i="88"/>
  <c r="I103" i="88"/>
  <c r="I107" i="88"/>
  <c r="J107" i="88" s="1"/>
  <c r="M99" i="88"/>
  <c r="B108" i="88"/>
  <c r="G103" i="88"/>
  <c r="B105" i="88"/>
  <c r="H33" i="88"/>
  <c r="B55" i="88"/>
  <c r="C105" i="88" s="1"/>
  <c r="F99" i="88"/>
  <c r="B33" i="88"/>
  <c r="C104" i="88" s="1"/>
  <c r="H74" i="88"/>
  <c r="B85" i="88"/>
  <c r="C107" i="88" s="1"/>
  <c r="G99" i="88"/>
  <c r="D103" i="88"/>
  <c r="D109" i="88" l="1"/>
  <c r="B103" i="88"/>
  <c r="E104" i="88"/>
  <c r="G104" i="88"/>
  <c r="I104" i="88"/>
  <c r="J104" i="88" s="1"/>
  <c r="K106" i="88" s="1"/>
  <c r="E103" i="88"/>
  <c r="K107" i="88"/>
  <c r="B99" i="88"/>
  <c r="B104" i="88"/>
  <c r="C109" i="88"/>
  <c r="G109" i="88" s="1"/>
  <c r="E107" i="88"/>
  <c r="G107" i="88"/>
  <c r="G105" i="88"/>
  <c r="E105" i="88"/>
  <c r="I105" i="88"/>
  <c r="J105" i="88" s="1"/>
  <c r="I109" i="88"/>
  <c r="J109" i="88" s="1"/>
  <c r="J103" i="88"/>
  <c r="K103" i="88" s="1"/>
  <c r="B107" i="88"/>
  <c r="K108" i="88"/>
  <c r="S21" i="81"/>
  <c r="E109" i="88" l="1"/>
  <c r="E110" i="88" s="1"/>
  <c r="D110" i="88"/>
  <c r="B109" i="88"/>
  <c r="D3" i="4" l="1"/>
  <c r="H40" i="81" l="1"/>
  <c r="M50" i="86"/>
  <c r="M104" i="87"/>
  <c r="T22" i="81" l="1"/>
  <c r="T47" i="85" l="1"/>
  <c r="H3" i="83"/>
  <c r="H4" i="83" s="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H30" i="85" s="1"/>
  <c r="AB30" i="85" s="1"/>
  <c r="B94" i="85"/>
  <c r="H29" i="85" s="1"/>
  <c r="AB29" i="85" s="1"/>
  <c r="B92" i="85"/>
  <c r="D91" i="85"/>
  <c r="E91" i="85" s="1"/>
  <c r="B90" i="85"/>
  <c r="B88" i="85"/>
  <c r="D87" i="85"/>
  <c r="E87" i="85" s="1"/>
  <c r="F87" i="85" s="1"/>
  <c r="G87" i="85" s="1"/>
  <c r="H87" i="85" s="1"/>
  <c r="I87" i="85" s="1"/>
  <c r="J87" i="85" s="1"/>
  <c r="K87" i="85" s="1"/>
  <c r="L87" i="85" s="1"/>
  <c r="M87" i="85" s="1"/>
  <c r="E85" i="85"/>
  <c r="F85" i="85" s="1"/>
  <c r="G85" i="85" s="1"/>
  <c r="D85" i="85"/>
  <c r="D83" i="85"/>
  <c r="J21" i="85" s="1"/>
  <c r="AC21" i="85" s="1"/>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H9" i="85" s="1"/>
  <c r="AB9" i="85" s="1"/>
  <c r="P49" i="85"/>
  <c r="P48" i="85"/>
  <c r="K48" i="85"/>
  <c r="P47" i="85"/>
  <c r="I54" i="85"/>
  <c r="J54" i="85" s="1"/>
  <c r="Q46" i="85"/>
  <c r="Z46" i="85" s="1"/>
  <c r="H46" i="85"/>
  <c r="AB46" i="85" s="1"/>
  <c r="Q45" i="85"/>
  <c r="Z45" i="85" s="1"/>
  <c r="J45" i="85"/>
  <c r="AC45" i="85" s="1"/>
  <c r="H45" i="85"/>
  <c r="AB45" i="85" s="1"/>
  <c r="F45" i="85"/>
  <c r="Q44" i="85"/>
  <c r="Z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Q29" i="85"/>
  <c r="Z29" i="85" s="1"/>
  <c r="J29" i="85"/>
  <c r="AC29" i="85" s="1"/>
  <c r="Q28" i="85"/>
  <c r="Z28" i="85" s="1"/>
  <c r="J28" i="85"/>
  <c r="AC28" i="85" s="1"/>
  <c r="H28" i="85"/>
  <c r="AB28" i="85" s="1"/>
  <c r="F28" i="85"/>
  <c r="AA28" i="85" s="1"/>
  <c r="Q27" i="85"/>
  <c r="Z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C21" i="85"/>
  <c r="Q19" i="85"/>
  <c r="Z19" i="85" s="1"/>
  <c r="J19" i="85"/>
  <c r="H19" i="85"/>
  <c r="AB19" i="85" s="1"/>
  <c r="F19" i="85"/>
  <c r="C19" i="85"/>
  <c r="Q17" i="85"/>
  <c r="Z17" i="85" s="1"/>
  <c r="H17" i="85"/>
  <c r="AB17" i="85" s="1"/>
  <c r="C17" i="85"/>
  <c r="Q15" i="85"/>
  <c r="Z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J8" i="85"/>
  <c r="W8" i="85" s="1"/>
  <c r="H8" i="85"/>
  <c r="AB8" i="85" s="1"/>
  <c r="F8" i="85"/>
  <c r="S8" i="85" s="1"/>
  <c r="H26" i="81"/>
  <c r="E26" i="81" s="1"/>
  <c r="D2" i="85"/>
  <c r="F91" i="85" l="1"/>
  <c r="G91" i="85" s="1"/>
  <c r="H91" i="85" s="1"/>
  <c r="I91" i="85" s="1"/>
  <c r="J91" i="85" s="1"/>
  <c r="K91" i="85" s="1"/>
  <c r="L91" i="85" s="1"/>
  <c r="M91" i="85" s="1"/>
  <c r="F27" i="85"/>
  <c r="AA27" i="85" s="1"/>
  <c r="F21" i="85"/>
  <c r="AA21" i="85" s="1"/>
  <c r="H39" i="85"/>
  <c r="AB39" i="85" s="1"/>
  <c r="E83" i="85"/>
  <c r="F83" i="85" s="1"/>
  <c r="G83" i="85" s="1"/>
  <c r="H15" i="85"/>
  <c r="AB15" i="85" s="1"/>
  <c r="F9" i="85"/>
  <c r="AA9" i="85" s="1"/>
  <c r="J15" i="85"/>
  <c r="AC15" i="85" s="1"/>
  <c r="H21" i="85"/>
  <c r="AB21" i="85" s="1"/>
  <c r="F30" i="85"/>
  <c r="AA30" i="85" s="1"/>
  <c r="H44" i="85"/>
  <c r="AB44" i="85" s="1"/>
  <c r="H27" i="85"/>
  <c r="AB27"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W14" i="85"/>
  <c r="S15" i="85"/>
  <c r="AA19" i="85"/>
  <c r="S19" i="85"/>
  <c r="AC19" i="85"/>
  <c r="W19" i="85"/>
  <c r="AA8" i="85"/>
  <c r="AC8" i="85"/>
  <c r="S9" i="85"/>
  <c r="W9" i="85"/>
  <c r="S11" i="85"/>
  <c r="W11" i="85"/>
  <c r="U12" i="85"/>
  <c r="S13" i="85"/>
  <c r="W13" i="85"/>
  <c r="U14" i="85"/>
  <c r="U17" i="85"/>
  <c r="U19" i="85"/>
  <c r="U21" i="85"/>
  <c r="U23" i="85"/>
  <c r="S25" i="85"/>
  <c r="W25" i="85"/>
  <c r="U26" i="85"/>
  <c r="U28" i="85"/>
  <c r="W29" i="85"/>
  <c r="U30" i="85"/>
  <c r="S31" i="85"/>
  <c r="U32" i="85"/>
  <c r="U34" i="85"/>
  <c r="S35" i="85"/>
  <c r="W35" i="85"/>
  <c r="U36" i="85"/>
  <c r="S37" i="85"/>
  <c r="W37" i="85"/>
  <c r="U38" i="85"/>
  <c r="U40" i="85"/>
  <c r="S41" i="85"/>
  <c r="W41" i="85"/>
  <c r="U42" i="85"/>
  <c r="AA45" i="85"/>
  <c r="S45" i="85"/>
  <c r="S21" i="85"/>
  <c r="W21" i="85"/>
  <c r="S23" i="85"/>
  <c r="W23" i="85"/>
  <c r="U25" i="85"/>
  <c r="S26" i="85"/>
  <c r="W26" i="85"/>
  <c r="S28" i="85"/>
  <c r="W28" i="85"/>
  <c r="U29" i="85"/>
  <c r="S30" i="85"/>
  <c r="W30" i="85"/>
  <c r="U31" i="85"/>
  <c r="S32" i="85"/>
  <c r="W32" i="85"/>
  <c r="S34" i="85"/>
  <c r="W34" i="85"/>
  <c r="U35" i="85"/>
  <c r="S36" i="85"/>
  <c r="W36" i="85"/>
  <c r="U37" i="85"/>
  <c r="S38" i="85"/>
  <c r="W38" i="85"/>
  <c r="S40" i="85"/>
  <c r="W40" i="85"/>
  <c r="U41" i="85"/>
  <c r="U43" i="85"/>
  <c r="W44" i="85"/>
  <c r="W46" i="85"/>
  <c r="R47" i="85"/>
  <c r="V47" i="85"/>
  <c r="W45" i="85"/>
  <c r="U46" i="85"/>
  <c r="G54" i="85"/>
  <c r="H54" i="85" s="1"/>
  <c r="U44" i="85" l="1"/>
  <c r="S27" i="85"/>
  <c r="U39" i="85"/>
  <c r="U15" i="85"/>
  <c r="S46" i="85"/>
  <c r="U27" i="85"/>
  <c r="W15" i="85"/>
  <c r="S29" i="85"/>
  <c r="W43" i="85"/>
  <c r="W31" i="85"/>
  <c r="S14" i="85"/>
  <c r="W39" i="85"/>
  <c r="W42" i="85"/>
  <c r="W27" i="85"/>
  <c r="W17" i="85"/>
  <c r="S17" i="85"/>
  <c r="S10" i="85"/>
  <c r="U10" i="85"/>
  <c r="W10" i="85"/>
  <c r="S42" i="85"/>
  <c r="S44" i="85"/>
  <c r="S43" i="85"/>
  <c r="S39" i="85"/>
  <c r="S12" i="85"/>
  <c r="G13" i="73" l="1"/>
  <c r="F13" i="73"/>
  <c r="E13" i="73"/>
  <c r="J38" i="81" l="1"/>
  <c r="B35" i="1" l="1"/>
  <c r="B21" i="1"/>
  <c r="N18" i="1"/>
  <c r="N20" i="1" s="1"/>
  <c r="N6" i="1" s="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F30" i="33"/>
  <c r="S30" i="33" s="1"/>
  <c r="J30" i="33"/>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U30" i="33"/>
  <c r="AA47" i="34"/>
  <c r="S19" i="39"/>
  <c r="F12" i="33"/>
  <c r="S12" i="33" s="1"/>
  <c r="H12" i="39"/>
  <c r="AB12" i="39" s="1"/>
  <c r="F39" i="40"/>
  <c r="AA39" i="40" s="1"/>
  <c r="BA14" i="3"/>
  <c r="AZ14" i="3" s="1"/>
  <c r="AZ281" i="3"/>
  <c r="AZ286" i="3"/>
  <c r="AZ173" i="3"/>
  <c r="B12" i="1"/>
  <c r="E12" i="1" s="1"/>
  <c r="B10" i="1"/>
  <c r="E10" i="1" s="1"/>
  <c r="AZ80" i="3"/>
  <c r="AZ84" i="3"/>
  <c r="AZ88" i="3"/>
  <c r="K12" i="1"/>
  <c r="M12" i="1" s="1"/>
  <c r="S13" i="1"/>
  <c r="AR13" i="1" s="1"/>
  <c r="R13" i="1"/>
  <c r="J51" i="67"/>
  <c r="C42" i="1"/>
  <c r="C24" i="12" s="1"/>
  <c r="AC34" i="33"/>
  <c r="B41" i="1"/>
  <c r="F28" i="15" s="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AB29" i="33"/>
  <c r="W38" i="33"/>
  <c r="H41" i="33"/>
  <c r="U41" i="33" s="1"/>
  <c r="F121" i="33"/>
  <c r="G121" i="33"/>
  <c r="H121" i="33" s="1"/>
  <c r="I121" i="33" s="1"/>
  <c r="J121" i="33" s="1"/>
  <c r="K121" i="33" s="1"/>
  <c r="L121" i="33" s="1"/>
  <c r="M121" i="33" s="1"/>
  <c r="J35" i="33"/>
  <c r="AC35" i="33" s="1"/>
  <c r="S37" i="33"/>
  <c r="AA37" i="33"/>
  <c r="S46" i="33"/>
  <c r="W43" i="33"/>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U38" i="33"/>
  <c r="AA30" i="33"/>
  <c r="AC30" i="33"/>
  <c r="W30" i="33"/>
  <c r="S31" i="33"/>
  <c r="W13" i="33"/>
  <c r="S28"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S39" i="40"/>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19" i="9"/>
  <c r="F36" i="67"/>
  <c r="B10" i="76"/>
  <c r="J15" i="15"/>
  <c r="B13" i="76"/>
  <c r="C20" i="9"/>
  <c r="F38" i="15"/>
  <c r="E13" i="76"/>
  <c r="E9" i="76"/>
  <c r="F7" i="73"/>
  <c r="D19" i="9"/>
  <c r="M23" i="15"/>
  <c r="F40" i="67"/>
  <c r="F7" i="15"/>
  <c r="B8" i="76"/>
  <c r="D3" i="73"/>
  <c r="B9" i="76"/>
  <c r="F20" i="31"/>
  <c r="E8" i="76"/>
  <c r="D20" i="9"/>
  <c r="B12" i="76"/>
  <c r="D34" i="9"/>
  <c r="AO13" i="1"/>
  <c r="B11" i="76"/>
  <c r="E2" i="68"/>
  <c r="E10" i="76"/>
  <c r="F3" i="73"/>
  <c r="M23" i="67"/>
  <c r="F8" i="15"/>
  <c r="E12" i="76"/>
  <c r="M6" i="15"/>
  <c r="F13" i="15"/>
  <c r="E11" i="76"/>
  <c r="E2" i="69"/>
  <c r="F5" i="73"/>
  <c r="M6" i="67"/>
  <c r="B7" i="76"/>
  <c r="L48" i="15"/>
  <c r="E7" i="76"/>
  <c r="M22" i="67"/>
  <c r="F6" i="73"/>
  <c r="D35" i="9"/>
  <c r="M29" i="15"/>
  <c r="F26" i="15"/>
  <c r="F4" i="73"/>
  <c r="D5" i="73"/>
  <c r="H25" i="33" l="1"/>
  <c r="U25" i="33" s="1"/>
  <c r="U37" i="33"/>
  <c r="AC37" i="33"/>
  <c r="U44" i="33"/>
  <c r="F32" i="67"/>
  <c r="F60" i="67" s="1"/>
  <c r="F28" i="67"/>
  <c r="D68" i="9"/>
  <c r="C33" i="85"/>
  <c r="U2" i="43"/>
  <c r="H50" i="43"/>
  <c r="E7" i="33"/>
  <c r="G7" i="33" s="1"/>
  <c r="I7" i="33" s="1"/>
  <c r="S32" i="33"/>
  <c r="AC17" i="33"/>
  <c r="C15" i="39"/>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E14" i="6" s="1"/>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U46" i="33"/>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F6" i="15"/>
  <c r="M22" i="15"/>
  <c r="F38" i="67"/>
  <c r="M9" i="67"/>
  <c r="F27" i="69"/>
  <c r="C76" i="15"/>
  <c r="D7" i="73"/>
  <c r="F40" i="15"/>
  <c r="F13" i="67"/>
  <c r="F9" i="67"/>
  <c r="G1" i="73"/>
  <c r="M26" i="67"/>
  <c r="M28" i="67"/>
  <c r="L47" i="67"/>
  <c r="M24" i="67"/>
  <c r="D6" i="73"/>
  <c r="F16" i="67"/>
  <c r="D9" i="69"/>
  <c r="F37" i="15"/>
  <c r="J15" i="67"/>
  <c r="F36" i="15"/>
  <c r="M28" i="15"/>
  <c r="D4" i="73"/>
  <c r="M8" i="67"/>
  <c r="M26" i="15"/>
  <c r="C36" i="69"/>
  <c r="M24" i="15"/>
  <c r="M9" i="15"/>
  <c r="L48" i="67"/>
  <c r="F42" i="67"/>
  <c r="F6" i="67"/>
  <c r="F16" i="15"/>
  <c r="M8" i="15"/>
  <c r="F9" i="15"/>
  <c r="L47" i="15"/>
  <c r="C76" i="67"/>
  <c r="F42" i="15"/>
  <c r="F26" i="67"/>
  <c r="F43" i="15"/>
  <c r="F37" i="67"/>
  <c r="F8" i="67"/>
  <c r="AB25" i="33" l="1"/>
  <c r="U42" i="33"/>
  <c r="J7" i="36"/>
  <c r="W32" i="33"/>
  <c r="S27" i="33"/>
  <c r="N94" i="46"/>
  <c r="G26" i="43"/>
  <c r="U15" i="33"/>
  <c r="J57" i="67"/>
  <c r="J55" i="67" s="1"/>
  <c r="J58" i="67" s="1"/>
  <c r="Q50" i="67" s="1"/>
  <c r="I54" i="67"/>
  <c r="J53" i="67"/>
  <c r="Q52" i="67" s="1"/>
  <c r="L56" i="67"/>
  <c r="N59" i="67"/>
  <c r="L58" i="67"/>
  <c r="Q60" i="67" s="1"/>
  <c r="L59" i="67"/>
  <c r="Q61" i="67" s="1"/>
  <c r="M59" i="67"/>
  <c r="F51" i="67"/>
  <c r="F66" i="67"/>
  <c r="E63" i="39"/>
  <c r="E59" i="40"/>
  <c r="I5" i="81"/>
  <c r="I24" i="43"/>
  <c r="C24" i="43" s="1"/>
  <c r="AC9" i="36"/>
  <c r="W9" i="36"/>
  <c r="W31" i="39"/>
  <c r="AC31" i="39"/>
  <c r="U14" i="21"/>
  <c r="AB14" i="21"/>
  <c r="AA46" i="21"/>
  <c r="S46" i="21"/>
  <c r="B20" i="31"/>
  <c r="B21" i="31" s="1"/>
  <c r="N370" i="46"/>
  <c r="F26" i="43"/>
  <c r="E13" i="6"/>
  <c r="E58" i="40" s="1"/>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339"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E409" i="3"/>
  <c r="E27" i="3"/>
  <c r="D63" i="71"/>
  <c r="C64" i="71"/>
  <c r="AP6" i="1"/>
  <c r="AZ450" i="3"/>
  <c r="AZ402" i="3"/>
  <c r="AZ550" i="3"/>
  <c r="U25" i="37"/>
  <c r="AB25" i="37"/>
  <c r="AB38" i="40"/>
  <c r="U38" i="40"/>
  <c r="U12" i="36"/>
  <c r="AB12" i="36"/>
  <c r="U9" i="34"/>
  <c r="AB9" i="34"/>
  <c r="BL5" i="3"/>
  <c r="F30" i="6"/>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D5" i="43"/>
  <c r="C7" i="43"/>
  <c r="C5" i="43" s="1"/>
  <c r="D10" i="52"/>
  <c r="D125" i="9"/>
  <c r="D11" i="52" s="1"/>
  <c r="B7" i="74"/>
  <c r="C7" i="74" s="1"/>
  <c r="F67" i="39"/>
  <c r="F59" i="67"/>
  <c r="H7" i="37"/>
  <c r="AB7" i="37" s="1"/>
  <c r="T42" i="37" s="1"/>
  <c r="G42" i="37" s="1"/>
  <c r="B40" i="1"/>
  <c r="H7" i="33"/>
  <c r="J7" i="33"/>
  <c r="D65" i="40"/>
  <c r="E63" i="40"/>
  <c r="F48" i="35"/>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F43" i="67"/>
  <c r="F7" i="67"/>
  <c r="M29" i="67"/>
  <c r="C16" i="15"/>
  <c r="E560" i="3" l="1"/>
  <c r="E41" i="3"/>
  <c r="E45" i="3"/>
  <c r="E391" i="3"/>
  <c r="E273" i="3"/>
  <c r="E281" i="3"/>
  <c r="E515" i="3"/>
  <c r="E416" i="3"/>
  <c r="E345" i="3"/>
  <c r="E568" i="3"/>
  <c r="E39" i="3"/>
  <c r="E493" i="3"/>
  <c r="E62" i="39"/>
  <c r="E318" i="3"/>
  <c r="S6" i="3"/>
  <c r="E368" i="3"/>
  <c r="E212" i="3"/>
  <c r="E308" i="3"/>
  <c r="E462" i="3"/>
  <c r="E446" i="3"/>
  <c r="E571" i="3"/>
  <c r="E426" i="3"/>
  <c r="E106" i="3"/>
  <c r="E144" i="3"/>
  <c r="W7" i="37"/>
  <c r="Q73" i="67"/>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110" i="3"/>
  <c r="E200" i="3"/>
  <c r="E24" i="3"/>
  <c r="E179" i="3"/>
  <c r="E105" i="3"/>
  <c r="E440" i="3"/>
  <c r="E483" i="3"/>
  <c r="E198" i="3"/>
  <c r="E332" i="3"/>
  <c r="E60" i="3"/>
  <c r="E455" i="3"/>
  <c r="E137" i="3"/>
  <c r="E299" i="3"/>
  <c r="AQ6" i="3"/>
  <c r="E147" i="3"/>
  <c r="E102" i="3"/>
  <c r="E287" i="3"/>
  <c r="E205" i="3"/>
  <c r="E405" i="3"/>
  <c r="AP6" i="3"/>
  <c r="E520" i="3"/>
  <c r="E223" i="3"/>
  <c r="E95" i="3"/>
  <c r="E66" i="3"/>
  <c r="E441" i="3"/>
  <c r="E447" i="3"/>
  <c r="E585" i="3"/>
  <c r="E351" i="3"/>
  <c r="E562" i="3"/>
  <c r="E99" i="3"/>
  <c r="E487" i="3"/>
  <c r="E390" i="3"/>
  <c r="E153" i="3"/>
  <c r="E211" i="3"/>
  <c r="E400" i="3"/>
  <c r="E227" i="3"/>
  <c r="E454" i="3"/>
  <c r="K6" i="3"/>
  <c r="E77" i="3"/>
  <c r="E536" i="3"/>
  <c r="E354" i="3"/>
  <c r="E76" i="3"/>
  <c r="E554" i="3"/>
  <c r="E80" i="3"/>
  <c r="E194" i="3"/>
  <c r="E139" i="3"/>
  <c r="E373" i="3"/>
  <c r="E241" i="3"/>
  <c r="E115" i="3"/>
  <c r="E108" i="3"/>
  <c r="E463" i="3"/>
  <c r="E82" i="3"/>
  <c r="E331" i="3"/>
  <c r="E505" i="3"/>
  <c r="E269" i="3"/>
  <c r="E111" i="3"/>
  <c r="E458" i="3"/>
  <c r="E85" i="3"/>
  <c r="E312" i="3"/>
  <c r="E359" i="3"/>
  <c r="E53" i="3"/>
  <c r="E28" i="3"/>
  <c r="Z6" i="3"/>
  <c r="E315" i="3"/>
  <c r="E587" i="3"/>
  <c r="E228" i="3"/>
  <c r="E466" i="3"/>
  <c r="E118" i="3"/>
  <c r="E195" i="3"/>
  <c r="E297" i="3"/>
  <c r="E469" i="3"/>
  <c r="E289" i="3"/>
  <c r="E79" i="3"/>
  <c r="E420" i="3"/>
  <c r="E250" i="3"/>
  <c r="E427" i="3"/>
  <c r="E33" i="3"/>
  <c r="E210" i="3"/>
  <c r="E477" i="3"/>
  <c r="E549" i="3"/>
  <c r="E72" i="3"/>
  <c r="E573" i="3"/>
  <c r="E453" i="3"/>
  <c r="E167" i="3"/>
  <c r="E574" i="3"/>
  <c r="E109" i="3"/>
  <c r="E489" i="3"/>
  <c r="E327" i="3"/>
  <c r="E214" i="3"/>
  <c r="E465" i="3"/>
  <c r="AK6" i="3"/>
  <c r="E502" i="3"/>
  <c r="E19" i="3"/>
  <c r="E65" i="3"/>
  <c r="E155" i="3"/>
  <c r="E197" i="3"/>
  <c r="E52" i="3"/>
  <c r="E540" i="3"/>
  <c r="E376" i="3"/>
  <c r="E249" i="3"/>
  <c r="E16" i="6"/>
  <c r="Q74" i="67"/>
  <c r="D26" i="43"/>
  <c r="C25" i="43" s="1"/>
  <c r="Q60" i="15"/>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E3" i="6"/>
  <c r="I3" i="81" s="1"/>
  <c r="C11" i="81" s="1"/>
  <c r="AY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M27" i="15"/>
  <c r="C16" i="67"/>
  <c r="AE6" i="1"/>
  <c r="M27" i="67"/>
  <c r="F41" i="15"/>
  <c r="E49" i="34" l="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C17" i="15"/>
  <c r="C17" i="67"/>
  <c r="F41" i="67"/>
  <c r="C14" i="67"/>
  <c r="D10" i="69"/>
  <c r="F69" i="67" l="1"/>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15"/>
  <c r="C22" i="11"/>
  <c r="C31" i="11" s="1"/>
  <c r="C33" i="67"/>
  <c r="J19" i="67"/>
  <c r="E6" i="76"/>
  <c r="C14" i="15"/>
  <c r="B6" i="76"/>
  <c r="C49" i="33" l="1"/>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D36" i="81" l="1"/>
  <c r="J8" i="81" s="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N58" i="85" l="1"/>
  <c r="O58" i="85" s="1"/>
  <c r="P58" i="85" s="1"/>
  <c r="Q58" i="85" s="1"/>
  <c r="R58" i="85" s="1"/>
  <c r="S58" i="85" s="1"/>
  <c r="T58" i="85" s="1"/>
  <c r="U58" i="85" s="1"/>
  <c r="V58" i="85" s="1"/>
  <c r="W58" i="85" s="1"/>
  <c r="X58" i="85" s="1"/>
  <c r="Y58" i="85" s="1"/>
  <c r="Z58" i="85" s="1"/>
  <c r="AA58" i="85" s="1"/>
  <c r="H7" i="85"/>
  <c r="D10" i="71"/>
  <c r="C9" i="71"/>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AB7" i="85"/>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L51" i="15"/>
  <c r="D2" i="34"/>
  <c r="D2" i="36"/>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12" i="1"/>
  <c r="AO10" i="1"/>
  <c r="AO9" i="1"/>
  <c r="AO6" i="1"/>
  <c r="AO11"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0" i="81" l="1"/>
  <c r="B3" i="85"/>
  <c r="B2" i="85"/>
  <c r="C3" i="81" s="1"/>
  <c r="C42" i="40"/>
  <c r="C43" i="40"/>
  <c r="E47" i="40"/>
  <c r="F47" i="40" s="1"/>
  <c r="E46" i="40"/>
  <c r="F46" i="40" s="1"/>
  <c r="I47" i="40"/>
  <c r="J47" i="40" s="1"/>
  <c r="C4" i="81" l="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24" i="81" l="1"/>
  <c r="C30" i="81" s="1"/>
  <c r="C46" i="11"/>
  <c r="C45" i="11" s="1"/>
  <c r="C49" i="11" s="1"/>
  <c r="C51" i="11" s="1"/>
  <c r="C52" i="11" s="1"/>
  <c r="B2" i="11" s="1"/>
  <c r="B3" i="11" s="1"/>
  <c r="J39" i="81"/>
  <c r="J40" i="81" s="1"/>
  <c r="C46" i="68"/>
  <c r="C45" i="68" s="1"/>
  <c r="C49" i="68" s="1"/>
  <c r="C51" i="68" s="1"/>
  <c r="C52" i="68" s="1"/>
  <c r="B2" i="68" s="1"/>
  <c r="B3" i="68" s="1"/>
  <c r="J3" i="81"/>
  <c r="J4" i="81" s="1"/>
  <c r="C57" i="68" l="1"/>
  <c r="C56" i="68" s="1"/>
  <c r="C31" i="81"/>
  <c r="D37" i="81" s="1"/>
  <c r="C56" i="11"/>
  <c r="C57" i="11" s="1"/>
  <c r="K24" i="81" l="1"/>
  <c r="J9" i="81" l="1"/>
  <c r="D38" i="81"/>
  <c r="E10" i="74" s="1"/>
  <c r="B10" i="74" s="1"/>
  <c r="D14" i="74" s="1"/>
  <c r="G14" i="74" s="1"/>
  <c r="B6" i="74" s="1"/>
  <c r="D6" i="74" s="1"/>
  <c r="G37" i="81"/>
  <c r="C39" i="81" l="1"/>
  <c r="C40" i="81" s="1"/>
  <c r="F14" i="74"/>
  <c r="E39" i="81"/>
  <c r="E40" i="81" s="1"/>
  <c r="B5" i="74"/>
  <c r="E14" i="74"/>
  <c r="J10" i="81"/>
  <c r="D5" i="74" l="1"/>
  <c r="D53" i="9"/>
  <c r="D52" i="9"/>
  <c r="E81" i="9"/>
  <c r="C5" i="74"/>
  <c r="B53" i="72"/>
  <c r="C105" i="9"/>
  <c r="I4" i="52"/>
  <c r="N58" i="9"/>
  <c r="P57" i="9"/>
  <c r="N60" i="9"/>
  <c r="N59" i="9"/>
  <c r="N61" i="9"/>
  <c r="D8" i="52"/>
  <c r="B32" i="72"/>
  <c r="B20" i="72"/>
  <c r="D54" i="9"/>
  <c r="C104" i="9"/>
  <c r="H4" i="52"/>
  <c r="C81" i="9"/>
  <c r="C6" i="74"/>
  <c r="C72" i="9"/>
  <c r="C79" i="9"/>
  <c r="C80" i="9"/>
  <c r="E80" i="9"/>
  <c r="M48" i="9"/>
  <c r="C78" i="9"/>
  <c r="C73" i="9"/>
  <c r="H102" i="9"/>
  <c r="D7" i="53"/>
  <c r="B21" i="72"/>
  <c r="C96" i="9"/>
  <c r="E96" i="9"/>
  <c r="E97" i="9"/>
  <c r="B49" i="72"/>
  <c r="D122" i="9"/>
  <c r="D123" i="9"/>
  <c r="D9" i="52"/>
  <c r="E4" i="52"/>
  <c r="B48" i="72"/>
  <c r="C68" i="9"/>
  <c r="D5" i="53"/>
  <c r="D6" i="53"/>
  <c r="B22" i="72"/>
  <c r="F119" i="9"/>
  <c r="F5" i="52"/>
  <c r="D59" i="9"/>
  <c r="M55" i="9"/>
  <c r="F4" i="52"/>
  <c r="B51" i="72"/>
  <c r="H108" i="9"/>
  <c r="D15" i="53"/>
  <c r="B31" i="72"/>
  <c r="D14" i="53"/>
  <c r="H107" i="9"/>
  <c r="D13" i="53"/>
  <c r="B30" i="72"/>
  <c r="C93" i="9"/>
  <c r="C86" i="9"/>
  <c r="H119" i="9"/>
  <c r="H5" i="52"/>
  <c r="D4" i="52"/>
  <c r="B47" i="72"/>
  <c r="C64" i="9"/>
  <c r="C63" i="9"/>
  <c r="C67" i="9"/>
  <c r="E118" i="9"/>
  <c r="D118" i="9"/>
  <c r="D119" i="9"/>
  <c r="D5" i="52"/>
  <c r="C85" i="9"/>
  <c r="C95" i="9"/>
  <c r="C97" i="9"/>
  <c r="D58" i="9"/>
  <c r="D56" i="9"/>
  <c r="M54" i="9"/>
  <c r="F118" i="9"/>
  <c r="G118" i="9"/>
  <c r="G4" i="52"/>
  <c r="B52"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<sst xmlns="http://schemas.openxmlformats.org/spreadsheetml/2006/main" count="9070" uniqueCount="4080">
  <si>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</si>
  <si>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</si>
  <si>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</si>
  <si>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</si>
  <si>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</si>
  <si>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</si>
  <si>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</si>
  <si>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</si>
  <si>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</si>
  <si>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</si>
  <si>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</si>
  <si>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</si>
  <si>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</si>
  <si>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</si>
  <si>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</si>
  <si>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</si>
  <si>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</si>
  <si>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</si>
  <si>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</si>
  <si>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</si>
  <si>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</si>
  <si>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</si>
  <si>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</si>
  <si>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</si>
  <si>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</si>
  <si>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</si>
  <si>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</si>
  <si>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</si>
  <si>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</si>
  <si>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</si>
  <si>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</si>
  <si>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</si>
  <si>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</si>
  <si>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</si>
  <si>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</si>
  <si>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</si>
  <si>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</si>
  <si>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</si>
  <si>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</si>
  <si>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</si>
  <si>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</si>
  <si>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</si>
  <si>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</si>
  <si>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</si>
  <si>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</si>
  <si>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</si>
  <si>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</si>
  <si>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</si>
  <si>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</si>
  <si>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</si>
  <si>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</si>
  <si>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</si>
  <si>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</si>
  <si>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</si>
  <si>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</si>
  <si>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</si>
  <si>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</si>
  <si>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</si>
  <si>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</si>
  <si>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</si>
  <si>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</si>
  <si>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</si>
  <si>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</si>
  <si>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</si>
  <si>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</si>
  <si>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</si>
  <si>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</si>
  <si>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</si>
  <si>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</si>
  <si>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</si>
  <si>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</si>
  <si>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</si>
  <si>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</si>
  <si>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</si>
  <si>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</si>
  <si>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</si>
  <si>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</si>
  <si>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</si>
  <si>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</si>
  <si>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</si>
  <si>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</si>
  <si>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</si>
  <si>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</si>
  <si>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</si>
  <si>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</si>
  <si>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</si>
  <si>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</si>
  <si>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</si>
  <si>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</si>
  <si>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</si>
  <si>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</si>
  <si>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</si>
  <si>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</si>
  <si>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</si>
  <si>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</si>
  <si>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</si>
  <si>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</si>
  <si>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</si>
  <si>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</si>
  <si>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</si>
  <si>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</si>
  <si>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</si>
  <si>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</si>
  <si>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</si>
  <si>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</si>
  <si>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</si>
  <si>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</si>
  <si>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</si>
  <si>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</si>
  <si>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</si>
  <si>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</si>
  <si>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</si>
  <si>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</si>
  <si>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</si>
  <si>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</si>
  <si>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</si>
  <si>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</si>
  <si>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</si>
  <si>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</si>
  <si>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</si>
  <si>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</si>
  <si>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</si>
  <si>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</si>
  <si>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</si>
  <si>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</si>
  <si>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</si>
  <si>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</si>
  <si>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</si>
  <si>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</si>
  <si>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</si>
  <si>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</si>
  <si>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</si>
  <si>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</si>
  <si>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</si>
  <si>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</si>
  <si>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</si>
  <si>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</si>
  <si>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</si>
  <si>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</si>
  <si>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</si>
  <si>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</si>
  <si>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</si>
  <si>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</si>
  <si>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</si>
  <si>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</si>
  <si>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</si>
  <si>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</si>
  <si>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</si>
  <si>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</si>
  <si>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</si>
  <si>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</si>
  <si>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</si>
  <si>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</si>
  <si>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</si>
  <si>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</si>
  <si>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</si>
  <si>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</si>
  <si>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</si>
  <si>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</si>
  <si>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</si>
  <si>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</si>
  <si>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</si>
  <si>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</si>
  <si>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</si>
  <si>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</si>
  <si>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</si>
  <si>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</si>
  <si>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</si>
  <si>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</si>
  <si>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</si>
  <si>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</si>
  <si>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</si>
  <si>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</si>
  <si>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</si>
  <si>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</si>
  <si>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</si>
  <si>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</si>
  <si>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</si>
  <si>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</si>
  <si>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</si>
  <si>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</si>
  <si>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</si>
  <si>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</si>
  <si>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</si>
  <si>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</si>
  <si>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</si>
  <si>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</si>
  <si>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</si>
  <si>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</si>
  <si>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</si>
  <si>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</si>
  <si>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</si>
  <si>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</si>
  <si>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</si>
  <si>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</si>
  <si>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</si>
  <si>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</si>
  <si>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</si>
  <si>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</si>
  <si>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</si>
  <si>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</si>
  <si>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</si>
  <si>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</si>
  <si>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</si>
  <si>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</si>
  <si>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</si>
  <si>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</si>
  <si>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</si>
  <si>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</si>
  <si>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</si>
  <si>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</si>
  <si>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</si>
  <si>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</si>
  <si>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</si>
  <si>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</si>
  <si>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</si>
  <si>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</si>
  <si>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</si>
  <si>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</si>
  <si>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</si>
  <si>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</si>
  <si>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</si>
  <si>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</si>
  <si>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</si>
  <si>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</si>
  <si>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</si>
  <si>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</si>
  <si>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</si>
  <si>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</si>
  <si>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</si>
  <si>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</si>
  <si>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</si>
  <si>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</si>
  <si>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</si>
  <si>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</si>
  <si>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</si>
  <si>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</si>
  <si>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</si>
  <si>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</si>
  <si>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</si>
  <si>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</si>
  <si>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</si>
  <si>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</si>
  <si>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</si>
  <si>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</si>
  <si>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</si>
  <si>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</si>
  <si>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</si>
  <si>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</si>
  <si>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</si>
  <si>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</si>
  <si>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</si>
  <si>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</si>
  <si>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</si>
  <si>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</si>
  <si>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</si>
  <si>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</si>
  <si>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</si>
  <si>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</si>
  <si>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</si>
  <si>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</si>
  <si>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</si>
  <si>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</si>
  <si>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</si>
  <si>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</si>
  <si>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</si>
  <si>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</si>
  <si>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</si>
  <si>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</si>
  <si>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</si>
  <si>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</si>
  <si>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</si>
  <si>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</si>
  <si>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</si>
  <si>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</si>
  <si>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</si>
  <si>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</si>
  <si>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</si>
  <si>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</si>
  <si>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</si>
  <si>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</si>
  <si>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</si>
  <si>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</si>
  <si>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</si>
  <si>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</si>
  <si>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</si>
  <si>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</si>
  <si>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</si>
  <si>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</si>
  <si>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</si>
  <si>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</si>
  <si>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</si>
  <si>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</si>
  <si>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</si>
  <si>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</si>
  <si>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</si>
  <si>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</si>
  <si>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</si>
  <si>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</si>
  <si>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</si>
  <si>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</si>
  <si>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</si>
  <si>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</si>
  <si>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</si>
  <si>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</si>
  <si>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</si>
  <si>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</si>
  <si>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</si>
  <si>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</si>
  <si>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</si>
  <si>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</si>
  <si>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</si>
  <si>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</si>
  <si>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</si>
  <si>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</si>
  <si>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</si>
  <si>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</si>
  <si>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</si>
  <si>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</si>
  <si>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</si>
  <si>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</si>
  <si>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</si>
  <si>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</si>
  <si>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</si>
  <si>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</si>
  <si>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</si>
  <si>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</si>
  <si>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</si>
  <si>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</si>
  <si>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</si>
  <si>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</si>
  <si>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</si>
  <si>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</si>
  <si>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</si>
  <si>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</si>
  <si>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</si>
  <si>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</si>
  <si>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</si>
  <si>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</si>
  <si>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</si>
  <si>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</si>
  <si>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</si>
  <si>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</si>
  <si>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</si>
  <si>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</si>
  <si>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</si>
  <si>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</si>
  <si>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</si>
  <si>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</si>
  <si>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</si>
  <si>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</si>
  <si>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</si>
  <si>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</si>
  <si>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</si>
  <si>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</si>
  <si>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</si>
  <si>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</si>
  <si>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</si>
  <si>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</si>
  <si>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</si>
  <si>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</si>
  <si>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</si>
  <si>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</si>
  <si>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</si>
  <si>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</si>
  <si>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</si>
  <si>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</si>
  <si>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</si>
  <si>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</si>
  <si>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</si>
  <si>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</si>
  <si>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</si>
  <si>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</si>
  <si>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</si>
  <si>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</si>
  <si>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</si>
  <si>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</si>
  <si>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</si>
  <si>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</si>
  <si>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</si>
  <si>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</si>
  <si>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</si>
  <si>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</si>
  <si>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</si>
  <si>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</si>
  <si>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</si>
  <si>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</si>
  <si>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</si>
  <si>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</si>
  <si>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</si>
  <si>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</si>
  <si>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</si>
  <si>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</si>
  <si>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</si>
  <si>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</si>
  <si>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</si>
  <si>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</si>
  <si>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</si>
  <si>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</si>
  <si>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</si>
  <si>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</si>
  <si>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</si>
  <si>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</si>
  <si>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</si>
  <si>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</si>
  <si>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</si>
  <si>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</si>
  <si>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</si>
  <si>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</si>
  <si>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</si>
  <si>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</si>
  <si>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</si>
  <si>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</si>
  <si>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</si>
  <si>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</si>
  <si>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</si>
  <si>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</si>
  <si>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</si>
  <si>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</si>
  <si>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</si>
  <si>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</si>
  <si>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</si>
  <si>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</si>
  <si>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</si>
  <si>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</si>
  <si>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</si>
  <si>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</si>
  <si>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</si>
  <si>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</si>
  <si>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</si>
  <si>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</si>
  <si>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</si>
  <si>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</si>
  <si>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</si>
  <si>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</si>
  <si>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</si>
  <si>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</si>
  <si>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</si>
  <si>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</si>
  <si>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</si>
  <si>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</si>
  <si>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</si>
  <si>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</si>
  <si>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</si>
  <si>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</si>
  <si>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</si>
  <si>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</si>
  <si>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</si>
  <si>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</si>
  <si>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</si>
  <si>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</si>
  <si>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</si>
  <si>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</si>
  <si>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</si>
  <si>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</si>
  <si>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</si>
  <si>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</si>
  <si>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</si>
  <si>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</si>
  <si>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</si>
  <si>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</si>
  <si>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</si>
  <si>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</si>
  <si>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</si>
  <si>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</si>
  <si>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</si>
  <si>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</si>
  <si>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</si>
  <si>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</si>
  <si>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</si>
  <si>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</si>
  <si>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</si>
  <si>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</si>
  <si>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</si>
  <si>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</si>
  <si>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</si>
  <si>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</si>
  <si>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</si>
  <si>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</si>
  <si>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</si>
  <si>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</si>
  <si>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</si>
  <si>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</si>
  <si>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</si>
  <si>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</si>
  <si>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</si>
  <si>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</si>
  <si>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</si>
  <si>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</si>
  <si>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</si>
  <si>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</si>
  <si>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</si>
  <si>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</si>
  <si>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</si>
  <si>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</si>
  <si>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</si>
  <si>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</si>
  <si>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</si>
  <si>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</si>
  <si>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</si>
  <si>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</si>
  <si>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</si>
  <si>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</si>
  <si>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</si>
  <si>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</si>
  <si>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</si>
  <si>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</si>
  <si>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</si>
  <si>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</si>
  <si>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</si>
  <si>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</si>
  <si>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</si>
  <si>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</si>
  <si>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</si>
  <si>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</si>
  <si>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</si>
  <si>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</si>
  <si>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</si>
  <si>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</si>
  <si>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</si>
  <si>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</si>
  <si>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</si>
  <si>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</si>
  <si>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</si>
  <si>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</si>
  <si>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</si>
  <si>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</si>
  <si>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</si>
  <si>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</si>
  <si>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</si>
  <si>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</si>
  <si>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</si>
  <si>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</si>
  <si>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</si>
  <si>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</si>
  <si>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</si>
  <si>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</si>
  <si>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</si>
  <si>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</si>
  <si>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</si>
  <si>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</si>
  <si>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</si>
  <si>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</si>
  <si>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</si>
  <si>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</si>
  <si>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</si>
  <si>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</si>
  <si>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</si>
  <si>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</si>
  <si>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</si>
  <si>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</si>
  <si>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</si>
  <si>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</si>
  <si>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</si>
  <si>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</si>
  <si>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</si>
  <si>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</si>
  <si>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</si>
  <si>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</si>
  <si>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</si>
  <si>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</si>
  <si>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</si>
  <si>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</si>
  <si>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</si>
  <si>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</si>
  <si>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</si>
  <si>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</si>
  <si>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</si>
  <si>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</si>
  <si>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</si>
  <si>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</si>
  <si>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</si>
  <si>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</si>
  <si>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</si>
  <si>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</si>
  <si>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</si>
  <si>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</si>
  <si>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</si>
  <si>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</si>
  <si>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</si>
  <si>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</si>
  <si>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</si>
  <si>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</si>
  <si>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</si>
  <si>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</si>
  <si>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</si>
  <si>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</si>
  <si>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</si>
  <si>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</si>
  <si>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</si>
  <si>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</si>
  <si>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</si>
  <si>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</si>
  <si>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</si>
  <si>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</si>
  <si>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</si>
  <si>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</si>
  <si>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</si>
  <si>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</si>
  <si>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</si>
  <si>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</si>
  <si>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</si>
  <si>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</si>
  <si>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</si>
  <si>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</si>
  <si>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</si>
  <si>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</si>
  <si>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</si>
  <si>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</si>
  <si>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</si>
  <si>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</si>
  <si>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</si>
  <si>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</si>
  <si>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</si>
  <si>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</si>
  <si>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</si>
  <si>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</si>
  <si>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</si>
  <si>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</si>
  <si>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</si>
  <si>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</si>
  <si>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</si>
  <si>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</si>
  <si>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</si>
  <si>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</si>
  <si>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</si>
  <si>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</si>
  <si>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</si>
  <si>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</si>
  <si>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</si>
  <si>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</si>
  <si>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</si>
  <si>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</si>
  <si>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</si>
  <si>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</si>
  <si>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</si>
  <si>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</si>
  <si>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</si>
  <si>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</si>
  <si>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</si>
  <si>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</si>
  <si>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</si>
  <si>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</si>
  <si>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</si>
  <si>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</si>
  <si>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</si>
  <si>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</si>
  <si>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</si>
  <si>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</si>
  <si>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</si>
  <si>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</si>
  <si>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</si>
  <si>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</si>
  <si>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</si>
  <si>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</si>
  <si>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</si>
  <si>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</si>
  <si>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</si>
  <si>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</si>
  <si>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</si>
  <si>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</si>
  <si>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</si>
  <si>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</si>
  <si>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</si>
  <si>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</si>
  <si>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</si>
  <si>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</si>
  <si>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</si>
  <si>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</si>
  <si>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</si>
  <si>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</si>
  <si>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</si>
  <si>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</si>
  <si>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</si>
  <si>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</si>
  <si>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</si>
  <si>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</si>
  <si>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</si>
  <si>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</si>
  <si>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</si>
  <si>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</si>
  <si>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</si>
  <si>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</si>
  <si>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</si>
  <si>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</si>
  <si>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</si>
  <si>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</si>
  <si>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</si>
  <si>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</si>
  <si>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</si>
  <si>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</si>
  <si>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</si>
  <si>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</si>
  <si>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</si>
  <si>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</si>
  <si>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</si>
  <si>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</si>
  <si>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</si>
  <si>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</si>
  <si>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</si>
  <si>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</si>
  <si>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</si>
  <si>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</si>
  <si>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</si>
  <si>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</si>
  <si>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</si>
  <si>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</si>
  <si>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</si>
  <si>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</si>
  <si>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</si>
  <si>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</si>
  <si>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</si>
  <si>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</si>
  <si>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</si>
  <si>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</si>
  <si>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</si>
  <si>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</si>
  <si>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</si>
  <si>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</si>
  <si>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</si>
  <si>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</si>
  <si>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</si>
  <si>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</si>
  <si>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</si>
  <si>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</si>
  <si>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</si>
  <si>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</si>
  <si>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</si>
  <si>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</si>
  <si>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</si>
  <si>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</si>
  <si>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</si>
  <si>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</si>
  <si>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</si>
  <si>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</si>
  <si>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</si>
  <si>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</si>
  <si>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</si>
  <si>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</si>
  <si>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</si>
  <si>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</si>
  <si>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</si>
  <si>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</si>
  <si>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</si>
  <si>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</si>
  <si>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</si>
  <si>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</si>
  <si>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</si>
  <si>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</si>
  <si>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</si>
  <si>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</si>
  <si>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</si>
  <si>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</si>
  <si>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</si>
  <si>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</si>
  <si>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</si>
  <si>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</si>
  <si>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</si>
  <si>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</si>
  <si>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</si>
  <si>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</si>
  <si>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</si>
  <si>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</si>
  <si>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</si>
  <si>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</si>
  <si>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</si>
  <si>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</si>
  <si>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</si>
  <si>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</si>
  <si>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</si>
  <si>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</si>
  <si>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</si>
  <si>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</si>
  <si>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</si>
  <si>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</si>
  <si>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</si>
  <si>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</si>
  <si>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</si>
  <si>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</si>
  <si>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</si>
  <si>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</si>
  <si>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</si>
  <si>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</si>
  <si>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</si>
  <si>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</si>
  <si>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</si>
  <si>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</si>
  <si>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</si>
  <si>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</si>
  <si>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</si>
  <si>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</si>
  <si>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</si>
  <si>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</si>
  <si>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</si>
  <si>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</si>
  <si>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</si>
  <si>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</si>
  <si>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</si>
  <si>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</si>
  <si>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</si>
  <si>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</si>
  <si>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</si>
  <si>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</si>
  <si>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</si>
  <si>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</si>
  <si>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</si>
  <si>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</si>
  <si>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</si>
  <si>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</si>
  <si>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</si>
  <si>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</si>
  <si>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</si>
  <si>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</si>
  <si>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</si>
  <si>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</si>
  <si>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</si>
  <si>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</si>
  <si>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</si>
  <si>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</si>
  <si>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</si>
  <si>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</si>
  <si>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</si>
  <si>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</si>
  <si>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</si>
  <si>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</si>
  <si>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</si>
  <si>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</si>
  <si>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</si>
  <si>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</si>
  <si>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</si>
  <si>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</si>
  <si>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</si>
  <si>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</si>
  <si>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</si>
  <si>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</si>
  <si>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</si>
  <si>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</si>
  <si>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</si>
  <si>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</si>
  <si>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</si>
  <si>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</si>
  <si>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</si>
  <si>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</si>
  <si>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</si>
  <si>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</si>
  <si>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</si>
  <si>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</si>
  <si>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</si>
  <si>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</si>
  <si>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</si>
  <si>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</si>
  <si>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</si>
  <si>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</si>
  <si>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</si>
  <si>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</si>
  <si>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</si>
  <si>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</si>
  <si>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</si>
  <si>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</si>
  <si>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</si>
  <si>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</si>
  <si>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</si>
  <si>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</si>
  <si>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</si>
  <si>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</si>
  <si>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</si>
  <si>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</si>
  <si>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</si>
  <si>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</si>
  <si>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</si>
  <si>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</si>
  <si>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</si>
  <si>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</si>
  <si>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</si>
  <si>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</si>
  <si>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</si>
  <si>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</si>
  <si>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</si>
  <si>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</si>
  <si>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</si>
  <si>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</si>
  <si>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</si>
  <si>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</si>
  <si>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</si>
  <si>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</si>
  <si>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</si>
  <si>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</si>
  <si>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</si>
  <si>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</si>
  <si>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</si>
  <si>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</si>
  <si>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</si>
  <si>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</si>
  <si>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</si>
  <si>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</si>
  <si>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</si>
  <si>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</si>
  <si>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</si>
  <si>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</si>
  <si>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</si>
  <si>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</si>
  <si>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</si>
  <si>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</si>
  <si>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</si>
  <si>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</si>
  <si>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</si>
  <si>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</si>
  <si>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</si>
  <si>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</si>
  <si>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</si>
  <si>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</si>
  <si>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</si>
  <si>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</si>
  <si>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</si>
  <si>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</si>
  <si>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</si>
  <si>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</si>
  <si>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</si>
  <si>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</si>
  <si>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</si>
  <si>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</si>
  <si>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</si>
  <si>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</si>
  <si>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</si>
  <si>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</si>
  <si>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</si>
  <si>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</si>
  <si>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</si>
  <si>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</si>
  <si>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</si>
  <si>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</si>
  <si>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</si>
  <si>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</si>
  <si>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</si>
  <si>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</si>
  <si>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</si>
  <si>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</si>
  <si>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</si>
  <si>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</si>
  <si>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</si>
  <si>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</si>
  <si>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</si>
  <si>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</si>
  <si>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</si>
  <si>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</si>
  <si>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</si>
  <si>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</si>
  <si>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</si>
  <si>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</si>
  <si>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</si>
  <si>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</si>
  <si>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</si>
  <si>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</si>
  <si>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</si>
  <si>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</si>
  <si>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</si>
  <si>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</si>
  <si>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</si>
  <si>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</si>
  <si>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</si>
  <si>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</si>
  <si>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</si>
  <si>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</si>
  <si>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</si>
  <si>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</si>
  <si>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</si>
  <si>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</si>
  <si>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</si>
  <si>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</si>
  <si>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</si>
  <si>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</si>
  <si>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</si>
  <si>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</si>
  <si>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</si>
  <si>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</si>
  <si>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</si>
  <si>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</si>
  <si>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</si>
  <si>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</si>
  <si>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</si>
  <si>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</si>
  <si>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</si>
  <si>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</si>
  <si>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</si>
  <si>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</si>
  <si>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</si>
  <si>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</si>
  <si>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</si>
  <si>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</si>
  <si>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</si>
  <si>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</si>
  <si>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</si>
  <si>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</si>
  <si>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</si>
  <si>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</si>
  <si>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</si>
  <si>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</si>
  <si>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</si>
  <si>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</si>
  <si>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</si>
  <si>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</si>
  <si>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</si>
  <si>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</si>
  <si>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</si>
  <si>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</si>
  <si>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</si>
  <si>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</si>
  <si>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</si>
  <si>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</si>
  <si>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</si>
  <si>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</si>
  <si>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</si>
  <si>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</si>
  <si>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</si>
  <si>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</si>
  <si>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</si>
  <si>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</si>
  <si>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</si>
  <si>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</si>
  <si>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</si>
  <si>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</si>
  <si>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</si>
  <si>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</si>
  <si>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</si>
  <si>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</si>
  <si>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</si>
  <si>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</si>
  <si>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</si>
  <si>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</si>
  <si>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</si>
  <si>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</si>
  <si>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</si>
  <si>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</si>
  <si>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</si>
  <si>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</si>
  <si>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</si>
  <si>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</si>
  <si>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</si>
  <si>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</si>
  <si>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</si>
  <si>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</si>
  <si>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</si>
  <si>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</si>
  <si>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</si>
  <si>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</si>
  <si>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</si>
  <si>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</si>
  <si>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</si>
  <si>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</si>
  <si>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</si>
  <si>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</si>
  <si>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</si>
  <si>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</si>
  <si>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</si>
  <si>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</si>
  <si>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</si>
  <si>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</si>
  <si>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</si>
  <si>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</si>
  <si>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</si>
  <si>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</si>
  <si>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</si>
  <si>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</si>
  <si>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</si>
  <si>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</si>
  <si>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</si>
  <si>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</si>
  <si>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</si>
  <si>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</si>
  <si>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</si>
  <si>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</si>
  <si>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</si>
  <si>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</si>
  <si>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</si>
  <si>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</si>
  <si>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</si>
  <si>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</si>
  <si>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</si>
  <si>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</si>
  <si>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</si>
  <si>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</si>
  <si>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</si>
  <si>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</si>
  <si>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</si>
  <si>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</si>
  <si>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</si>
  <si>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</si>
  <si>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</si>
  <si>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</si>
  <si>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</si>
  <si>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</si>
  <si>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</si>
  <si>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</si>
  <si>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</si>
  <si>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</si>
  <si>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</si>
  <si>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</si>
  <si>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</si>
  <si>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</si>
  <si>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</si>
  <si>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</si>
  <si>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</si>
  <si>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</si>
  <si>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</si>
  <si>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</si>
  <si>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</si>
  <si>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</si>
  <si>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</si>
  <si>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</si>
  <si>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</si>
  <si>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</si>
  <si>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</si>
  <si>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</si>
  <si>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</si>
  <si>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</si>
  <si>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</si>
  <si>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</si>
  <si>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</si>
  <si>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</si>
  <si>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</si>
  <si>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</si>
  <si>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</si>
  <si>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</si>
  <si>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</si>
  <si>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</si>
  <si>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</si>
  <si>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</si>
  <si>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</si>
  <si>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</si>
  <si>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</si>
  <si>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</si>
  <si>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</si>
  <si>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</si>
  <si>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</si>
  <si>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</si>
  <si>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</si>
  <si>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</si>
  <si>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</si>
  <si>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</si>
  <si>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</si>
  <si>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</si>
  <si>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</si>
  <si>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</si>
  <si>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</si>
  <si>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</si>
  <si>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</si>
  <si>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</si>
  <si>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</si>
  <si>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</si>
  <si>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</si>
  <si>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</si>
  <si>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</si>
  <si>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</si>
  <si>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</si>
  <si>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</si>
  <si>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</si>
  <si>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</si>
  <si>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</si>
  <si>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</si>
  <si>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</si>
  <si>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</si>
  <si>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</si>
  <si>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</si>
  <si>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</si>
  <si>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</si>
  <si>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</si>
  <si>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</si>
  <si>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</si>
  <si>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</si>
  <si>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</si>
  <si>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</si>
  <si>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</si>
  <si>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</si>
  <si>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</si>
  <si>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</si>
  <si>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</si>
  <si>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</si>
  <si>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</si>
  <si>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</si>
  <si>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</si>
  <si>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</si>
  <si>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</si>
  <si>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</si>
  <si>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</si>
  <si>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</si>
  <si>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</si>
  <si>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</si>
  <si>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</si>
  <si>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</si>
  <si>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</si>
  <si>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</si>
  <si>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</si>
  <si>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</si>
  <si>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</si>
  <si>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</si>
  <si>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</si>
  <si>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</si>
  <si>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</si>
  <si>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</si>
  <si>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</si>
  <si>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</si>
  <si>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</si>
  <si>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</si>
  <si>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</si>
  <si>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</si>
  <si>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</si>
  <si>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</si>
  <si>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</si>
  <si>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</si>
  <si>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</si>
  <si>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</si>
  <si>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</si>
  <si>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</si>
  <si>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</si>
  <si>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</si>
  <si>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</si>
  <si>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</si>
  <si>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</si>
  <si>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</si>
  <si>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</si>
  <si>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</si>
  <si>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</si>
  <si>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</si>
  <si>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</si>
  <si>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</si>
  <si>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</si>
  <si>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</si>
  <si>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</si>
  <si>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</si>
  <si>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</si>
  <si>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</si>
  <si>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</si>
  <si>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</si>
  <si>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</si>
  <si>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</si>
  <si>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</si>
  <si>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</si>
  <si>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</si>
  <si>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</si>
  <si>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</si>
  <si>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</si>
  <si>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</si>
  <si>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</si>
  <si>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</si>
  <si>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</si>
  <si>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</si>
  <si>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</si>
  <si>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</si>
  <si>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</si>
  <si>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</si>
  <si>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</si>
  <si>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</si>
  <si>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</si>
  <si>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</si>
  <si>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</si>
  <si>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</si>
  <si>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</si>
  <si>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</si>
  <si>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</si>
  <si>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</si>
  <si>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</si>
  <si>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</si>
  <si>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</si>
  <si>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</si>
  <si>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</si>
  <si>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</si>
  <si>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</si>
  <si>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</si>
  <si>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</si>
  <si>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</si>
  <si>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</si>
  <si>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</si>
  <si>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</si>
  <si>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</si>
  <si>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</si>
  <si>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</si>
  <si>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</si>
  <si>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</si>
  <si>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</si>
  <si>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</si>
  <si>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</si>
  <si>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</si>
  <si>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</si>
  <si>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</si>
  <si>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</si>
  <si>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</si>
  <si>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</si>
  <si>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</si>
  <si>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</si>
  <si>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</si>
  <si>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</si>
  <si>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</si>
  <si>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</si>
  <si>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</si>
  <si>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</si>
  <si>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</si>
  <si>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</si>
  <si>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</si>
  <si>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</si>
  <si>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</si>
  <si>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</si>
  <si>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</si>
  <si>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</si>
  <si>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</si>
  <si>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</si>
  <si>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</si>
  <si>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</si>
  <si>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</si>
  <si>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</si>
  <si>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</si>
  <si>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</si>
  <si>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</si>
  <si>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</si>
  <si>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</si>
  <si>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</si>
  <si>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</si>
  <si>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</si>
  <si>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</si>
  <si>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</si>
  <si>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</si>
  <si>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</si>
  <si>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</si>
  <si>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</si>
  <si>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</si>
  <si>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</si>
  <si>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</si>
  <si>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</si>
  <si>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</si>
  <si>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</si>
  <si>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</si>
  <si>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</si>
  <si>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</si>
  <si>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</si>
  <si>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</si>
  <si>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</si>
  <si>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</si>
  <si>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</si>
  <si>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</si>
  <si>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</si>
  <si>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</si>
  <si>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</si>
  <si>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</si>
  <si>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</si>
  <si>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</si>
  <si>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</si>
  <si>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</si>
  <si>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</si>
  <si>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</si>
  <si>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</si>
  <si>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</si>
  <si>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</si>
  <si>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</si>
  <si>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</si>
  <si>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</si>
  <si>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</si>
  <si>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</si>
  <si>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</si>
  <si>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</si>
  <si>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</si>
  <si>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</si>
  <si>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</si>
  <si>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</si>
  <si>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</si>
  <si>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</si>
  <si>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</si>
  <si>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</si>
  <si>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</si>
  <si>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</si>
  <si>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</si>
  <si>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</si>
  <si>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</si>
  <si>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</si>
  <si>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</si>
  <si>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</si>
  <si>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</si>
  <si>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</si>
  <si>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</si>
  <si>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</si>
  <si>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</si>
  <si>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</si>
  <si>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</si>
  <si>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</si>
  <si>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</si>
  <si>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</si>
  <si>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</si>
  <si>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</si>
  <si>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</si>
  <si>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</si>
  <si>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</si>
  <si>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</si>
  <si>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</si>
  <si>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</si>
  <si>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</si>
  <si>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</si>
  <si>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</si>
  <si>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</si>
  <si>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</si>
  <si>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</si>
  <si>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</si>
  <si>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</si>
  <si>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</si>
  <si>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</si>
  <si>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</si>
  <si>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</si>
  <si>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</si>
  <si>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</si>
  <si>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</si>
  <si>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</si>
  <si>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</si>
  <si>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</si>
  <si>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</si>
  <si>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</si>
  <si>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</si>
  <si>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</si>
  <si>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</si>
  <si>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</si>
  <si>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</si>
  <si>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</si>
  <si>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</si>
  <si>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</si>
  <si>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</si>
  <si>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</si>
  <si>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</si>
  <si>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</si>
  <si>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</si>
  <si>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</si>
  <si>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</si>
  <si>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</si>
  <si>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</si>
  <si>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</si>
  <si>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</si>
  <si>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</si>
  <si>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</si>
  <si>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</si>
  <si>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</si>
  <si>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</si>
  <si>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</si>
  <si>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</si>
  <si>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</si>
  <si>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</si>
  <si>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</si>
  <si>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</si>
  <si>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</si>
  <si>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</si>
  <si>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</si>
  <si>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</si>
  <si>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</si>
  <si>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</si>
  <si>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</si>
  <si>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</si>
  <si>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</si>
  <si>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</si>
  <si>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</si>
  <si>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</si>
  <si>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</si>
  <si>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</si>
  <si>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</si>
  <si>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</si>
  <si>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</si>
  <si>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</si>
  <si>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</si>
  <si>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</si>
  <si>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</si>
  <si>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</si>
  <si>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</si>
  <si>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</si>
  <si>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</si>
  <si>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</si>
  <si>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</si>
  <si>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</si>
  <si>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</si>
  <si>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</si>
  <si>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</si>
  <si>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</si>
  <si>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</si>
  <si>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</si>
  <si>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</si>
  <si>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</si>
  <si>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</si>
  <si>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</si>
  <si>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</si>
  <si>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</si>
  <si>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</si>
  <si>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</si>
  <si>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</si>
  <si>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</si>
  <si>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</si>
  <si>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</si>
  <si>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</si>
  <si>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</si>
  <si>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</si>
  <si>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</si>
  <si>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</si>
  <si>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</si>
  <si>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</si>
  <si>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</si>
  <si>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</si>
  <si>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</si>
  <si>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</si>
  <si>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</si>
  <si>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</si>
  <si>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</si>
  <si>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</si>
  <si>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</si>
  <si>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</si>
  <si>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</si>
  <si>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</si>
  <si>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</si>
  <si>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</si>
  <si>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</si>
  <si>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</si>
  <si>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</si>
  <si>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</si>
  <si>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</si>
  <si>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</si>
  <si>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</si>
  <si>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</si>
  <si>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</si>
  <si>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</si>
  <si>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</si>
  <si>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</si>
  <si>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</si>
  <si>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</si>
  <si>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</si>
  <si>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</si>
  <si>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</si>
  <si>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</si>
  <si>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</si>
  <si>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</si>
  <si>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</si>
  <si>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</si>
  <si>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</si>
  <si>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</si>
  <si>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</si>
  <si>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</si>
  <si>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</si>
  <si>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</si>
  <si>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</si>
  <si>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</si>
  <si>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</si>
  <si>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</si>
  <si>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</si>
  <si>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</si>
  <si>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</si>
  <si>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</si>
  <si>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</si>
  <si>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</si>
  <si>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</si>
  <si>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</si>
  <si>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</si>
  <si>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</si>
  <si>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</si>
  <si>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</si>
  <si>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</si>
  <si>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</si>
  <si>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</si>
  <si>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</si>
  <si>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</si>
  <si>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</si>
  <si>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</si>
  <si>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</si>
  <si>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</si>
  <si>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</si>
  <si>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</si>
  <si>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</si>
  <si>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</si>
  <si>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</si>
  <si>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</si>
  <si>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</si>
  <si>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</si>
  <si>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</si>
  <si>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</si>
  <si>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</si>
  <si>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</si>
  <si>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</si>
  <si>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</si>
  <si>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</si>
  <si>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</si>
  <si>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</si>
  <si>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</si>
  <si>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</si>
  <si>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</si>
  <si>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</si>
  <si>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</si>
  <si>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</si>
  <si>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</si>
  <si>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</si>
  <si>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</si>
  <si>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</si>
  <si>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</si>
  <si>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</si>
  <si>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</si>
  <si>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</si>
  <si>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</si>
  <si>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</si>
  <si>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</si>
  <si>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</si>
  <si>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</si>
  <si>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</si>
  <si>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</si>
  <si>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</si>
  <si>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</si>
  <si>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</si>
  <si>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</si>
  <si>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</si>
  <si>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</si>
  <si>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</si>
  <si>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</si>
  <si>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</si>
  <si>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</si>
  <si>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</si>
  <si>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</si>
  <si>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</si>
  <si>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</si>
  <si>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</si>
  <si>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</si>
  <si>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</si>
  <si>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</si>
  <si>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</si>
  <si>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</si>
  <si>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</si>
  <si>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</si>
  <si>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</si>
  <si>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</si>
  <si>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</si>
  <si>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</si>
  <si>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</si>
  <si>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</si>
  <si>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</si>
  <si>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</si>
  <si>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</si>
  <si>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</si>
  <si>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</si>
  <si>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</si>
  <si>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</si>
  <si>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</si>
  <si>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</si>
  <si>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</si>
  <si>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</si>
  <si>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</si>
  <si>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</si>
  <si>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</si>
  <si>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</si>
  <si>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</si>
  <si>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</si>
  <si>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</si>
  <si>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</si>
  <si>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</si>
  <si>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</si>
  <si>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</si>
  <si>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</si>
  <si>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</si>
  <si>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</si>
  <si>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</si>
  <si>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</si>
  <si>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</si>
  <si>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</si>
  <si>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</si>
  <si>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</si>
  <si>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</si>
  <si>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</si>
  <si>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</si>
  <si>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</si>
  <si>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</si>
  <si>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</si>
  <si>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</si>
  <si>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</si>
  <si>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</si>
  <si>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</si>
  <si>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</si>
  <si>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</si>
  <si>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</si>
  <si>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</si>
  <si>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</si>
  <si>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</si>
  <si>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</si>
  <si>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</si>
  <si>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</si>
  <si>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</si>
  <si>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</si>
  <si>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</si>
  <si>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</si>
  <si>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</si>
  <si>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</si>
  <si>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</si>
  <si>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</si>
  <si>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</si>
  <si>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</si>
  <si>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</si>
  <si>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</si>
  <si>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</si>
  <si>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</si>
  <si>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</si>
  <si>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</si>
  <si>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</si>
  <si>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</si>
  <si>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</si>
  <si>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</si>
  <si>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</si>
  <si>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</si>
  <si>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</si>
  <si>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</si>
  <si>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</si>
  <si>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</si>
  <si>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</si>
  <si>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</si>
  <si>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</si>
  <si>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</si>
  <si>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</si>
  <si>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</si>
  <si>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</si>
  <si>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</si>
  <si>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</si>
  <si>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</si>
  <si>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</si>
  <si>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</si>
  <si>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</si>
  <si>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</si>
  <si>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</si>
  <si>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</si>
  <si>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</si>
  <si>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</si>
  <si>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</si>
  <si>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</si>
  <si>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</si>
  <si>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</si>
  <si>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</si>
  <si>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</si>
  <si>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</si>
  <si>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</si>
  <si>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</si>
  <si>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</si>
  <si>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</si>
  <si>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</si>
  <si>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</si>
  <si>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</si>
  <si>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</si>
  <si>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</si>
  <si>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</si>
  <si>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</si>
  <si>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</si>
  <si>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</si>
  <si>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</si>
  <si>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</si>
  <si>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</si>
  <si>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</si>
  <si>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</si>
  <si>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</si>
  <si>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</si>
  <si>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</si>
  <si>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</si>
  <si>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</si>
  <si>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</si>
  <si>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</si>
  <si>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</si>
  <si>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</si>
  <si>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</si>
  <si>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</si>
  <si>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</si>
  <si>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</si>
  <si>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</si>
  <si>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</si>
  <si>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</si>
  <si>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</si>
  <si>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</si>
  <si>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</si>
  <si>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</si>
  <si>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</si>
  <si>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</si>
  <si>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</si>
  <si>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</si>
  <si>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</si>
  <si>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</si>
  <si>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</si>
  <si>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</si>
  <si>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</si>
  <si>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</si>
  <si>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</si>
  <si>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</si>
  <si>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</si>
  <si>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</si>
  <si>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</si>
  <si>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</si>
  <si>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</si>
  <si>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</si>
  <si>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</si>
  <si>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</si>
  <si>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</si>
  <si>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</si>
  <si>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</si>
  <si>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</si>
  <si>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</si>
  <si>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</si>
  <si>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</si>
  <si>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</si>
  <si>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</si>
  <si>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</si>
  <si>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</si>
  <si>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</si>
  <si>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</si>
  <si>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</si>
  <si>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</si>
  <si>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</si>
  <si>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</si>
  <si>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</si>
  <si>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</si>
  <si>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</si>
  <si>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</si>
  <si>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</si>
  <si>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</si>
  <si>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</si>
  <si>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</si>
  <si>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</si>
  <si>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</si>
  <si>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</si>
  <si>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</si>
  <si>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</si>
  <si>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</si>
  <si>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</si>
  <si>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</si>
  <si>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</si>
  <si>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</si>
  <si>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</si>
  <si>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</si>
  <si>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</si>
  <si>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</si>
  <si>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</si>
  <si>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</si>
  <si>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</si>
  <si>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</si>
  <si>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</si>
  <si>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</si>
  <si>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</si>
  <si>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</si>
  <si>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</si>
  <si>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</si>
  <si>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</si>
  <si>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</si>
  <si>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</si>
  <si>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</si>
  <si>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</si>
  <si>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</si>
  <si>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</si>
  <si>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</si>
  <si>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</si>
  <si>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</si>
  <si>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</si>
  <si>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</si>
  <si>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</si>
  <si>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</si>
  <si>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</si>
  <si>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</si>
  <si>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</si>
  <si>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</si>
  <si>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</si>
  <si>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</si>
  <si>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</si>
  <si>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</si>
  <si>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</si>
  <si>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</si>
  <si>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</si>
  <si>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</si>
  <si>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</si>
  <si>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</si>
  <si>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</si>
  <si>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</si>
  <si>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</si>
  <si>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</si>
  <si>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</si>
  <si>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</si>
  <si>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</si>
  <si>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</si>
  <si>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</si>
  <si>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</si>
  <si>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</si>
  <si>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</si>
  <si>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</si>
  <si>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</si>
  <si>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</si>
  <si>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</si>
  <si>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</si>
  <si>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</si>
  <si>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</si>
  <si>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</si>
  <si>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</si>
  <si>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</si>
  <si>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</si>
  <si>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</si>
  <si>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</si>
  <si>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</si>
  <si>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</si>
  <si>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</si>
  <si>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</si>
  <si>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</si>
  <si>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</si>
  <si>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</si>
  <si>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</si>
  <si>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</si>
  <si>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</si>
  <si>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</si>
  <si>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</si>
  <si>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</si>
  <si>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</si>
  <si>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</si>
  <si>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</si>
  <si>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</si>
  <si>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</si>
  <si>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</si>
  <si>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</si>
  <si>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</si>
  <si>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</si>
  <si>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</si>
  <si>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</si>
  <si>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</si>
  <si>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</si>
  <si>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</si>
  <si>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</si>
  <si>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</si>
  <si>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</si>
  <si>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</si>
  <si>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</si>
  <si>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</si>
  <si>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</si>
  <si>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</si>
  <si>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</si>
  <si>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</si>
  <si>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</si>
  <si>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</si>
  <si>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</si>
  <si>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</si>
  <si>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</si>
  <si>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</si>
  <si>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</si>
  <si>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</si>
  <si>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</si>
  <si>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</si>
  <si>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</si>
  <si>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</si>
  <si>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</si>
  <si>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</si>
  <si>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</si>
  <si>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</si>
  <si>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</si>
  <si>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</si>
  <si>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</si>
  <si>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</si>
  <si>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</si>
  <si>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</si>
  <si>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</si>
  <si>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</si>
  <si>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</si>
  <si>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</si>
  <si>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</si>
  <si>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</si>
  <si>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</si>
  <si>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</si>
  <si>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</si>
  <si>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</si>
  <si>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</si>
  <si>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</si>
  <si>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</si>
  <si>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</si>
  <si>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</si>
  <si>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</si>
  <si>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</si>
  <si>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</si>
  <si>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</si>
  <si>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</si>
  <si>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</si>
  <si>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</si>
  <si>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</si>
  <si>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</si>
  <si>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</si>
  <si>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</si>
  <si>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</si>
  <si>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</si>
  <si>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</si>
  <si>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</si>
  <si>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</si>
  <si>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</si>
  <si>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</si>
  <si>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</si>
  <si>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</si>
  <si>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</si>
  <si>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</si>
  <si>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</si>
  <si>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</si>
  <si>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</si>
  <si>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</si>
  <si>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</si>
  <si>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</si>
  <si>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</si>
  <si>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</si>
  <si>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</si>
  <si>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</si>
  <si>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</si>
  <si>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</si>
  <si>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</si>
  <si>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</si>
  <si>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</si>
  <si>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</si>
  <si>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</si>
  <si>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</si>
  <si>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</si>
  <si>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</si>
  <si>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</si>
  <si>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</si>
  <si>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</si>
  <si>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</si>
  <si>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</si>
  <si>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</si>
  <si>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</si>
  <si>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</si>
  <si>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</si>
  <si>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</si>
  <si>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</si>
  <si>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</si>
  <si>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</si>
  <si>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</si>
  <si>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</si>
  <si>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</si>
  <si>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</si>
  <si>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</si>
  <si>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</si>
  <si>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</si>
  <si>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</si>
  <si>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</si>
  <si>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</si>
  <si>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</si>
  <si>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</si>
  <si>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</si>
  <si>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</si>
  <si>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</si>
  <si>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</si>
  <si>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</si>
  <si>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</si>
  <si>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</si>
  <si>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</si>
  <si>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</si>
  <si>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</si>
  <si>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</si>
  <si>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</si>
  <si>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</si>
  <si>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</si>
  <si>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</si>
  <si>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</si>
  <si>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</si>
  <si>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</si>
  <si>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</si>
  <si>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</si>
  <si>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</si>
  <si>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</si>
  <si>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</si>
  <si>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</si>
  <si>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</si>
  <si>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</si>
  <si>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</si>
  <si>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</si>
  <si>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</si>
  <si>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</si>
  <si>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</si>
  <si>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</si>
  <si>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</si>
  <si>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</si>
  <si>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</si>
  <si>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</si>
  <si>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</si>
  <si>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</si>
  <si>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</si>
  <si>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</si>
  <si>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</si>
  <si>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</si>
  <si>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</si>
  <si>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</si>
  <si>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</si>
  <si>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</si>
  <si>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</si>
  <si>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</si>
  <si>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</si>
  <si>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</si>
  <si>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</si>
  <si>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</si>
  <si>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</si>
  <si>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</si>
  <si>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</si>
  <si>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</si>
  <si>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</si>
  <si>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</si>
  <si>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</si>
  <si>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</si>
  <si>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</si>
  <si>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</si>
  <si>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</si>
  <si>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</si>
  <si>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</si>
  <si>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</si>
  <si>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</si>
  <si>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</si>
  <si>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</si>
  <si>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</si>
  <si>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</si>
  <si>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</si>
  <si>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</si>
  <si>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</si>
  <si>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</si>
  <si>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</si>
  <si>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</si>
  <si>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</si>
  <si>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</si>
  <si>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</si>
  <si>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</si>
  <si>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</si>
  <si>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</si>
  <si>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</si>
  <si>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</si>
  <si>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</si>
  <si>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</si>
  <si>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</si>
  <si>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</si>
  <si>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</si>
  <si>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</si>
  <si>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</si>
  <si>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</si>
  <si>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</si>
  <si>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</si>
  <si>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</si>
  <si>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</si>
  <si>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</si>
  <si>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</si>
  <si>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</si>
  <si>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</si>
  <si>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</si>
  <si>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</si>
  <si>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</si>
  <si>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</si>
  <si>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</si>
  <si>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</si>
  <si>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</si>
  <si>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</si>
  <si>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</si>
  <si>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</si>
  <si>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</si>
  <si>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</si>
  <si>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</si>
  <si>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</si>
  <si>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</si>
  <si>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</si>
  <si>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</si>
  <si>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</si>
  <si>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</si>
  <si>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</si>
  <si>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</si>
  <si>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</si>
  <si>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</si>
  <si>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</si>
  <si>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</si>
  <si>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</si>
  <si>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</si>
  <si>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</si>
  <si>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</si>
  <si>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</si>
  <si>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</si>
  <si>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</si>
  <si>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</si>
  <si>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</si>
  <si>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</si>
  <si>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</si>
  <si>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</si>
  <si>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</si>
  <si>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</si>
  <si>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</si>
  <si>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</si>
  <si>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</si>
  <si>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</si>
  <si>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</si>
  <si>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</si>
  <si>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</si>
  <si>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</si>
  <si>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</si>
  <si>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</si>
  <si>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</si>
  <si>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</si>
  <si>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</si>
  <si>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</si>
  <si>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</si>
  <si>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</si>
  <si>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</si>
  <si>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</si>
  <si>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</si>
  <si>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</si>
  <si>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</si>
  <si>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</si>
  <si>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</si>
  <si>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</si>
  <si>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</si>
  <si>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</si>
  <si>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</si>
  <si>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</si>
  <si>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</si>
  <si>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</si>
  <si>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</si>
  <si>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</si>
  <si>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</si>
  <si>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</si>
  <si>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</si>
  <si>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</si>
  <si>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</si>
  <si>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</si>
  <si>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</si>
  <si>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</si>
  <si>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</si>
  <si>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</si>
  <si>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</si>
  <si>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</si>
  <si>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</si>
  <si>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</si>
  <si>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</si>
  <si>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</si>
  <si>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</si>
  <si>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</si>
  <si>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</si>
  <si>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</si>
  <si>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</si>
  <si>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</si>
  <si>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</si>
  <si>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</si>
  <si>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</si>
  <si>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</si>
  <si>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</si>
  <si>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</si>
  <si>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</si>
  <si>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</si>
  <si>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</si>
  <si>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</si>
  <si>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</si>
  <si>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</si>
  <si>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</si>
  <si>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</si>
  <si>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</si>
  <si>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</si>
  <si>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</si>
  <si>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</si>
  <si>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</si>
  <si>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</si>
  <si>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</si>
  <si>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</si>
  <si>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</si>
  <si>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</si>
  <si>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</si>
  <si>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</si>
  <si>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</si>
  <si>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</si>
  <si>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</si>
  <si>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</si>
  <si>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</si>
  <si>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</si>
  <si>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</si>
  <si>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</si>
  <si>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</si>
  <si>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</si>
  <si>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</si>
  <si>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</si>
  <si>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</si>
  <si>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</si>
  <si>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</si>
  <si>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</si>
  <si>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</si>
  <si>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</si>
  <si>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</si>
  <si>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</si>
  <si>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</si>
  <si>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</si>
  <si>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</si>
  <si>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</si>
  <si>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</si>
  <si>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</si>
  <si>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</si>
  <si>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</si>
  <si>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</si>
  <si>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</si>
  <si>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</si>
  <si>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</si>
  <si>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</si>
  <si>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</si>
  <si>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</si>
  <si>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</si>
  <si>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</si>
  <si>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</si>
  <si>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</si>
  <si>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</si>
  <si>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</si>
  <si>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</si>
  <si>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</si>
  <si>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</si>
  <si>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</si>
  <si>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</si>
  <si>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</si>
  <si>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</si>
  <si>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</si>
  <si>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</si>
  <si>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</si>
  <si>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</si>
  <si>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</si>
  <si>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</si>
  <si>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</si>
  <si>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</si>
  <si>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</si>
  <si>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</si>
  <si>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</si>
  <si>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</si>
  <si>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</si>
  <si>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</si>
  <si>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</si>
  <si>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</si>
  <si>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</si>
  <si>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</si>
  <si>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</si>
  <si>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</si>
  <si>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</si>
  <si>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</si>
  <si>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</si>
  <si>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</si>
  <si>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</si>
  <si>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</si>
  <si>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</si>
  <si>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</si>
  <si>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</si>
  <si>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</si>
  <si>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</si>
  <si>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</si>
  <si>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</si>
  <si>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</si>
  <si>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</si>
  <si>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</si>
  <si>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</si>
  <si>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</si>
  <si>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</si>
  <si>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</si>
  <si>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</si>
  <si>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</si>
  <si>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</si>
  <si>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</si>
  <si>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</si>
  <si>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</si>
  <si>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</si>
  <si>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</si>
  <si>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</si>
  <si>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</si>
  <si>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</si>
  <si>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</si>
  <si>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</si>
  <si>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</si>
  <si>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</si>
  <si>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</si>
  <si>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</si>
  <si>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</si>
  <si>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</si>
  <si>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</si>
  <si>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</si>
  <si>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</si>
  <si>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</si>
  <si>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</si>
  <si>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</si>
  <si>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</si>
  <si>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</si>
  <si>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</si>
  <si>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</si>
  <si>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</si>
  <si>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</si>
  <si>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</si>
  <si>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</si>
  <si>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</si>
  <si>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</si>
  <si>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</si>
  <si>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</si>
  <si>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</si>
  <si>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</si>
  <si>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</si>
  <si>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</si>
  <si>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</si>
  <si>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</si>
  <si>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</si>
  <si>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</si>
  <si>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</si>
  <si>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</si>
  <si>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</si>
  <si>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</si>
  <si>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</si>
  <si>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</si>
  <si>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</si>
  <si>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</si>
  <si>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</si>
  <si>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</si>
  <si>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</si>
  <si>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</si>
  <si>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</si>
  <si>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</si>
  <si>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</si>
  <si>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</si>
  <si>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</si>
  <si>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</si>
  <si>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</si>
  <si>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</si>
  <si>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</si>
  <si>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</si>
  <si>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</si>
  <si>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</si>
  <si>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</si>
  <si>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</si>
  <si>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</si>
  <si>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</si>
  <si>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</si>
  <si>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</si>
  <si>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</si>
  <si>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</si>
  <si>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</si>
  <si>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</si>
  <si>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</si>
  <si>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</si>
  <si>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</si>
  <si>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</si>
  <si>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</si>
  <si>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</si>
  <si>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</si>
  <si>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</si>
  <si>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</si>
  <si>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</si>
  <si>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</si>
  <si>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</si>
  <si>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</si>
  <si>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</si>
  <si>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</si>
  <si>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</si>
  <si>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</si>
  <si>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</si>
  <si>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</si>
  <si>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</si>
  <si>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</si>
  <si>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</si>
  <si>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</si>
  <si>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</si>
  <si>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</si>
  <si>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</si>
  <si>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</si>
  <si>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</si>
  <si>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</si>
  <si>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</si>
  <si>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</si>
  <si>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</si>
  <si>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</si>
  <si>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</si>
  <si>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</si>
  <si>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</si>
  <si>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</si>
  <si>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</si>
  <si>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</si>
  <si>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</si>
  <si>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</si>
  <si>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</si>
  <si>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</si>
  <si>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</si>
  <si>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</si>
  <si>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</si>
  <si>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</si>
  <si>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</si>
  <si>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</si>
  <si>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</si>
  <si>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</si>
  <si>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</si>
  <si>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</si>
  <si>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</si>
  <si>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</si>
  <si>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</si>
  <si>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</si>
  <si>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</si>
  <si>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</si>
  <si>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</si>
  <si>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</si>
  <si>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</si>
  <si>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</si>
  <si>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</si>
  <si>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</si>
  <si>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</si>
  <si>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</si>
  <si>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</si>
  <si>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</si>
  <si>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</si>
  <si>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</si>
  <si>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</si>
  <si>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</si>
  <si>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</si>
  <si>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</si>
  <si>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</si>
  <si>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</si>
  <si>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</si>
  <si>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</si>
  <si>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</si>
  <si>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</si>
  <si>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</si>
  <si>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</si>
  <si>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</si>
  <si>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</si>
  <si>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</si>
  <si>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</si>
  <si>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</si>
  <si>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</si>
  <si>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</si>
  <si>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</si>
  <si>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</si>
  <si>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</si>
  <si>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</si>
  <si>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</si>
  <si>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</si>
  <si>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</si>
  <si>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</si>
  <si>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</si>
  <si>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</si>
  <si>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</si>
  <si>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</si>
  <si>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</si>
  <si>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</si>
  <si>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</si>
  <si>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</si>
  <si>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</si>
  <si>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</si>
  <si>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</si>
  <si>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</si>
  <si>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</si>
  <si>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</si>
  <si>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</si>
  <si>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</si>
  <si>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</si>
  <si>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</si>
  <si>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</si>
  <si>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</si>
  <si>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</si>
  <si>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</si>
  <si>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</si>
  <si>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</si>
  <si>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</si>
  <si>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</si>
  <si>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</si>
  <si>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</si>
  <si>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</si>
  <si>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</si>
  <si>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</si>
  <si>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</si>
  <si>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</si>
  <si>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</si>
  <si>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</si>
  <si>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</si>
  <si>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</si>
  <si>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</si>
  <si>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</si>
  <si>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</si>
  <si>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</si>
  <si>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</si>
  <si>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</si>
  <si>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</si>
  <si>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</si>
  <si>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</si>
  <si>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</si>
  <si>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</si>
  <si>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</si>
  <si>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</si>
  <si>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</si>
  <si>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</si>
  <si>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</si>
  <si>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</si>
  <si>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</si>
  <si>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</si>
  <si>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</si>
  <si>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</si>
  <si>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</si>
  <si>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</si>
  <si>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</si>
  <si>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</si>
  <si>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</si>
  <si>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</si>
  <si>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</si>
  <si>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</si>
  <si>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</si>
  <si>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</si>
  <si>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</si>
  <si>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</si>
  <si>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</si>
  <si>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</si>
  <si>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</si>
  <si>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</si>
  <si>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</si>
  <si>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</si>
  <si>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</si>
  <si>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</si>
  <si>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</si>
  <si>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</si>
  <si>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</si>
  <si>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</si>
  <si>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</si>
  <si>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</si>
  <si>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</si>
  <si>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</si>
  <si>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</si>
  <si>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</si>
  <si>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</si>
  <si>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</si>
  <si>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</si>
  <si>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</si>
  <si>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</si>
  <si>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</si>
  <si>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</si>
  <si>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</si>
  <si>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</si>
  <si>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</si>
  <si>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</si>
  <si>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</si>
  <si>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</si>
  <si>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</si>
  <si>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</si>
  <si>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</si>
  <si>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</si>
  <si>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</si>
  <si>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</si>
  <si>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</si>
  <si>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</si>
  <si>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</si>
  <si>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</si>
  <si>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</si>
  <si>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</si>
  <si>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</si>
  <si>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</si>
  <si>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</si>
  <si>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</si>
  <si>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</si>
  <si>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</si>
  <si>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</si>
  <si>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</si>
  <si>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</si>
  <si>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</si>
  <si>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</si>
  <si>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</si>
  <si>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</si>
  <si>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</si>
  <si>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</si>
  <si>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</si>
  <si>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</si>
  <si>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</si>
  <si>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</si>
  <si>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</si>
  <si>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</si>
  <si>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</si>
  <si>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</si>
  <si>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</si>
  <si>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</si>
  <si>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</si>
  <si>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</si>
  <si>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</si>
  <si>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</si>
  <si>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</si>
  <si>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</si>
  <si>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</si>
  <si>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</si>
  <si>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</si>
  <si>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</si>
  <si>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</si>
  <si>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</si>
  <si>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</si>
  <si>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</si>
  <si>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</si>
  <si>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</si>
  <si>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</si>
  <si>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</si>
  <si>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</si>
  <si>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</si>
  <si>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</si>
  <si>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</si>
  <si>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</si>
  <si>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</si>
  <si>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</si>
  <si>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</si>
  <si>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</si>
  <si>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</si>
  <si>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</si>
  <si>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</si>
  <si>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</si>
  <si>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</si>
  <si>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</si>
  <si>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</si>
  <si>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</si>
  <si>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</si>
  <si>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</si>
  <si>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</si>
  <si>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</si>
  <si>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</si>
  <si>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</si>
  <si>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</si>
  <si>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</si>
  <si>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</si>
  <si>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</si>
  <si>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</si>
  <si>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</si>
  <si>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</si>
  <si>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</si>
  <si>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</si>
  <si>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</si>
  <si>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</si>
  <si>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</si>
  <si>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</si>
  <si>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</si>
  <si>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</si>
  <si>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</si>
  <si>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</si>
  <si>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</si>
  <si>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</si>
  <si>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</si>
  <si>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</si>
  <si>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</si>
  <si>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</si>
  <si>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</si>
  <si>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</si>
  <si>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</si>
  <si>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</si>
  <si>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</si>
  <si>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</si>
  <si>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</si>
  <si>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</si>
  <si>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</si>
  <si>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</si>
  <si>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</si>
  <si>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</si>
  <si>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</si>
  <si>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</si>
  <si>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</si>
  <si>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</si>
  <si>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</si>
  <si>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</si>
  <si>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</si>
  <si>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</si>
  <si>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</si>
  <si>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</si>
  <si>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</si>
  <si>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</si>
  <si>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</si>
  <si>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</si>
  <si>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</si>
  <si>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</si>
  <si>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</si>
  <si>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</si>
  <si>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</si>
  <si>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</si>
  <si>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</si>
  <si>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</si>
  <si>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</si>
  <si>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</si>
  <si>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</si>
  <si>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</si>
  <si>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</si>
  <si>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</si>
  <si>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</si>
  <si>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</si>
  <si>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</si>
  <si>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</si>
  <si>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</si>
  <si>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</si>
  <si>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</si>
  <si>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</si>
  <si>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</si>
  <si>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</si>
  <si>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</si>
  <si>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</si>
  <si>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</si>
  <si>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</si>
  <si>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</si>
  <si>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</si>
  <si>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</si>
  <si>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</si>
  <si>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</si>
  <si>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</si>
  <si>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</si>
  <si>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</si>
  <si>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</si>
  <si>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</si>
  <si>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</si>
  <si>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</si>
  <si>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</si>
  <si>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</si>
  <si>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</si>
  <si>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</si>
  <si>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</si>
  <si>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</si>
  <si>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</si>
  <si>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</si>
  <si>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</si>
  <si>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</si>
  <si>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</si>
  <si>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</si>
  <si>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</si>
  <si>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</si>
  <si>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</si>
  <si>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</si>
  <si>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</si>
  <si>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</si>
  <si>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</si>
  <si>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</si>
  <si>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</si>
  <si>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</si>
  <si>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</si>
  <si>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</si>
  <si>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</si>
  <si>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</si>
  <si>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</si>
  <si>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</si>
  <si>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</si>
  <si>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</si>
  <si>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</si>
  <si>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</si>
  <si>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</si>
  <si>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</si>
  <si>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</si>
  <si>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</si>
  <si>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</si>
  <si>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</si>
  <si>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</si>
  <si>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</si>
  <si>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</si>
  <si>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</si>
  <si>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</si>
  <si>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</si>
  <si>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</si>
  <si>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</si>
  <si>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</si>
  <si>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</si>
  <si>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</si>
  <si>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</si>
  <si>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</si>
  <si>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</si>
  <si>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</si>
  <si>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</si>
  <si>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</si>
  <si>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</si>
  <si>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</si>
  <si>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</si>
  <si>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</si>
  <si>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</si>
  <si>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</si>
  <si>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</si>
  <si>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</si>
  <si>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</si>
  <si>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</si>
  <si>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</si>
  <si>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</si>
  <si>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</si>
  <si>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</si>
  <si>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</si>
  <si>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</si>
  <si>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</si>
  <si>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</si>
  <si>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</si>
  <si>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</si>
  <si>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</si>
  <si>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</si>
  <si>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</si>
  <si>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</si>
  <si>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</si>
  <si>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</si>
  <si>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</si>
  <si>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</si>
  <si>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</si>
  <si>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</si>
  <si>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</si>
  <si>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</si>
  <si>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</si>
  <si>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</si>
  <si>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</si>
  <si>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</si>
  <si>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</si>
  <si>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</si>
  <si>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</si>
  <si>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</si>
  <si>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</si>
  <si>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</si>
  <si>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</si>
  <si>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</si>
  <si>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</si>
  <si>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</si>
  <si>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</si>
  <si>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</si>
  <si>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</si>
  <si>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</si>
  <si>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</si>
  <si>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</si>
  <si>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</si>
  <si>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</si>
  <si>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</si>
  <si>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</si>
  <si>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</si>
  <si>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</si>
  <si>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</si>
  <si>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</si>
  <si>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</si>
  <si>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</si>
  <si>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</si>
  <si>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</si>
  <si>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</si>
  <si>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</si>
  <si>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</si>
  <si>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</si>
  <si>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</si>
  <si>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</si>
  <si>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</si>
  <si>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</si>
  <si>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</si>
  <si>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</si>
  <si>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</si>
  <si>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</si>
  <si>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</si>
  <si>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</si>
  <si>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</si>
  <si>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</si>
  <si>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</si>
  <si>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</si>
  <si>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</si>
  <si>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</si>
  <si>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</si>
  <si>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</si>
  <si>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</si>
  <si>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</si>
  <si>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</si>
  <si>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</si>
  <si>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</si>
  <si>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</si>
  <si>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</si>
  <si>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</si>
  <si>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</si>
  <si>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</si>
  <si>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</si>
  <si>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</si>
  <si>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</si>
  <si>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</si>
  <si>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</si>
  <si>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</si>
  <si>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</si>
  <si>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</si>
  <si>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</si>
  <si>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</si>
  <si>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</si>
  <si>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</si>
  <si>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</si>
  <si>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</si>
  <si>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</si>
  <si>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</si>
  <si>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</si>
  <si>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</si>
  <si>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</si>
  <si>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</si>
  <si>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</si>
  <si>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</si>
  <si>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</si>
  <si>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</si>
  <si>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</si>
  <si>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</si>
  <si>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</si>
  <si>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</si>
  <si>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</si>
  <si>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</si>
  <si>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</si>
  <si>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</si>
  <si>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</si>
  <si>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</si>
  <si>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</si>
  <si>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</si>
  <si>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</si>
  <si>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</si>
  <si>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</si>
  <si>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</si>
  <si>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</si>
  <si>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</si>
  <si>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</si>
  <si>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</si>
  <si>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</si>
  <si>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</si>
  <si>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</si>
  <si>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</si>
  <si>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</si>
  <si>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</si>
  <si>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</si>
  <si>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</si>
  <si>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</si>
  <si>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</si>
  <si>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</si>
  <si>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</si>
  <si>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</si>
  <si>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</si>
  <si>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</si>
  <si>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</si>
  <si>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</si>
  <si>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</si>
  <si>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</si>
  <si>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</si>
  <si>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</si>
  <si>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</si>
  <si>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</si>
  <si>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</si>
  <si>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</si>
  <si>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</si>
  <si>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</si>
  <si>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</si>
  <si>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</si>
  <si>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</si>
  <si>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</si>
  <si>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</si>
  <si>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</si>
  <si>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</si>
  <si>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</si>
  <si>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</si>
  <si>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</si>
  <si>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</si>
  <si>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</si>
  <si>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</si>
  <si>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</si>
  <si>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</si>
  <si>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</si>
  <si>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</si>
  <si>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</si>
  <si>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</si>
  <si>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</si>
  <si>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</si>
  <si>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</si>
  <si>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</si>
  <si>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</si>
  <si>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</si>
  <si>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</si>
  <si>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</si>
  <si>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</si>
  <si>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</si>
  <si>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</si>
  <si>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</si>
  <si>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</si>
  <si>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</si>
  <si>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</si>
  <si>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</si>
  <si>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</si>
  <si>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</si>
  <si>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</si>
  <si>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</si>
  <si>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</si>
  <si>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</si>
  <si>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</si>
  <si>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</si>
  <si>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</si>
  <si>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</si>
  <si>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</si>
  <si>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</si>
  <si>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</si>
  <si>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</si>
  <si>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</si>
  <si>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</si>
  <si>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</si>
  <si>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</si>
  <si>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</si>
  <si>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</si>
  <si>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</si>
  <si>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</si>
  <si>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</si>
  <si>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</si>
  <si>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</si>
  <si>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</si>
  <si>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</si>
  <si>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</si>
  <si>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</si>
  <si>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</si>
  <si>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</si>
  <si>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</si>
  <si>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</si>
  <si>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</si>
  <si>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</si>
  <si>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</si>
  <si>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</si>
  <si>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</si>
  <si>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</si>
  <si>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</si>
  <si>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</si>
  <si>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</si>
  <si>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</si>
  <si>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</si>
  <si>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</si>
  <si>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</si>
  <si>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</si>
  <si>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</si>
  <si>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</si>
  <si>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</si>
  <si>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</si>
  <si>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</si>
  <si>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</si>
  <si>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</si>
  <si>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</si>
  <si>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</si>
  <si>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</si>
  <si>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</si>
  <si>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</si>
  <si>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</si>
  <si>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</si>
  <si>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</si>
  <si>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</si>
  <si>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</si>
  <si>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</si>
  <si>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</si>
  <si>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</si>
  <si>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</si>
  <si>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</si>
  <si>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</si>
  <si>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</si>
  <si>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</si>
  <si>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</si>
  <si>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</si>
  <si>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</si>
  <si>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</si>
  <si>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</si>
  <si>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</si>
  <si>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</si>
  <si>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</si>
  <si>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</si>
  <si>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</si>
  <si>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</si>
  <si>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</si>
  <si>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</si>
  <si>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</si>
  <si>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</si>
  <si>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</si>
  <si>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</si>
  <si>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</si>
  <si>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</si>
  <si>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</si>
  <si>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</si>
  <si>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</si>
  <si>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</si>
  <si>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</si>
  <si>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</si>
  <si>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</si>
  <si>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</si>
  <si>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</si>
  <si>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</si>
  <si>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</si>
  <si>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</si>
  <si>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</si>
  <si>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</si>
  <si>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</si>
  <si>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</si>
  <si>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</si>
  <si>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</si>
  <si>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</si>
  <si>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</si>
  <si>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</si>
  <si>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</si>
  <si>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</si>
  <si>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</si>
  <si>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</si>
  <si>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</si>
  <si>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</si>
  <si>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</si>
  <si>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</si>
  <si>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</si>
  <si>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</si>
  <si>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</si>
  <si>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</si>
  <si>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</si>
  <si>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</si>
  <si>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</si>
  <si>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</si>
  <si>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</si>
  <si>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</si>
  <si>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</si>
  <si>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</si>
  <si>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</si>
  <si>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</si>
  <si>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</si>
  <si>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</si>
  <si>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</si>
  <si>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</si>
  <si>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</si>
  <si>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</si>
  <si>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</si>
  <si>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</si>
  <si>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</si>
  <si>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</si>
  <si>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</si>
  <si>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</si>
  <si>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</si>
  <si>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</si>
  <si>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</si>
  <si>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</si>
  <si>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</si>
  <si>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</si>
  <si>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</si>
  <si>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</si>
  <si>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</si>
  <si>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</si>
  <si>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</si>
  <si>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</si>
  <si>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</si>
  <si>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</si>
  <si>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</si>
  <si>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</si>
  <si>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</si>
  <si>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</si>
  <si>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</si>
  <si>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</si>
  <si>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</si>
  <si>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</si>
  <si>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</si>
  <si>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</si>
  <si>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</si>
  <si>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</si>
  <si>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</si>
  <si>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</si>
  <si>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</si>
  <si>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</si>
  <si>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</si>
  <si>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</si>
  <si>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</si>
  <si>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</si>
  <si>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</si>
  <si>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</si>
  <si>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</si>
  <si>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</si>
  <si>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</si>
  <si>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</si>
  <si>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</si>
  <si>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</si>
  <si>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</si>
  <si>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</si>
  <si>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</si>
  <si>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</si>
  <si>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</si>
  <si>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</si>
  <si>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</si>
  <si>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</si>
  <si>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</si>
  <si>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</si>
  <si>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</si>
  <si>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</si>
  <si>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</si>
  <si>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</si>
  <si>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</si>
  <si>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</si>
  <si>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</si>
  <si>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</si>
  <si>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</si>
  <si>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</si>
  <si>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</si>
  <si>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</si>
  <si>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</si>
  <si>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</si>
  <si>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</si>
  <si>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</si>
  <si>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</si>
  <si>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</si>
  <si>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</si>
  <si>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</si>
  <si>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</si>
  <si>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</si>
  <si>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</si>
  <si>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</si>
  <si>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</si>
  <si>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</si>
  <si>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</si>
  <si>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</si>
  <si>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</si>
  <si>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</si>
  <si>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</si>
  <si>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</si>
  <si>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</si>
  <si>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</si>
  <si>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</si>
  <si>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</si>
  <si>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</si>
  <si>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</si>
  <si>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</si>
  <si>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</si>
  <si>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</si>
  <si>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</si>
  <si>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</si>
  <si>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</si>
  <si>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</si>
  <si>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</si>
  <si>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</si>
  <si>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</si>
  <si>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</si>
  <si>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</si>
  <si>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</si>
  <si>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</si>
  <si>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</si>
  <si>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</si>
  <si>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</si>
  <si>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</si>
  <si>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</si>
  <si>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</si>
  <si>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</si>
  <si>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</si>
  <si>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</si>
  <si>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</si>
  <si>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</si>
  <si>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</si>
  <si>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</si>
  <si>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</si>
  <si>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</si>
  <si>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</si>
  <si>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</si>
  <si>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</si>
  <si>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</si>
  <si>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</si>
  <si>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</si>
  <si>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</si>
  <si>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</si>
  <si>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</si>
  <si>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</si>
  <si>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</si>
  <si>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</si>
  <si>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</si>
  <si>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</si>
  <si>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</si>
  <si>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</si>
  <si>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</si>
  <si>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</si>
  <si>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</si>
  <si>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</si>
  <si>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</si>
  <si>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</si>
  <si>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</si>
  <si>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</si>
  <si>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</si>
  <si>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</si>
  <si>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</si>
  <si>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</si>
  <si>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</si>
  <si>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</si>
  <si>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</si>
  <si>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</si>
  <si>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</si>
  <si>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</si>
  <si>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</si>
  <si>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</si>
  <si>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</si>
  <si>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</si>
  <si>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</si>
  <si>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</si>
  <si>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</si>
  <si>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</si>
  <si>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</si>
  <si>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</si>
  <si>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</si>
  <si>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</si>
  <si>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</si>
  <si>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</si>
  <si>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</si>
  <si>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</si>
  <si>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</si>
  <si>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</si>
  <si>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</si>
  <si>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</si>
  <si>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</si>
  <si>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</si>
  <si>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</si>
  <si>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</si>
  <si>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</si>
  <si>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</si>
  <si>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</si>
  <si>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</si>
  <si>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</si>
  <si>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</si>
  <si>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</si>
  <si>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</si>
  <si>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</si>
  <si>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</si>
  <si>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</si>
  <si>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</si>
  <si>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</si>
  <si>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</si>
  <si>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</si>
  <si>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</si>
  <si>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</si>
  <si>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</si>
  <si>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</si>
  <si>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</si>
  <si>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</si>
  <si>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</si>
  <si>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</si>
  <si>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</si>
  <si>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</si>
  <si>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</si>
  <si>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</si>
  <si>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</si>
  <si>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</si>
  <si>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</si>
  <si>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</si>
  <si>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</si>
  <si>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</si>
  <si>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</si>
  <si>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</si>
  <si>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</si>
  <si>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</si>
  <si>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</si>
  <si>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</si>
  <si>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</si>
  <si>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</si>
  <si>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</si>
  <si>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</si>
  <si>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</si>
  <si>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</si>
  <si>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</si>
  <si>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</si>
  <si>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</si>
  <si>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</si>
  <si>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</si>
  <si>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</si>
  <si>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</si>
  <si>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</si>
  <si>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</si>
  <si>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</si>
  <si>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</si>
  <si>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</si>
  <si>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</si>
  <si>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</si>
  <si>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</si>
  <si>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</si>
  <si>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</si>
  <si>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</si>
  <si>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</si>
  <si>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</si>
  <si>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</si>
  <si>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</si>
  <si>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</si>
  <si>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</si>
  <si>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</si>
  <si>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</si>
  <si>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</si>
  <si>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</si>
  <si>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</si>
  <si>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</si>
  <si>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</si>
  <si>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</si>
  <si>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</si>
  <si>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</si>
  <si>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</si>
  <si>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</si>
  <si>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</si>
  <si>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</si>
  <si>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</si>
  <si>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</si>
  <si>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</si>
  <si>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</si>
  <si>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</si>
  <si>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</si>
  <si>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</si>
  <si>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</si>
  <si>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</si>
  <si>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</si>
  <si>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</si>
  <si>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</si>
  <si>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</si>
  <si>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</si>
  <si>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</si>
  <si>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</si>
  <si>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</si>
  <si>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</si>
  <si>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</si>
  <si>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</si>
  <si>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</si>
  <si>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</si>
  <si>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</si>
  <si>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</si>
  <si>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</si>
  <si>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</si>
  <si>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</si>
  <si>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</si>
  <si>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</si>
  <si>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</si>
  <si>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</si>
  <si>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</si>
  <si>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</si>
  <si>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</si>
  <si>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</si>
  <si>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</si>
  <si>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</si>
  <si>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</si>
  <si>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</si>
  <si>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</si>
  <si>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</si>
  <si>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</si>
  <si>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</si>
  <si>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</si>
  <si>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</si>
  <si>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</si>
  <si>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</si>
  <si>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</si>
  <si>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</si>
  <si>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</si>
  <si>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较好</t>
    <rPh sb="0" eb="1">
      <t>yi ban</t>
    </rPh>
    <phoneticPr fontId="31" type="noConversion"/>
  </si>
  <si>
    <t>1层</t>
  </si>
  <si>
    <t>住宅配套</t>
  </si>
  <si>
    <t>钢混</t>
  </si>
  <si>
    <t>精装修</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</si>
  <si>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</si>
  <si>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</si>
  <si>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</si>
  <si>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</si>
  <si>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</si>
  <si>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</si>
  <si>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</si>
  <si>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</si>
  <si>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</si>
  <si>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</si>
  <si>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</si>
  <si>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</si>
  <si>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</si>
  <si>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</si>
  <si>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</si>
  <si>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</si>
  <si>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</si>
  <si>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</si>
  <si>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</si>
  <si>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</si>
  <si>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</si>
  <si>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</si>
  <si>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</si>
  <si>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</si>
  <si>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</si>
  <si>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</si>
  <si>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</si>
  <si>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</si>
  <si>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</si>
  <si>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</si>
  <si>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</si>
  <si>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</si>
  <si>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</si>
  <si>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</si>
  <si>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</si>
  <si>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</si>
  <si>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</si>
  <si>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</si>
  <si>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</si>
  <si>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</si>
  <si>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</si>
  <si>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</si>
  <si>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</si>
  <si>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</si>
  <si>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</si>
  <si>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</si>
  <si>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</si>
  <si>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</si>
  <si>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</si>
  <si>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</si>
  <si>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</si>
  <si>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</si>
  <si>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</si>
  <si>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</si>
  <si>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</si>
  <si>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</si>
  <si>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</si>
  <si>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</si>
  <si>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</si>
  <si>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</si>
  <si>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</si>
  <si>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</si>
  <si>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</si>
  <si>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</si>
  <si>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</si>
  <si>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</si>
  <si>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</si>
  <si>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</si>
  <si>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</si>
  <si>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</si>
  <si>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</si>
  <si>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</si>
  <si>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</si>
  <si>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普通装修</t>
  </si>
  <si>
    <t>龙湖唐宁one</t>
    <phoneticPr fontId="134" type="noConversion"/>
  </si>
  <si>
    <t>建成时间</t>
    <phoneticPr fontId="134" type="noConversion"/>
  </si>
  <si>
    <t>售价</t>
    <phoneticPr fontId="134" type="noConversion"/>
  </si>
  <si>
    <t>直接资本化率</t>
    <phoneticPr fontId="134" type="noConversion"/>
  </si>
  <si>
    <t>租金</t>
    <phoneticPr fontId="134" type="noConversion"/>
  </si>
  <si>
    <t>双面临街</t>
  </si>
  <si>
    <t>租户峨眉酒家，纯一层</t>
    <phoneticPr fontId="134" type="noConversion"/>
  </si>
  <si>
    <t>买的早，税费高（500-600万）</t>
    <phoneticPr fontId="134" type="noConversion"/>
  </si>
  <si>
    <t>算上税费大概7万元单价</t>
    <phoneticPr fontId="134" type="noConversion"/>
  </si>
  <si>
    <r>
      <t>5</t>
    </r>
    <r>
      <rPr>
        <sz val="11"/>
        <color theme="1"/>
        <rFont val="宋体"/>
        <family val="3"/>
        <charset val="134"/>
        <scheme val="minor"/>
      </rPr>
      <t>20平米，3900万，75000单价</t>
    </r>
    <phoneticPr fontId="134" type="noConversion"/>
  </si>
  <si>
    <t>预计租金300万</t>
    <phoneticPr fontId="134" type="noConversion"/>
  </si>
  <si>
    <t>市调项目租售部：</t>
    <phoneticPr fontId="134" type="noConversion"/>
  </si>
  <si>
    <t>永丰智慧谷</t>
    <phoneticPr fontId="134" type="noConversion"/>
  </si>
  <si>
    <t>3-8层办公（商业立项），单层面积1850-1900㎡，得房率80%，售价53000-54000报价。</t>
    <phoneticPr fontId="134" type="noConversion"/>
  </si>
  <si>
    <t>1-2层商业，售价64000,1、2层均价，价格差不多（中指查询，确实1、2层售价基本一致）。</t>
    <phoneticPr fontId="134" type="noConversion"/>
  </si>
  <si>
    <t>办公租金4-5元，商业租金8-10元（使用面积计租）</t>
    <phoneticPr fontId="134" type="noConversion"/>
  </si>
  <si>
    <t>物业费办公30元/㎡/月、商业40元/㎡/月</t>
    <phoneticPr fontId="134" type="noConversion"/>
  </si>
  <si>
    <t>车位30万/个，租金450-500左右/月</t>
    <phoneticPr fontId="134" type="noConversion"/>
  </si>
  <si>
    <t>居住项目</t>
  </si>
  <si>
    <t>一般</t>
    <phoneticPr fontId="3" type="noConversion"/>
  </si>
  <si>
    <t>一般</t>
    <phoneticPr fontId="3" type="noConversion"/>
  </si>
  <si>
    <t>直接资本化</t>
    <phoneticPr fontId="134" type="noConversion"/>
  </si>
  <si>
    <t>项目名称</t>
    <phoneticPr fontId="134" type="noConversion"/>
  </si>
  <si>
    <t>中创芯中心</t>
    <phoneticPr fontId="134" type="noConversion"/>
  </si>
  <si>
    <t>永丰智慧谷中心</t>
    <phoneticPr fontId="134" type="noConversion"/>
  </si>
  <si>
    <t>丰台科技园金茂写字楼底商，纯一层</t>
    <phoneticPr fontId="134" type="noConversion"/>
  </si>
  <si>
    <t>中关村壹号</t>
    <phoneticPr fontId="134" type="noConversion"/>
  </si>
  <si>
    <t>单价</t>
    <phoneticPr fontId="134" type="noConversion"/>
  </si>
  <si>
    <t>面积</t>
    <phoneticPr fontId="134" type="noConversion"/>
  </si>
  <si>
    <t>时间</t>
    <phoneticPr fontId="134" type="noConversion"/>
  </si>
  <si>
    <t>30-40</t>
    <phoneticPr fontId="134" type="noConversion"/>
  </si>
  <si>
    <t>0-10</t>
    <phoneticPr fontId="134" type="noConversion"/>
  </si>
  <si>
    <t>10-20</t>
    <phoneticPr fontId="134" type="noConversion"/>
  </si>
  <si>
    <t>20-30</t>
    <phoneticPr fontId="134" type="noConversion"/>
  </si>
  <si>
    <t>永丰智慧谷</t>
    <phoneticPr fontId="134" type="noConversion"/>
  </si>
  <si>
    <t>大牛坊社区</t>
    <phoneticPr fontId="134" type="noConversion"/>
  </si>
  <si>
    <t>绿地中央公园</t>
    <phoneticPr fontId="134" type="noConversion"/>
  </si>
  <si>
    <t xml:space="preserve">楼层 </t>
    <phoneticPr fontId="3" type="noConversion"/>
  </si>
  <si>
    <t>租户编号</t>
    <phoneticPr fontId="3" type="noConversion"/>
  </si>
  <si>
    <t>租户名称</t>
    <phoneticPr fontId="3" type="noConversion"/>
  </si>
  <si>
    <t>品牌</t>
    <phoneticPr fontId="3" type="noConversion"/>
  </si>
  <si>
    <t>业态</t>
    <phoneticPr fontId="3" type="noConversion"/>
  </si>
  <si>
    <t>租赁面积（平米）</t>
    <phoneticPr fontId="3" type="noConversion"/>
  </si>
  <si>
    <t>空置面积</t>
    <phoneticPr fontId="287" type="noConversion"/>
  </si>
  <si>
    <t>租赁开起日</t>
    <phoneticPr fontId="3" type="noConversion"/>
  </si>
  <si>
    <t>租赁到期日</t>
    <phoneticPr fontId="3" type="noConversion"/>
  </si>
  <si>
    <t>租金（平米/天）</t>
    <phoneticPr fontId="3" type="noConversion"/>
  </si>
  <si>
    <t>提成</t>
    <phoneticPr fontId="3" type="noConversion"/>
  </si>
  <si>
    <t>月租金</t>
    <phoneticPr fontId="287" type="noConversion"/>
  </si>
  <si>
    <t>物业费</t>
    <phoneticPr fontId="287" type="noConversion"/>
  </si>
  <si>
    <t>备注</t>
    <phoneticPr fontId="3" type="noConversion"/>
  </si>
  <si>
    <t>LB</t>
    <phoneticPr fontId="3" type="noConversion"/>
  </si>
  <si>
    <t>LB01</t>
    <phoneticPr fontId="3" type="noConversion"/>
  </si>
  <si>
    <t>北京华联精品超市
有限公司</t>
    <phoneticPr fontId="3" type="noConversion"/>
  </si>
  <si>
    <t>华联超市</t>
    <phoneticPr fontId="3" type="noConversion"/>
  </si>
  <si>
    <t>超市</t>
    <phoneticPr fontId="287" type="noConversion"/>
  </si>
  <si>
    <t>2008.7.4</t>
  </si>
  <si>
    <t>2023.7.3</t>
  </si>
  <si>
    <t>LB02-03</t>
    <phoneticPr fontId="3" type="noConversion"/>
  </si>
  <si>
    <t>北京欧陆家宴商业运营管理有限公司</t>
  </si>
  <si>
    <t>MeetingMart市集</t>
    <phoneticPr fontId="3" type="noConversion"/>
  </si>
  <si>
    <t>生活配套</t>
    <phoneticPr fontId="3" type="noConversion"/>
  </si>
  <si>
    <t>净营业额25%</t>
    <phoneticPr fontId="287" type="noConversion"/>
  </si>
  <si>
    <t>无物业费</t>
    <phoneticPr fontId="287" type="noConversion"/>
  </si>
  <si>
    <t>LB04a</t>
    <phoneticPr fontId="3" type="noConversion"/>
  </si>
  <si>
    <t>北京来易好大药房有限公司</t>
    <phoneticPr fontId="3" type="noConversion"/>
  </si>
  <si>
    <t>来易好药店</t>
    <phoneticPr fontId="3" type="noConversion"/>
  </si>
  <si>
    <t>2019.9.1</t>
    <phoneticPr fontId="287" type="noConversion"/>
  </si>
  <si>
    <t>LB06</t>
    <phoneticPr fontId="3" type="noConversion"/>
  </si>
  <si>
    <t>LB07-LB08-LB09a</t>
    <phoneticPr fontId="3" type="noConversion"/>
  </si>
  <si>
    <t>北京固瑞益康科技有限公司</t>
    <phoneticPr fontId="3" type="noConversion"/>
  </si>
  <si>
    <t>固瑞齿科</t>
    <phoneticPr fontId="3" type="noConversion"/>
  </si>
  <si>
    <t>服务</t>
    <phoneticPr fontId="3" type="noConversion"/>
  </si>
  <si>
    <t>2013.5.15</t>
    <phoneticPr fontId="287" type="noConversion"/>
  </si>
  <si>
    <t>2023.5.14</t>
    <phoneticPr fontId="287" type="noConversion"/>
  </si>
  <si>
    <t>LB09</t>
    <phoneticPr fontId="3" type="noConversion"/>
  </si>
  <si>
    <t>北京阳春小镇商贸有限公司</t>
    <phoneticPr fontId="3" type="noConversion"/>
  </si>
  <si>
    <t>阳春小镇</t>
    <phoneticPr fontId="3" type="noConversion"/>
  </si>
  <si>
    <t>零售</t>
    <phoneticPr fontId="287" type="noConversion"/>
  </si>
  <si>
    <t>2019.6.10</t>
    <phoneticPr fontId="287" type="noConversion"/>
  </si>
  <si>
    <r>
      <t>2</t>
    </r>
    <r>
      <rPr>
        <sz val="9"/>
        <rFont val="宋体"/>
        <family val="3"/>
        <charset val="134"/>
      </rPr>
      <t>0000/月</t>
    </r>
    <phoneticPr fontId="287" type="noConversion"/>
  </si>
  <si>
    <t>无物业费</t>
    <phoneticPr fontId="287" type="noConversion"/>
  </si>
  <si>
    <t>LB10a</t>
    <phoneticPr fontId="3" type="noConversion"/>
  </si>
  <si>
    <t>北京燕屋一品商贸有限责任公司</t>
    <phoneticPr fontId="3" type="noConversion"/>
  </si>
  <si>
    <t>燕之屋</t>
    <phoneticPr fontId="3" type="noConversion"/>
  </si>
  <si>
    <t>LB10b</t>
  </si>
  <si>
    <t>北京欧陆韩济庄商贸部</t>
  </si>
  <si>
    <t>高丽红参</t>
    <phoneticPr fontId="287" type="noConversion"/>
  </si>
  <si>
    <t>每月填</t>
    <phoneticPr fontId="287" type="noConversion"/>
  </si>
  <si>
    <t>LB11</t>
    <phoneticPr fontId="3" type="noConversion"/>
  </si>
  <si>
    <t>北京宝信成路商贸有限公司</t>
    <phoneticPr fontId="3" type="noConversion"/>
  </si>
  <si>
    <t>宝度优品</t>
    <phoneticPr fontId="3" type="noConversion"/>
  </si>
  <si>
    <t>2019.11.21</t>
    <phoneticPr fontId="287" type="noConversion"/>
  </si>
  <si>
    <t>LB12</t>
    <phoneticPr fontId="3" type="noConversion"/>
  </si>
  <si>
    <t>北京天龙启辰科技有限公司</t>
    <phoneticPr fontId="287" type="noConversion"/>
  </si>
  <si>
    <t>秋明众和数码馆</t>
    <phoneticPr fontId="287" type="noConversion"/>
  </si>
  <si>
    <t>服务/零售</t>
    <phoneticPr fontId="3" type="noConversion"/>
  </si>
  <si>
    <t>LB13</t>
    <phoneticPr fontId="287" type="noConversion"/>
  </si>
  <si>
    <t>北京原明家政服务有限公司</t>
    <phoneticPr fontId="287" type="noConversion"/>
  </si>
  <si>
    <t>原明家政</t>
    <phoneticPr fontId="287" type="noConversion"/>
  </si>
  <si>
    <t>服务</t>
    <phoneticPr fontId="287" type="noConversion"/>
  </si>
  <si>
    <t>楼层面积</t>
    <phoneticPr fontId="287" type="noConversion"/>
  </si>
  <si>
    <t>L1</t>
    <phoneticPr fontId="3" type="noConversion"/>
  </si>
  <si>
    <t>L101A</t>
    <phoneticPr fontId="3" type="noConversion"/>
  </si>
  <si>
    <t>北京麦当劳食品有限公司后</t>
    <phoneticPr fontId="3" type="noConversion"/>
  </si>
  <si>
    <t>麦当劳</t>
    <phoneticPr fontId="3" type="noConversion"/>
  </si>
  <si>
    <t>餐饮</t>
    <phoneticPr fontId="3" type="noConversion"/>
  </si>
  <si>
    <t>2008.1.11</t>
  </si>
  <si>
    <t>2028.1.10</t>
    <phoneticPr fontId="287" type="noConversion"/>
  </si>
  <si>
    <t>二者取高</t>
    <phoneticPr fontId="287" type="noConversion"/>
  </si>
  <si>
    <t>L101</t>
    <phoneticPr fontId="3" type="noConversion"/>
  </si>
  <si>
    <t>北京吉野家快餐有限公司</t>
    <phoneticPr fontId="3" type="noConversion"/>
  </si>
  <si>
    <t>吉野家</t>
    <phoneticPr fontId="3" type="noConversion"/>
  </si>
  <si>
    <t>2008.11.8</t>
    <phoneticPr fontId="287" type="noConversion"/>
  </si>
  <si>
    <t>2024.11.7</t>
    <phoneticPr fontId="287" type="noConversion"/>
  </si>
  <si>
    <t>L102</t>
    <phoneticPr fontId="3" type="noConversion"/>
  </si>
  <si>
    <t>天好（北京）餐饮服务有限公司</t>
  </si>
  <si>
    <t>tim</t>
    <phoneticPr fontId="287" type="noConversion"/>
  </si>
  <si>
    <t>二者取高</t>
    <phoneticPr fontId="287" type="noConversion"/>
  </si>
  <si>
    <t>L103-104</t>
    <phoneticPr fontId="3" type="noConversion"/>
  </si>
  <si>
    <t>餐饮</t>
    <phoneticPr fontId="3" type="noConversion"/>
  </si>
  <si>
    <t>L105-106a</t>
    <phoneticPr fontId="3" type="noConversion"/>
  </si>
  <si>
    <t>北京星巴克咖啡有限公司</t>
    <phoneticPr fontId="3" type="noConversion"/>
  </si>
  <si>
    <t>星巴克</t>
    <phoneticPr fontId="3" type="noConversion"/>
  </si>
  <si>
    <t>2013.12.29</t>
    <phoneticPr fontId="287" type="noConversion"/>
  </si>
  <si>
    <t>L106b</t>
    <phoneticPr fontId="287" type="noConversion"/>
  </si>
  <si>
    <t>北京十八几文化发展有限公司</t>
    <phoneticPr fontId="287" type="noConversion"/>
  </si>
  <si>
    <t>十八几花木研究所</t>
    <phoneticPr fontId="287" type="noConversion"/>
  </si>
  <si>
    <t>零售</t>
    <phoneticPr fontId="287" type="noConversion"/>
  </si>
  <si>
    <t>L107-L108</t>
    <phoneticPr fontId="3" type="noConversion"/>
  </si>
  <si>
    <t>北京奈雪餐饮管理有限公司</t>
  </si>
  <si>
    <t>奈雪的茶</t>
    <phoneticPr fontId="287" type="noConversion"/>
  </si>
  <si>
    <t>餐饮</t>
    <phoneticPr fontId="3" type="noConversion"/>
  </si>
  <si>
    <t>二者取高</t>
    <phoneticPr fontId="287" type="noConversion"/>
  </si>
  <si>
    <t>L109-110</t>
    <phoneticPr fontId="3" type="noConversion"/>
  </si>
  <si>
    <t>L111</t>
    <phoneticPr fontId="3" type="noConversion"/>
  </si>
  <si>
    <t>北京天天发财餐饮管理有限公司</t>
    <phoneticPr fontId="287" type="noConversion"/>
  </si>
  <si>
    <t>Rich Burger汉堡</t>
    <phoneticPr fontId="287" type="noConversion"/>
  </si>
  <si>
    <t>L112</t>
    <phoneticPr fontId="3" type="noConversion"/>
  </si>
  <si>
    <t>凫满( 北京）餐饮管理有限公司</t>
    <phoneticPr fontId="287" type="noConversion"/>
  </si>
  <si>
    <t>凫满私房菜</t>
    <phoneticPr fontId="287" type="noConversion"/>
  </si>
  <si>
    <t>L113a</t>
    <phoneticPr fontId="3" type="noConversion"/>
  </si>
  <si>
    <t>北京真功夫快餐连锁管理有限公司</t>
    <phoneticPr fontId="3" type="noConversion"/>
  </si>
  <si>
    <t>真功夫餐厅</t>
    <phoneticPr fontId="3" type="noConversion"/>
  </si>
  <si>
    <t>2015.11.10</t>
    <phoneticPr fontId="287" type="noConversion"/>
  </si>
  <si>
    <t>2023.11.9</t>
    <phoneticPr fontId="287" type="noConversion"/>
  </si>
  <si>
    <t>纯抽</t>
    <phoneticPr fontId="287" type="noConversion"/>
  </si>
  <si>
    <t>每月填</t>
    <phoneticPr fontId="287" type="noConversion"/>
  </si>
  <si>
    <t>L113b</t>
    <phoneticPr fontId="3" type="noConversion"/>
  </si>
  <si>
    <t>L114a-L114b</t>
    <phoneticPr fontId="3" type="noConversion"/>
  </si>
  <si>
    <t>何必是家餐饮管理（北京）有限公司</t>
    <phoneticPr fontId="287" type="noConversion"/>
  </si>
  <si>
    <t>何必是家</t>
    <phoneticPr fontId="287" type="noConversion"/>
  </si>
  <si>
    <t>餐饮</t>
    <phoneticPr fontId="3" type="noConversion"/>
  </si>
  <si>
    <t>纯抽</t>
    <phoneticPr fontId="287" type="noConversion"/>
  </si>
  <si>
    <t>每月填</t>
    <phoneticPr fontId="287" type="noConversion"/>
  </si>
  <si>
    <t>L115/L116</t>
    <phoneticPr fontId="3" type="noConversion"/>
  </si>
  <si>
    <t>L117</t>
    <phoneticPr fontId="3" type="noConversion"/>
  </si>
  <si>
    <t>北京英龙华辰科技有限公司</t>
    <phoneticPr fontId="3" type="noConversion"/>
  </si>
  <si>
    <t>苹果授权店</t>
    <phoneticPr fontId="3" type="noConversion"/>
  </si>
  <si>
    <t>零售</t>
    <phoneticPr fontId="287" type="noConversion"/>
  </si>
  <si>
    <t>二者取高</t>
    <phoneticPr fontId="287" type="noConversion"/>
  </si>
  <si>
    <t>L118</t>
    <phoneticPr fontId="3" type="noConversion"/>
  </si>
  <si>
    <t>盛唐概念（北京）服装饰品有限公司</t>
    <phoneticPr fontId="287" type="noConversion"/>
  </si>
  <si>
    <t>香氛</t>
    <phoneticPr fontId="287" type="noConversion"/>
  </si>
  <si>
    <t>L119</t>
    <phoneticPr fontId="3" type="noConversion"/>
  </si>
  <si>
    <t>北京本简商贸有限公司</t>
  </si>
  <si>
    <t>行走的艺术</t>
    <phoneticPr fontId="3" type="noConversion"/>
  </si>
  <si>
    <t>零售</t>
    <phoneticPr fontId="3" type="noConversion"/>
  </si>
  <si>
    <t>L120-123-L124</t>
    <phoneticPr fontId="3" type="noConversion"/>
  </si>
  <si>
    <t>中国工商银行股份有限公司北京顺义支行</t>
    <phoneticPr fontId="3" type="noConversion"/>
  </si>
  <si>
    <t>工商银行</t>
    <phoneticPr fontId="3" type="noConversion"/>
  </si>
  <si>
    <t>2019.1.1</t>
    <phoneticPr fontId="287" type="noConversion"/>
  </si>
  <si>
    <t>2024.7.5</t>
    <phoneticPr fontId="287" type="noConversion"/>
  </si>
  <si>
    <t>楼层面积</t>
    <phoneticPr fontId="287" type="noConversion"/>
  </si>
  <si>
    <t>L2</t>
    <phoneticPr fontId="3" type="noConversion"/>
  </si>
  <si>
    <t>L205</t>
    <phoneticPr fontId="3" type="noConversion"/>
  </si>
  <si>
    <t>北京欧衣坊服饰店</t>
    <phoneticPr fontId="3" type="noConversion"/>
  </si>
  <si>
    <t>欧衣坊服饰</t>
    <phoneticPr fontId="3" type="noConversion"/>
  </si>
  <si>
    <t>2017.4.1</t>
    <phoneticPr fontId="287" type="noConversion"/>
  </si>
  <si>
    <t>L205A</t>
    <phoneticPr fontId="3" type="noConversion"/>
  </si>
  <si>
    <t>北京雅衣美裳服装店</t>
    <phoneticPr fontId="3" type="noConversion"/>
  </si>
  <si>
    <t>挚友服饰</t>
    <phoneticPr fontId="3" type="noConversion"/>
  </si>
  <si>
    <t>零售</t>
    <phoneticPr fontId="3" type="noConversion"/>
  </si>
  <si>
    <t>2018.4.1</t>
    <phoneticPr fontId="287" type="noConversion"/>
  </si>
  <si>
    <t>L206</t>
    <phoneticPr fontId="3" type="noConversion"/>
  </si>
  <si>
    <t>北京摩卡颜色商贸有限公司</t>
  </si>
  <si>
    <t>摩卡颜色</t>
    <phoneticPr fontId="287" type="noConversion"/>
  </si>
  <si>
    <t>L207</t>
    <phoneticPr fontId="3" type="noConversion"/>
  </si>
  <si>
    <t>北京前进枧山品牌管理有限公司</t>
    <phoneticPr fontId="287" type="noConversion"/>
  </si>
  <si>
    <t>WITH.ER</t>
    <phoneticPr fontId="287" type="noConversion"/>
  </si>
  <si>
    <t>L208</t>
    <phoneticPr fontId="3" type="noConversion"/>
  </si>
  <si>
    <t>北京霖可服装有限公司</t>
    <phoneticPr fontId="3" type="noConversion"/>
  </si>
  <si>
    <t>L.ink</t>
    <phoneticPr fontId="3" type="noConversion"/>
  </si>
  <si>
    <t>零售</t>
    <phoneticPr fontId="3" type="noConversion"/>
  </si>
  <si>
    <t>2019.8.20</t>
    <phoneticPr fontId="287" type="noConversion"/>
  </si>
  <si>
    <t>L209</t>
    <phoneticPr fontId="3" type="noConversion"/>
  </si>
  <si>
    <t>北京萨娃娜莉优妮阁服饰店</t>
    <phoneticPr fontId="3" type="noConversion"/>
  </si>
  <si>
    <t>萨娃娜莉优妮阁</t>
    <phoneticPr fontId="3" type="noConversion"/>
  </si>
  <si>
    <t>L210</t>
    <phoneticPr fontId="3" type="noConversion"/>
  </si>
  <si>
    <t>L211</t>
    <phoneticPr fontId="3" type="noConversion"/>
  </si>
  <si>
    <t>北京市顺义区天竺镇李吉星服饰店</t>
    <phoneticPr fontId="3" type="noConversion"/>
  </si>
  <si>
    <t>美丽时装馆</t>
    <phoneticPr fontId="3" type="noConversion"/>
  </si>
  <si>
    <t>2012.2.1</t>
    <phoneticPr fontId="287" type="noConversion"/>
  </si>
  <si>
    <t>L212</t>
    <phoneticPr fontId="3" type="noConversion"/>
  </si>
  <si>
    <t>北京海晴国华商贸中心</t>
    <phoneticPr fontId="287" type="noConversion"/>
  </si>
  <si>
    <t>设计师集合</t>
    <phoneticPr fontId="287" type="noConversion"/>
  </si>
  <si>
    <t>L213-214</t>
    <phoneticPr fontId="3" type="noConversion"/>
  </si>
  <si>
    <t>北京见方餐饮管理有限公司</t>
    <phoneticPr fontId="287" type="noConversion"/>
  </si>
  <si>
    <t>福全馆</t>
    <phoneticPr fontId="287" type="noConversion"/>
  </si>
  <si>
    <t>餐饮</t>
    <phoneticPr fontId="287" type="noConversion"/>
  </si>
  <si>
    <t>2022.5.1</t>
    <phoneticPr fontId="287" type="noConversion"/>
  </si>
  <si>
    <t>2027.4.30</t>
    <phoneticPr fontId="287" type="noConversion"/>
  </si>
  <si>
    <t>L215</t>
    <phoneticPr fontId="3" type="noConversion"/>
  </si>
  <si>
    <t>L216b-L217b</t>
    <phoneticPr fontId="3" type="noConversion"/>
  </si>
  <si>
    <t>L216a</t>
    <phoneticPr fontId="3" type="noConversion"/>
  </si>
  <si>
    <t>北京美妍策商贸中心</t>
    <phoneticPr fontId="287" type="noConversion"/>
  </si>
  <si>
    <t>美颜策</t>
    <phoneticPr fontId="287" type="noConversion"/>
  </si>
  <si>
    <t>L217a</t>
    <phoneticPr fontId="3" type="noConversion"/>
  </si>
  <si>
    <t>北京聚衣阁商贸店</t>
    <phoneticPr fontId="287" type="noConversion"/>
  </si>
  <si>
    <t>聚衣阁</t>
    <phoneticPr fontId="287" type="noConversion"/>
  </si>
  <si>
    <t>L218</t>
    <phoneticPr fontId="3" type="noConversion"/>
  </si>
  <si>
    <t>北京星丽高珂国际贸易有限公司</t>
    <phoneticPr fontId="3" type="noConversion"/>
  </si>
  <si>
    <t>万国国际名品馆</t>
    <phoneticPr fontId="3" type="noConversion"/>
  </si>
  <si>
    <t>L219-220</t>
    <phoneticPr fontId="3" type="noConversion"/>
  </si>
  <si>
    <t>有品有鱼智能科技（北京）有限公司</t>
    <phoneticPr fontId="3" type="noConversion"/>
  </si>
  <si>
    <t>有品有鱼</t>
    <phoneticPr fontId="3" type="noConversion"/>
  </si>
  <si>
    <t>L201a</t>
    <phoneticPr fontId="3" type="noConversion"/>
  </si>
  <si>
    <t>北京和空间餐饮有限公司</t>
    <phoneticPr fontId="287" type="noConversion"/>
  </si>
  <si>
    <t>庆扬食堂</t>
    <phoneticPr fontId="287" type="noConversion"/>
  </si>
  <si>
    <t>餐饮</t>
    <phoneticPr fontId="287" type="noConversion"/>
  </si>
  <si>
    <t>纯抽</t>
    <phoneticPr fontId="287" type="noConversion"/>
  </si>
  <si>
    <t>L221</t>
    <phoneticPr fontId="3" type="noConversion"/>
  </si>
  <si>
    <t>喜迎欧陆（北京）餐饮管理有限公司</t>
  </si>
  <si>
    <t>湖小龙</t>
    <phoneticPr fontId="287" type="noConversion"/>
  </si>
  <si>
    <t>L222</t>
    <phoneticPr fontId="3" type="noConversion"/>
  </si>
  <si>
    <t>金煲藏餐饮（北京）有限公司</t>
    <phoneticPr fontId="287" type="noConversion"/>
  </si>
  <si>
    <t>煲蔵院</t>
    <phoneticPr fontId="287" type="noConversion"/>
  </si>
  <si>
    <t>L225</t>
    <phoneticPr fontId="287" type="noConversion"/>
  </si>
  <si>
    <t>欧陆宴</t>
    <phoneticPr fontId="287" type="noConversion"/>
  </si>
  <si>
    <t>L223</t>
    <phoneticPr fontId="3" type="noConversion"/>
  </si>
  <si>
    <t>北京酒印餐饮有限公司</t>
    <phoneticPr fontId="287" type="noConversion"/>
  </si>
  <si>
    <t>镬气十足</t>
    <phoneticPr fontId="287" type="noConversion"/>
  </si>
  <si>
    <t>楼层面积</t>
    <phoneticPr fontId="287" type="noConversion"/>
  </si>
  <si>
    <t>L3</t>
    <phoneticPr fontId="3" type="noConversion"/>
  </si>
  <si>
    <t>L301a</t>
    <phoneticPr fontId="3" type="noConversion"/>
  </si>
  <si>
    <t>北京凯迪斯可思味餐饮管理有限公司</t>
  </si>
  <si>
    <t>SteamRestaurant</t>
    <phoneticPr fontId="287" type="noConversion"/>
  </si>
  <si>
    <t>L310b</t>
    <phoneticPr fontId="287" type="noConversion"/>
  </si>
  <si>
    <t>北京凯迪斯游乐设备有限公司</t>
  </si>
  <si>
    <t>Kidsteam</t>
    <phoneticPr fontId="287" type="noConversion"/>
  </si>
  <si>
    <t>儿童服务</t>
    <phoneticPr fontId="287" type="noConversion"/>
  </si>
  <si>
    <t>L302-303</t>
    <phoneticPr fontId="3" type="noConversion"/>
  </si>
  <si>
    <t>北京智泉美源美容有限公司</t>
    <phoneticPr fontId="3" type="noConversion"/>
  </si>
  <si>
    <t>思妍丽</t>
    <phoneticPr fontId="3" type="noConversion"/>
  </si>
  <si>
    <t>美容</t>
    <phoneticPr fontId="3" type="noConversion"/>
  </si>
  <si>
    <t>2018.3.1</t>
    <phoneticPr fontId="287" type="noConversion"/>
  </si>
  <si>
    <t>2023.2.28</t>
    <phoneticPr fontId="287" type="noConversion"/>
  </si>
  <si>
    <t>L304</t>
    <phoneticPr fontId="3" type="noConversion"/>
  </si>
  <si>
    <t>北京宽地摄影工作室</t>
    <phoneticPr fontId="287" type="noConversion"/>
  </si>
  <si>
    <t>宽地摄影</t>
    <phoneticPr fontId="287" type="noConversion"/>
  </si>
  <si>
    <t>L305a</t>
    <phoneticPr fontId="3" type="noConversion"/>
  </si>
  <si>
    <t>L305b</t>
    <phoneticPr fontId="287" type="noConversion"/>
  </si>
  <si>
    <t>北京美美嗒潮童商贸中心</t>
    <phoneticPr fontId="287" type="noConversion"/>
  </si>
  <si>
    <t>美美搭</t>
    <phoneticPr fontId="287" type="noConversion"/>
  </si>
  <si>
    <t>儿童零售</t>
    <phoneticPr fontId="3" type="noConversion"/>
  </si>
  <si>
    <t>L306a</t>
    <phoneticPr fontId="287" type="noConversion"/>
  </si>
  <si>
    <t>尚古堂（北京）红木家具有限责任公司</t>
  </si>
  <si>
    <t>零售</t>
    <phoneticPr fontId="3" type="noConversion"/>
  </si>
  <si>
    <t>L306b</t>
    <phoneticPr fontId="3" type="noConversion"/>
  </si>
  <si>
    <t>L307</t>
    <phoneticPr fontId="3" type="noConversion"/>
  </si>
  <si>
    <t>L308</t>
    <phoneticPr fontId="3" type="noConversion"/>
  </si>
  <si>
    <t>L309a</t>
    <phoneticPr fontId="3" type="noConversion"/>
  </si>
  <si>
    <r>
      <rPr>
        <sz val="9"/>
        <color indexed="8"/>
        <rFont val="宋体"/>
        <family val="3"/>
        <charset val="134"/>
      </rPr>
      <t>北京锦绣尚品商贸中心</t>
    </r>
    <phoneticPr fontId="3" type="noConversion"/>
  </si>
  <si>
    <t>尚品服饰店</t>
    <phoneticPr fontId="3" type="noConversion"/>
  </si>
  <si>
    <t>L309b</t>
    <phoneticPr fontId="3" type="noConversion"/>
  </si>
  <si>
    <t>北京墨谷文化传播有限公司</t>
  </si>
  <si>
    <t>墨谷文化美术培训</t>
    <phoneticPr fontId="287" type="noConversion"/>
  </si>
  <si>
    <t>儿童服务</t>
    <phoneticPr fontId="287" type="noConversion"/>
  </si>
  <si>
    <t>311-L312</t>
    <phoneticPr fontId="3" type="noConversion"/>
  </si>
  <si>
    <t>杭州英皇音乐科技有限公司</t>
  </si>
  <si>
    <t>英皇</t>
    <phoneticPr fontId="287" type="noConversion"/>
  </si>
  <si>
    <t>L313-314</t>
    <phoneticPr fontId="3" type="noConversion"/>
  </si>
  <si>
    <t>北京和空间运营管理有限公司</t>
  </si>
  <si>
    <t>和空间</t>
    <phoneticPr fontId="3" type="noConversion"/>
  </si>
  <si>
    <t>年160-320万提成为15%，320万以上5%</t>
    <phoneticPr fontId="287" type="noConversion"/>
  </si>
  <si>
    <t>L315-316</t>
    <phoneticPr fontId="3" type="noConversion"/>
  </si>
  <si>
    <t>北京新意乐得商贸有限公司</t>
  </si>
  <si>
    <t>Bingo</t>
    <phoneticPr fontId="3" type="noConversion"/>
  </si>
  <si>
    <t>L317a-L318-L319</t>
    <phoneticPr fontId="3" type="noConversion"/>
  </si>
  <si>
    <t>L320-L321a</t>
    <phoneticPr fontId="3" type="noConversion"/>
  </si>
  <si>
    <t>L321b-L322</t>
    <phoneticPr fontId="3" type="noConversion"/>
  </si>
  <si>
    <t>北京毅杰国际儿童文化传播有限公司</t>
  </si>
  <si>
    <t>毅杰培训</t>
    <phoneticPr fontId="287" type="noConversion"/>
  </si>
  <si>
    <t>培训</t>
    <phoneticPr fontId="287" type="noConversion"/>
  </si>
  <si>
    <t>L4</t>
    <phoneticPr fontId="3" type="noConversion"/>
  </si>
  <si>
    <t>L401/L401a</t>
    <phoneticPr fontId="3" type="noConversion"/>
  </si>
  <si>
    <t>北京久铁文化</t>
    <phoneticPr fontId="287" type="noConversion"/>
  </si>
  <si>
    <t>高尔夫</t>
    <phoneticPr fontId="287" type="noConversion"/>
  </si>
  <si>
    <t>L402</t>
    <phoneticPr fontId="3" type="noConversion"/>
  </si>
  <si>
    <t>北京绣域世家科技有限公司</t>
    <phoneticPr fontId="3" type="noConversion"/>
  </si>
  <si>
    <t>miss静美容</t>
    <phoneticPr fontId="287" type="noConversion"/>
  </si>
  <si>
    <t>美容</t>
  </si>
  <si>
    <t>2018.9.15</t>
    <phoneticPr fontId="287" type="noConversion"/>
  </si>
  <si>
    <t>2023.9.14</t>
    <phoneticPr fontId="287" type="noConversion"/>
  </si>
  <si>
    <t>L403</t>
    <phoneticPr fontId="3" type="noConversion"/>
  </si>
  <si>
    <t>美姝（北京）美甲美婕有限公司</t>
    <phoneticPr fontId="287" type="noConversion"/>
  </si>
  <si>
    <t>LILY NAILS</t>
    <phoneticPr fontId="287" type="noConversion"/>
  </si>
  <si>
    <t>L404-405</t>
    <phoneticPr fontId="3" type="noConversion"/>
  </si>
  <si>
    <t>海南瑞达化妆品有限公司</t>
  </si>
  <si>
    <t>法尔曼</t>
    <phoneticPr fontId="287" type="noConversion"/>
  </si>
  <si>
    <t>L406</t>
    <phoneticPr fontId="3" type="noConversion"/>
  </si>
  <si>
    <t>北京红伟康达国际贸易有限公司</t>
    <phoneticPr fontId="3" type="noConversion"/>
  </si>
  <si>
    <t>红指坊美甲</t>
    <phoneticPr fontId="3" type="noConversion"/>
  </si>
  <si>
    <t>L408</t>
    <phoneticPr fontId="3" type="noConversion"/>
  </si>
  <si>
    <t>北京留指间玉健康管理有限公司</t>
    <phoneticPr fontId="3" type="noConversion"/>
  </si>
  <si>
    <t>留指间玉养生</t>
    <phoneticPr fontId="3" type="noConversion"/>
  </si>
  <si>
    <t>2009.8.27</t>
    <phoneticPr fontId="287" type="noConversion"/>
  </si>
  <si>
    <t>L410a+b</t>
    <phoneticPr fontId="3" type="noConversion"/>
  </si>
  <si>
    <t>北京济爱欧陆诊所有限公司</t>
    <phoneticPr fontId="287" type="noConversion"/>
  </si>
  <si>
    <t>济爱医疗</t>
    <phoneticPr fontId="287" type="noConversion"/>
  </si>
  <si>
    <t>医疗</t>
    <phoneticPr fontId="287" type="noConversion"/>
  </si>
  <si>
    <t>L410c-412</t>
    <phoneticPr fontId="3" type="noConversion"/>
  </si>
  <si>
    <t>幸福百合(北京）美容科技有限公司</t>
  </si>
  <si>
    <t>百合春天</t>
    <phoneticPr fontId="3" type="noConversion"/>
  </si>
  <si>
    <t>413a</t>
    <phoneticPr fontId="287" type="noConversion"/>
  </si>
  <si>
    <t>北京程成文化传媒有限公司</t>
    <phoneticPr fontId="287" type="noConversion"/>
  </si>
  <si>
    <t>程成理发馆</t>
    <phoneticPr fontId="287" type="noConversion"/>
  </si>
  <si>
    <t>美容</t>
    <phoneticPr fontId="287" type="noConversion"/>
  </si>
  <si>
    <t>L413B</t>
    <phoneticPr fontId="3" type="noConversion"/>
  </si>
  <si>
    <t>L5</t>
    <phoneticPr fontId="3" type="noConversion"/>
  </si>
  <si>
    <t>L501a+L501b</t>
    <phoneticPr fontId="3" type="noConversion"/>
  </si>
  <si>
    <t>北京蓓塑健康科技有限公司</t>
  </si>
  <si>
    <t>蓓塑产后修复中心</t>
    <phoneticPr fontId="3" type="noConversion"/>
  </si>
  <si>
    <t>2017.8.1</t>
    <phoneticPr fontId="287" type="noConversion"/>
  </si>
  <si>
    <t>L501C</t>
    <phoneticPr fontId="3" type="noConversion"/>
  </si>
  <si>
    <t>北京茜美企业管理有限公司</t>
    <phoneticPr fontId="3" type="noConversion"/>
  </si>
  <si>
    <t>CICI纤美</t>
    <phoneticPr fontId="3" type="noConversion"/>
  </si>
  <si>
    <t>2015.8.1</t>
    <phoneticPr fontId="287" type="noConversion"/>
  </si>
  <si>
    <t>L501d+L501e</t>
    <phoneticPr fontId="3" type="noConversion"/>
  </si>
  <si>
    <t>北京贝黎诗商业管理有限公司</t>
    <phoneticPr fontId="3" type="noConversion"/>
  </si>
  <si>
    <t>贝黎诗</t>
    <phoneticPr fontId="3" type="noConversion"/>
  </si>
  <si>
    <t>2014.1.1</t>
    <phoneticPr fontId="287" type="noConversion"/>
  </si>
  <si>
    <t>L502b</t>
    <phoneticPr fontId="3" type="noConversion"/>
  </si>
  <si>
    <t>脊医卫（北京）诊所有限公司</t>
    <phoneticPr fontId="287" type="noConversion"/>
  </si>
  <si>
    <t>脊柱康复诊所</t>
    <phoneticPr fontId="287" type="noConversion"/>
  </si>
  <si>
    <t>医疗</t>
    <phoneticPr fontId="287" type="noConversion"/>
  </si>
  <si>
    <t>2022.4.15</t>
    <phoneticPr fontId="287" type="noConversion"/>
  </si>
  <si>
    <t>2025.4.14</t>
    <phoneticPr fontId="287" type="noConversion"/>
  </si>
  <si>
    <t>L502a+L503-L504</t>
    <phoneticPr fontId="3" type="noConversion"/>
  </si>
  <si>
    <t>北京紫琪尔美容服务有限公司顺义分公司</t>
    <phoneticPr fontId="3" type="noConversion"/>
  </si>
  <si>
    <t>紫琪尔</t>
  </si>
  <si>
    <t>2014.4.30</t>
    <phoneticPr fontId="287" type="noConversion"/>
  </si>
  <si>
    <t>L505-506</t>
    <phoneticPr fontId="3" type="noConversion"/>
  </si>
  <si>
    <t>北京维美特美容美发有限公司</t>
    <phoneticPr fontId="3" type="noConversion"/>
  </si>
  <si>
    <t>维美特美发沙龙</t>
    <phoneticPr fontId="3" type="noConversion"/>
  </si>
  <si>
    <t>2013.11.15</t>
    <phoneticPr fontId="287" type="noConversion"/>
  </si>
  <si>
    <t>2022.11.14</t>
    <phoneticPr fontId="287" type="noConversion"/>
  </si>
  <si>
    <t>L507C</t>
    <phoneticPr fontId="3" type="noConversion"/>
  </si>
  <si>
    <t>北京心灵手巧美容美甲有限公司</t>
    <phoneticPr fontId="3" type="noConversion"/>
  </si>
  <si>
    <t>心灵手巧美容</t>
    <phoneticPr fontId="3" type="noConversion"/>
  </si>
  <si>
    <t>L508b</t>
    <phoneticPr fontId="3" type="noConversion"/>
  </si>
  <si>
    <t>北京善圆健康科技有限公司</t>
    <phoneticPr fontId="3" type="noConversion"/>
  </si>
  <si>
    <t>善圆健康</t>
    <phoneticPr fontId="3" type="noConversion"/>
  </si>
  <si>
    <t>L508c</t>
    <phoneticPr fontId="3" type="noConversion"/>
  </si>
  <si>
    <t>北京丝域秀美管理顾问有限公司</t>
    <phoneticPr fontId="3" type="noConversion"/>
  </si>
  <si>
    <t>丝域养发</t>
    <phoneticPr fontId="3" type="noConversion"/>
  </si>
  <si>
    <t>2017.6.16</t>
    <phoneticPr fontId="287" type="noConversion"/>
  </si>
  <si>
    <t>L509-511</t>
    <phoneticPr fontId="3" type="noConversion"/>
  </si>
  <si>
    <t>北京茗视光眼科医院管理有限公司</t>
  </si>
  <si>
    <t>茗视光眼科中心</t>
    <phoneticPr fontId="287" type="noConversion"/>
  </si>
  <si>
    <t>医疗</t>
    <phoneticPr fontId="287" type="noConversion"/>
  </si>
  <si>
    <t>L512-L513</t>
    <phoneticPr fontId="3" type="noConversion"/>
  </si>
  <si>
    <t>唯美舒颜美容美发有限公司</t>
    <phoneticPr fontId="3" type="noConversion"/>
  </si>
  <si>
    <t>唯美舒颜</t>
    <phoneticPr fontId="3" type="noConversion"/>
  </si>
  <si>
    <t>2013.9.1</t>
    <phoneticPr fontId="287" type="noConversion"/>
  </si>
  <si>
    <t>L514</t>
  </si>
  <si>
    <t>北京慈航堂中医诊所有限公司</t>
    <phoneticPr fontId="3" type="noConversion"/>
  </si>
  <si>
    <t>慈航堂中医诊所</t>
    <phoneticPr fontId="3" type="noConversion"/>
  </si>
  <si>
    <t>2018.6.1</t>
  </si>
  <si>
    <t>2023.5.31</t>
  </si>
  <si>
    <t>楼层</t>
    <phoneticPr fontId="292"/>
  </si>
  <si>
    <t xml:space="preserve">Percentage Leased
出租率 </t>
    <phoneticPr fontId="292"/>
  </si>
  <si>
    <t>Total Rentable Area (sqm)
可出租面积(平米)</t>
  </si>
  <si>
    <t>Leased Area (sqm)
已出租面积(平米)</t>
  </si>
  <si>
    <t xml:space="preserve">空置面积 </t>
    <phoneticPr fontId="3" type="noConversion"/>
  </si>
  <si>
    <t>建筑面积</t>
    <phoneticPr fontId="134" type="noConversion"/>
  </si>
  <si>
    <t>满租使用面积租金</t>
    <phoneticPr fontId="134" type="noConversion"/>
  </si>
  <si>
    <t>建筑面积租金</t>
    <phoneticPr fontId="134" type="noConversion"/>
  </si>
  <si>
    <t>楼层比例</t>
    <phoneticPr fontId="134" type="noConversion"/>
  </si>
  <si>
    <t>LB1</t>
    <phoneticPr fontId="287" type="noConversion"/>
  </si>
  <si>
    <t>L1</t>
    <phoneticPr fontId="287" type="noConversion"/>
  </si>
  <si>
    <t>L2</t>
    <phoneticPr fontId="287" type="noConversion"/>
  </si>
  <si>
    <t>L3</t>
    <phoneticPr fontId="287" type="noConversion"/>
  </si>
  <si>
    <t>L4</t>
    <phoneticPr fontId="287" type="noConversion"/>
  </si>
  <si>
    <t>L5</t>
    <phoneticPr fontId="287" type="noConversion"/>
  </si>
  <si>
    <t>六通</t>
  </si>
  <si>
    <r>
      <rPr>
        <sz val="10"/>
        <color theme="9" tint="-0.249977111117893"/>
        <rFont val="宋体"/>
        <family val="3"/>
        <charset val="134"/>
      </rPr>
      <t>顺义区澳景园四区</t>
    </r>
    <r>
      <rPr>
        <sz val="10"/>
        <color theme="9" tint="-0.249977111117893"/>
        <rFont val="Arial"/>
        <family val="2"/>
      </rPr>
      <t>2</t>
    </r>
    <r>
      <rPr>
        <sz val="10"/>
        <color theme="9" tint="-0.249977111117893"/>
        <rFont val="宋体"/>
        <family val="3"/>
        <charset val="134"/>
      </rPr>
      <t>号楼</t>
    </r>
    <phoneticPr fontId="6" type="noConversion"/>
  </si>
  <si>
    <t>北京澳金园置业发展有限公司</t>
    <phoneticPr fontId="6" type="noConversion"/>
  </si>
  <si>
    <t>欧陆时尚购物中心</t>
    <phoneticPr fontId="30" type="noConversion"/>
  </si>
  <si>
    <t>购物中心</t>
  </si>
  <si>
    <t>购物中心</t>
    <phoneticPr fontId="3" type="noConversion"/>
  </si>
  <si>
    <t>写字楼底商</t>
  </si>
  <si>
    <t>写字楼底商</t>
    <phoneticPr fontId="3" type="noConversion"/>
  </si>
  <si>
    <t>零售</t>
    <phoneticPr fontId="30" type="noConversion"/>
  </si>
  <si>
    <t>银行</t>
    <phoneticPr fontId="30" type="noConversion"/>
  </si>
  <si>
    <t>增值税</t>
    <phoneticPr fontId="134" type="noConversion"/>
  </si>
  <si>
    <t>楼层</t>
    <phoneticPr fontId="134" type="noConversion"/>
  </si>
  <si>
    <t>单元号</t>
    <phoneticPr fontId="134" type="noConversion"/>
  </si>
  <si>
    <t>现行租金</t>
    <phoneticPr fontId="134" type="noConversion"/>
  </si>
  <si>
    <t>天好(tims)</t>
    <phoneticPr fontId="134" type="noConversion"/>
  </si>
  <si>
    <r>
      <t>L</t>
    </r>
    <r>
      <rPr>
        <sz val="12"/>
        <color theme="1"/>
        <rFont val="宋体"/>
        <family val="3"/>
        <charset val="134"/>
        <scheme val="minor"/>
      </rPr>
      <t>102</t>
    </r>
    <phoneticPr fontId="134" type="noConversion"/>
  </si>
  <si>
    <t>押金3个月</t>
    <phoneticPr fontId="134" type="noConversion"/>
  </si>
  <si>
    <r>
      <t>两年增长6</t>
    </r>
    <r>
      <rPr>
        <sz val="12"/>
        <color theme="1"/>
        <rFont val="宋体"/>
        <family val="3"/>
        <charset val="134"/>
        <scheme val="minor"/>
      </rPr>
      <t>%</t>
    </r>
    <phoneticPr fontId="134" type="noConversion"/>
  </si>
  <si>
    <t>奈雪</t>
    <phoneticPr fontId="134" type="noConversion"/>
  </si>
  <si>
    <r>
      <t>L</t>
    </r>
    <r>
      <rPr>
        <sz val="12"/>
        <color theme="1"/>
        <rFont val="宋体"/>
        <family val="3"/>
        <charset val="134"/>
        <scheme val="minor"/>
      </rPr>
      <t>107-108</t>
    </r>
    <phoneticPr fontId="134" type="noConversion"/>
  </si>
  <si>
    <t>两年增长5%</t>
    <phoneticPr fontId="134" type="noConversion"/>
  </si>
  <si>
    <t>赵海波</t>
    <phoneticPr fontId="134" type="noConversion"/>
  </si>
  <si>
    <r>
      <t>L</t>
    </r>
    <r>
      <rPr>
        <sz val="12"/>
        <color theme="1"/>
        <rFont val="宋体"/>
        <family val="3"/>
        <charset val="134"/>
        <scheme val="minor"/>
      </rPr>
      <t>111</t>
    </r>
    <phoneticPr fontId="134" type="noConversion"/>
  </si>
  <si>
    <t>押金3个月</t>
  </si>
  <si>
    <r>
      <t>每年增长5</t>
    </r>
    <r>
      <rPr>
        <sz val="12"/>
        <color theme="1"/>
        <rFont val="宋体"/>
        <family val="3"/>
        <charset val="134"/>
        <scheme val="minor"/>
      </rPr>
      <t>%</t>
    </r>
    <phoneticPr fontId="134" type="noConversion"/>
  </si>
  <si>
    <t>凫满</t>
    <phoneticPr fontId="134" type="noConversion"/>
  </si>
  <si>
    <t>L112</t>
    <phoneticPr fontId="134" type="noConversion"/>
  </si>
  <si>
    <t>半年变动</t>
    <phoneticPr fontId="134" type="noConversion"/>
  </si>
  <si>
    <t>贝克和史东</t>
    <phoneticPr fontId="134" type="noConversion"/>
  </si>
  <si>
    <t>L113B</t>
    <phoneticPr fontId="134" type="noConversion"/>
  </si>
  <si>
    <t>每年增长</t>
    <phoneticPr fontId="134" type="noConversion"/>
  </si>
  <si>
    <t>星巴克</t>
    <phoneticPr fontId="134" type="noConversion"/>
  </si>
  <si>
    <t>L105</t>
    <phoneticPr fontId="134" type="noConversion"/>
  </si>
  <si>
    <t>每两年增长</t>
    <phoneticPr fontId="134" type="noConversion"/>
  </si>
  <si>
    <t>工行</t>
    <phoneticPr fontId="134" type="noConversion"/>
  </si>
  <si>
    <r>
      <t>L</t>
    </r>
    <r>
      <rPr>
        <sz val="12"/>
        <color theme="1"/>
        <rFont val="宋体"/>
        <family val="3"/>
        <charset val="134"/>
        <scheme val="minor"/>
      </rPr>
      <t>120-124</t>
    </r>
    <phoneticPr fontId="134" type="noConversion"/>
  </si>
  <si>
    <t>吉野家</t>
    <phoneticPr fontId="134" type="noConversion"/>
  </si>
  <si>
    <r>
      <t>L</t>
    </r>
    <r>
      <rPr>
        <sz val="12"/>
        <color theme="1"/>
        <rFont val="宋体"/>
        <family val="3"/>
        <charset val="134"/>
        <scheme val="minor"/>
      </rPr>
      <t>101</t>
    </r>
    <phoneticPr fontId="134" type="noConversion"/>
  </si>
  <si>
    <t>每两年增长</t>
    <phoneticPr fontId="134" type="noConversion"/>
  </si>
  <si>
    <t>麦当劳</t>
    <phoneticPr fontId="134" type="noConversion"/>
  </si>
  <si>
    <t>L101A</t>
    <phoneticPr fontId="134" type="noConversion"/>
  </si>
  <si>
    <t>每四年增长（提成取高）</t>
    <phoneticPr fontId="134" type="noConversion"/>
  </si>
  <si>
    <t>喜迎欧陆（高吉湖小龙餐厅）</t>
    <phoneticPr fontId="134" type="noConversion"/>
  </si>
  <si>
    <t>L221</t>
    <phoneticPr fontId="134" type="noConversion"/>
  </si>
  <si>
    <t>提成制</t>
    <phoneticPr fontId="134" type="noConversion"/>
  </si>
  <si>
    <r>
      <t>保底租金1</t>
    </r>
    <r>
      <rPr>
        <sz val="12"/>
        <color theme="1"/>
        <rFont val="宋体"/>
        <family val="3"/>
        <charset val="134"/>
        <scheme val="minor"/>
      </rPr>
      <t>2000/天</t>
    </r>
    <phoneticPr fontId="134" type="noConversion"/>
  </si>
  <si>
    <t>雅衣美裳</t>
    <phoneticPr fontId="134" type="noConversion"/>
  </si>
  <si>
    <t>L205A</t>
    <phoneticPr fontId="134" type="noConversion"/>
  </si>
  <si>
    <t>已到期</t>
    <phoneticPr fontId="134" type="noConversion"/>
  </si>
  <si>
    <t>欧衣坊</t>
    <phoneticPr fontId="134" type="noConversion"/>
  </si>
  <si>
    <t>L205B</t>
    <phoneticPr fontId="134" type="noConversion"/>
  </si>
  <si>
    <t>萨娃娜莉</t>
    <phoneticPr fontId="134" type="noConversion"/>
  </si>
  <si>
    <t>L209</t>
    <phoneticPr fontId="134" type="noConversion"/>
  </si>
  <si>
    <t>C'ESTSIBON</t>
    <phoneticPr fontId="134" type="noConversion"/>
  </si>
  <si>
    <t>L211</t>
    <phoneticPr fontId="134" type="noConversion"/>
  </si>
  <si>
    <t>凯迪斯</t>
    <phoneticPr fontId="134" type="noConversion"/>
  </si>
  <si>
    <t>L301A</t>
    <phoneticPr fontId="134" type="noConversion"/>
  </si>
  <si>
    <t>每年增长</t>
    <phoneticPr fontId="134" type="noConversion"/>
  </si>
  <si>
    <r>
      <t>每年增长</t>
    </r>
    <r>
      <rPr>
        <sz val="12"/>
        <color theme="1"/>
        <rFont val="宋体"/>
        <family val="3"/>
        <charset val="134"/>
        <scheme val="minor"/>
      </rPr>
      <t/>
    </r>
    <phoneticPr fontId="134" type="noConversion"/>
  </si>
  <si>
    <t>思丽妍美容</t>
    <phoneticPr fontId="134" type="noConversion"/>
  </si>
  <si>
    <t>L302-303</t>
    <phoneticPr fontId="134" type="noConversion"/>
  </si>
  <si>
    <t>宽地摄影</t>
    <phoneticPr fontId="134" type="noConversion"/>
  </si>
  <si>
    <t>L304</t>
    <phoneticPr fontId="134" type="noConversion"/>
  </si>
  <si>
    <t>新乐章音乐培训</t>
    <phoneticPr fontId="134" type="noConversion"/>
  </si>
  <si>
    <t>L311-312</t>
    <phoneticPr fontId="134" type="noConversion"/>
  </si>
  <si>
    <t>海南瑞达</t>
    <phoneticPr fontId="134" type="noConversion"/>
  </si>
  <si>
    <t>L404-405</t>
    <phoneticPr fontId="134" type="noConversion"/>
  </si>
  <si>
    <t>济爱</t>
    <phoneticPr fontId="134" type="noConversion"/>
  </si>
  <si>
    <t>L401A+401B</t>
    <phoneticPr fontId="134" type="noConversion"/>
  </si>
  <si>
    <t>百合春天</t>
    <phoneticPr fontId="134" type="noConversion"/>
  </si>
  <si>
    <t>L410C</t>
    <phoneticPr fontId="134" type="noConversion"/>
  </si>
  <si>
    <t>L411</t>
    <phoneticPr fontId="134" type="noConversion"/>
  </si>
  <si>
    <t>L412</t>
    <phoneticPr fontId="134" type="noConversion"/>
  </si>
  <si>
    <t>留指间养生</t>
    <phoneticPr fontId="134" type="noConversion"/>
  </si>
  <si>
    <t>L407-409</t>
    <phoneticPr fontId="134" type="noConversion"/>
  </si>
  <si>
    <t>喜白鞋品洗护</t>
    <phoneticPr fontId="134" type="noConversion"/>
  </si>
  <si>
    <t>L413B</t>
    <phoneticPr fontId="134" type="noConversion"/>
  </si>
  <si>
    <t>紫琪尔美容</t>
    <phoneticPr fontId="134" type="noConversion"/>
  </si>
  <si>
    <t>L514</t>
    <phoneticPr fontId="134" type="noConversion"/>
  </si>
  <si>
    <t>脊医卫</t>
    <phoneticPr fontId="134" type="noConversion"/>
  </si>
  <si>
    <r>
      <t>L</t>
    </r>
    <r>
      <rPr>
        <sz val="12"/>
        <color theme="1"/>
        <rFont val="宋体"/>
        <family val="3"/>
        <charset val="134"/>
        <scheme val="minor"/>
      </rPr>
      <t>502B</t>
    </r>
    <phoneticPr fontId="134" type="noConversion"/>
  </si>
  <si>
    <t>阳春小镇家具</t>
    <phoneticPr fontId="134" type="noConversion"/>
  </si>
  <si>
    <t>LB</t>
    <phoneticPr fontId="134" type="noConversion"/>
  </si>
  <si>
    <t>LB09</t>
    <phoneticPr fontId="134" type="noConversion"/>
  </si>
  <si>
    <t>六通</t>
    <phoneticPr fontId="3" type="noConversion"/>
  </si>
  <si>
    <t xml:space="preserve"> </t>
    <phoneticPr fontId="134" type="noConversion"/>
  </si>
  <si>
    <t>会展誉景</t>
    <phoneticPr fontId="134" type="noConversion"/>
  </si>
  <si>
    <t>2层</t>
    <phoneticPr fontId="134" type="noConversion"/>
  </si>
  <si>
    <t>荣和商业中心</t>
    <phoneticPr fontId="134" type="noConversion"/>
  </si>
  <si>
    <t>临街门面</t>
    <phoneticPr fontId="134" type="noConversion"/>
  </si>
  <si>
    <t>艾迪城</t>
    <phoneticPr fontId="134" type="noConversion"/>
  </si>
  <si>
    <t>1层</t>
    <phoneticPr fontId="134" type="noConversion"/>
  </si>
  <si>
    <t>和光瑞府</t>
    <phoneticPr fontId="134" type="noConversion"/>
  </si>
  <si>
    <t>1层</t>
    <phoneticPr fontId="134" type="noConversion"/>
  </si>
  <si>
    <t>国民智慧城</t>
    <phoneticPr fontId="134" type="noConversion"/>
  </si>
  <si>
    <t>中粮祥云小镇</t>
    <phoneticPr fontId="134" type="noConversion"/>
  </si>
  <si>
    <t>临街门面</t>
    <phoneticPr fontId="134" type="noConversion"/>
  </si>
  <si>
    <t>艾迪城</t>
    <phoneticPr fontId="134" type="noConversion"/>
  </si>
  <si>
    <t>外铺</t>
  </si>
  <si>
    <t>外铺</t>
    <phoneticPr fontId="3" type="noConversion"/>
  </si>
  <si>
    <t>内铺</t>
  </si>
  <si>
    <t>内铺</t>
    <phoneticPr fontId="3" type="noConversion"/>
  </si>
  <si>
    <t>翼之城</t>
    <phoneticPr fontId="134" type="noConversion"/>
  </si>
  <si>
    <t>挂牌</t>
  </si>
  <si>
    <t>未来金茂府</t>
    <phoneticPr fontId="134" type="noConversion"/>
  </si>
  <si>
    <t>单面临街</t>
  </si>
  <si>
    <t>绿地启航国际南区</t>
    <phoneticPr fontId="134" type="noConversion"/>
  </si>
  <si>
    <t>较好</t>
    <phoneticPr fontId="3" type="noConversion"/>
  </si>
  <si>
    <t>澳金园国际中心</t>
    <phoneticPr fontId="3"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</si>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</sst>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 numFmtId="198" formatCode="[$-409]d\-mmm\-yy;@"/>
    <numFmt numFmtId="199" formatCode="#,##0.00_ "/>
    <numFmt numFmtId="200" formatCode="#,##0.000_ "/>
    <numFmt numFmtId="201" formatCode="#,##0.000000000000_ "/>
    <numFmt numFmtId="202" formatCode="_(* #,##0.00_);_(* \(#,##0.00\);_(* &quot;-&quot;??_);_(@_)"/>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rgb="FFFF0000"/>
      <name val="宋体"/>
      <family val="3"/>
      <charset val="134"/>
      <scheme val="minor"/>
    </font>
    <font>
      <b/>
      <sz val="9"/>
      <name val="Arial"/>
      <family val="2"/>
    </font>
    <font>
      <b/>
      <sz val="9"/>
      <name val="宋体"/>
      <family val="3"/>
      <charset val="134"/>
      <scheme val="minor"/>
    </font>
    <font>
      <sz val="8"/>
      <name val="Arial"/>
      <family val="2"/>
    </font>
    <font>
      <b/>
      <sz val="9"/>
      <color indexed="8"/>
      <name val="宋体"/>
      <family val="3"/>
      <charset val="134"/>
      <scheme val="minor"/>
    </font>
    <font>
      <sz val="9"/>
      <color indexed="8"/>
      <name val="宋体"/>
      <family val="3"/>
      <charset val="134"/>
      <scheme val="minor"/>
    </font>
    <font>
      <sz val="11"/>
      <name val="ＭＳ Ｐゴシック"/>
      <family val="2"/>
      <charset val="128"/>
    </font>
    <font>
      <b/>
      <sz val="9"/>
      <color indexed="9"/>
      <name val="宋体"/>
      <family val="3"/>
      <charset val="134"/>
      <scheme val="minor"/>
    </font>
    <font>
      <sz val="6"/>
      <name val="ＭＳ Ｐゴシック"/>
      <family val="2"/>
      <charset val="128"/>
    </font>
    <font>
      <sz val="9"/>
      <color rgb="FF0D0D0D"/>
      <name val="宋体"/>
      <family val="3"/>
      <charset val="134"/>
      <scheme val="minor"/>
    </font>
    <font>
      <b/>
      <sz val="9"/>
      <color rgb="FF0D0D0D"/>
      <name val="宋体"/>
      <family val="3"/>
      <charset val="134"/>
      <scheme val="minor"/>
    </font>
    <font>
      <b/>
      <sz val="9"/>
      <color rgb="FFFF0000"/>
      <name val="宋体"/>
      <family val="3"/>
      <charset val="134"/>
      <scheme val="minor"/>
    </font>
    <font>
      <sz val="12"/>
      <name val="宋体"/>
      <family val="3"/>
      <charset val="134"/>
      <scheme val="minor"/>
    </font>
    <font>
      <sz val="11"/>
      <color rgb="FF9C0006"/>
      <name val="宋体"/>
      <family val="3"/>
      <charset val="134"/>
      <scheme val="minor"/>
    </font>
    <font>
      <sz val="12"/>
      <name val="新細明體"/>
      <charset val="134"/>
    </font>
    <font>
      <sz val="12"/>
      <name val="細明體"/>
      <charset val="136"/>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indexed="62"/>
        <bgColor indexed="64"/>
      </patternFill>
    </fill>
    <fill>
      <patternFill patternType="solid">
        <fgColor rgb="FFFFC000"/>
        <bgColor indexed="64"/>
      </patternFill>
    </fill>
    <fill>
      <patternFill patternType="solid">
        <fgColor rgb="FFFFC7CE"/>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9"/>
      </left>
      <right/>
      <top style="medium">
        <color indexed="64"/>
      </top>
      <bottom/>
      <diagonal/>
    </border>
    <border>
      <left style="thin">
        <color indexed="9"/>
      </left>
      <right style="medium">
        <color indexed="64"/>
      </right>
      <top style="medium">
        <color indexed="64"/>
      </top>
      <bottom/>
      <diagonal/>
    </border>
  </borders>
  <cellStyleXfs count="8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43" fontId="36" fillId="0" borderId="0" applyFont="0" applyFill="0" applyBorder="0" applyAlignment="0" applyProtection="0"/>
    <xf numFmtId="0" fontId="53" fillId="0" borderId="0"/>
    <xf numFmtId="0" fontId="53" fillId="0" borderId="0"/>
    <xf numFmtId="9" fontId="36" fillId="0" borderId="0" applyFont="0" applyFill="0" applyBorder="0" applyAlignment="0" applyProtection="0"/>
    <xf numFmtId="0" fontId="53" fillId="0" borderId="0"/>
    <xf numFmtId="0" fontId="290" fillId="0" borderId="0"/>
    <xf numFmtId="9" fontId="95" fillId="0" borderId="0" applyFont="0" applyFill="0" applyBorder="0" applyAlignment="0" applyProtection="0">
      <alignment vertical="center"/>
    </xf>
    <xf numFmtId="0" fontId="147" fillId="0" borderId="0"/>
    <xf numFmtId="0" fontId="36" fillId="0" borderId="0"/>
    <xf numFmtId="43" fontId="128" fillId="0" borderId="0" applyFont="0" applyFill="0" applyBorder="0" applyAlignment="0" applyProtection="0">
      <alignment vertical="center"/>
    </xf>
    <xf numFmtId="202" fontId="174" fillId="0" borderId="0" applyFont="0" applyFill="0" applyBorder="0" applyAlignment="0" applyProtection="0"/>
    <xf numFmtId="0"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0" fontId="297" fillId="27" borderId="0" applyNumberFormat="0" applyBorder="0" applyAlignment="0" applyProtection="0">
      <alignment vertical="center"/>
    </xf>
    <xf numFmtId="0" fontId="95" fillId="0" borderId="0">
      <alignment vertical="center"/>
    </xf>
    <xf numFmtId="0" fontId="95" fillId="0" borderId="0">
      <alignment vertical="center"/>
    </xf>
    <xf numFmtId="0" fontId="36" fillId="0" borderId="0"/>
    <xf numFmtId="0" fontId="95" fillId="0" borderId="0"/>
    <xf numFmtId="0" fontId="147" fillId="0" borderId="0"/>
    <xf numFmtId="43" fontId="36" fillId="0" borderId="0" applyFont="0" applyFill="0" applyBorder="0" applyAlignment="0" applyProtection="0"/>
    <xf numFmtId="43" fontId="135" fillId="0" borderId="0" applyFont="0" applyFill="0" applyBorder="0" applyAlignment="0" applyProtection="0">
      <alignment vertical="center"/>
    </xf>
    <xf numFmtId="43" fontId="298"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36" fillId="0" borderId="0" applyFont="0" applyFill="0" applyBorder="0" applyAlignment="0" applyProtection="0">
      <alignment vertical="center"/>
    </xf>
    <xf numFmtId="43" fontId="95" fillId="0" borderId="0" applyFont="0" applyFill="0" applyBorder="0" applyAlignment="0" applyProtection="0">
      <alignment vertical="center"/>
    </xf>
    <xf numFmtId="41" fontId="298" fillId="0" borderId="0" applyFont="0" applyFill="0" applyBorder="0" applyAlignment="0" applyProtection="0">
      <alignment vertical="center"/>
    </xf>
    <xf numFmtId="41" fontId="36" fillId="0" borderId="0" applyFont="0" applyFill="0" applyBorder="0" applyAlignment="0" applyProtection="0">
      <alignment vertical="center"/>
    </xf>
    <xf numFmtId="10" fontId="299" fillId="0" borderId="0"/>
  </cellStyleXfs>
  <cellXfs count="41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84" fillId="0" borderId="0" xfId="10" applyNumberFormat="1" applyFont="1" applyAlignment="1">
      <alignment vertical="center" wrapText="1" shrinkToFit="1"/>
    </xf>
    <xf numFmtId="0" fontId="95" fillId="0" borderId="0" xfId="10" applyFont="1">
      <alignment vertical="center"/>
    </xf>
    <xf numFmtId="189" fontId="44" fillId="6"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9" fontId="276" fillId="0" borderId="0" xfId="17" applyFont="1" applyFill="1" applyAlignment="1">
      <alignment horizontal="center" vertical="center" wrapText="1"/>
    </xf>
    <xf numFmtId="0" fontId="242" fillId="0" borderId="0" xfId="4" applyFont="1" applyFill="1"/>
    <xf numFmtId="0" fontId="242" fillId="0" borderId="0" xfId="4" applyFont="1"/>
    <xf numFmtId="0" fontId="286" fillId="5" borderId="1" xfId="4" applyFont="1" applyFill="1" applyBorder="1" applyAlignment="1">
      <alignment horizontal="center" vertical="center"/>
    </xf>
    <xf numFmtId="43" fontId="286" fillId="5" borderId="1" xfId="54" applyFont="1" applyFill="1" applyBorder="1" applyAlignment="1">
      <alignment horizontal="center" vertical="center" wrapText="1"/>
    </xf>
    <xf numFmtId="0" fontId="286" fillId="5" borderId="1" xfId="4" applyFont="1" applyFill="1" applyBorder="1" applyAlignment="1">
      <alignment horizontal="center" vertical="center" wrapText="1"/>
    </xf>
    <xf numFmtId="0" fontId="134" fillId="0" borderId="1" xfId="55" applyFont="1" applyFill="1" applyBorder="1" applyAlignment="1">
      <alignment horizontal="center" vertical="center"/>
    </xf>
    <xf numFmtId="43" fontId="134" fillId="0" borderId="1" xfId="54" applyFont="1" applyFill="1" applyBorder="1" applyAlignment="1">
      <alignment vertical="center"/>
    </xf>
    <xf numFmtId="198" fontId="134" fillId="0" borderId="1" xfId="56" applyNumberFormat="1" applyFont="1" applyBorder="1" applyAlignment="1">
      <alignment horizontal="center" vertical="center" wrapText="1"/>
    </xf>
    <xf numFmtId="194" fontId="134" fillId="0" borderId="1" xfId="56" applyNumberFormat="1" applyFont="1" applyBorder="1" applyAlignment="1">
      <alignment horizontal="center" vertical="center" wrapText="1"/>
    </xf>
    <xf numFmtId="43" fontId="134" fillId="0" borderId="1" xfId="54" applyFont="1" applyFill="1" applyBorder="1" applyAlignment="1">
      <alignment horizontal="center" vertical="center"/>
    </xf>
    <xf numFmtId="9" fontId="134" fillId="0" borderId="1" xfId="57" applyFont="1" applyFill="1" applyBorder="1" applyAlignment="1">
      <alignment horizontal="center" vertical="center" wrapText="1"/>
    </xf>
    <xf numFmtId="0" fontId="134" fillId="0" borderId="1" xfId="4" applyFont="1" applyFill="1" applyBorder="1"/>
    <xf numFmtId="0" fontId="134" fillId="0" borderId="1" xfId="4" applyFont="1" applyFill="1" applyBorder="1" applyAlignment="1">
      <alignment horizontal="center" vertical="center" wrapText="1"/>
    </xf>
    <xf numFmtId="14" fontId="134" fillId="0" borderId="1" xfId="56" applyNumberFormat="1" applyFont="1" applyBorder="1" applyAlignment="1">
      <alignment horizontal="center" vertical="center" wrapText="1"/>
    </xf>
    <xf numFmtId="0" fontId="134" fillId="0" borderId="1" xfId="55" applyFont="1" applyFill="1" applyBorder="1" applyAlignment="1">
      <alignment horizontal="center" vertical="center" wrapText="1"/>
    </xf>
    <xf numFmtId="0" fontId="134" fillId="0" borderId="1" xfId="4" applyFont="1" applyFill="1" applyBorder="1" applyAlignment="1">
      <alignment horizontal="center" vertical="center"/>
    </xf>
    <xf numFmtId="194" fontId="134" fillId="0" borderId="1" xfId="56" applyNumberFormat="1" applyFont="1" applyFill="1" applyBorder="1" applyAlignment="1">
      <alignment horizontal="center" vertical="center" wrapText="1"/>
    </xf>
    <xf numFmtId="9" fontId="134" fillId="0" borderId="1" xfId="57" applyFont="1" applyFill="1" applyBorder="1" applyAlignment="1">
      <alignment horizontal="center"/>
    </xf>
    <xf numFmtId="0" fontId="134" fillId="7" borderId="1" xfId="55" applyFont="1" applyFill="1" applyBorder="1" applyAlignment="1">
      <alignment horizontal="center" vertical="center" wrapText="1"/>
    </xf>
    <xf numFmtId="43" fontId="134" fillId="7" borderId="1" xfId="54" applyFont="1" applyFill="1" applyBorder="1" applyAlignment="1">
      <alignment vertical="center"/>
    </xf>
    <xf numFmtId="14" fontId="134" fillId="0" borderId="1" xfId="56" applyNumberFormat="1" applyFont="1" applyFill="1" applyBorder="1" applyAlignment="1">
      <alignment horizontal="center" vertical="center" wrapText="1"/>
    </xf>
    <xf numFmtId="0" fontId="134" fillId="7" borderId="1" xfId="55" applyFont="1" applyFill="1" applyBorder="1" applyAlignment="1">
      <alignment horizontal="center" vertical="center"/>
    </xf>
    <xf numFmtId="194" fontId="134" fillId="7" borderId="1" xfId="56" applyNumberFormat="1" applyFont="1" applyFill="1" applyBorder="1" applyAlignment="1">
      <alignment horizontal="center" vertical="center" wrapText="1"/>
    </xf>
    <xf numFmtId="43" fontId="134" fillId="7" borderId="1" xfId="54" applyFont="1" applyFill="1" applyBorder="1" applyAlignment="1">
      <alignment horizontal="center" vertical="center"/>
    </xf>
    <xf numFmtId="9" fontId="134" fillId="7" borderId="1" xfId="57" applyFont="1" applyFill="1" applyBorder="1" applyAlignment="1">
      <alignment horizontal="center" vertical="center" wrapText="1"/>
    </xf>
    <xf numFmtId="0" fontId="134" fillId="7" borderId="1" xfId="4" applyFont="1" applyFill="1" applyBorder="1"/>
    <xf numFmtId="198" fontId="134" fillId="0" borderId="1" xfId="56" applyNumberFormat="1" applyFont="1" applyFill="1" applyBorder="1" applyAlignment="1">
      <alignment horizontal="center" vertical="center" wrapText="1"/>
    </xf>
    <xf numFmtId="0" fontId="288" fillId="5" borderId="1" xfId="55" applyFont="1" applyFill="1" applyBorder="1" applyAlignment="1">
      <alignment horizontal="center" vertical="center"/>
    </xf>
    <xf numFmtId="43" fontId="134" fillId="5" borderId="1" xfId="55" applyNumberFormat="1" applyFont="1" applyFill="1" applyBorder="1" applyAlignment="1">
      <alignment horizontal="center" vertical="center"/>
    </xf>
    <xf numFmtId="0" fontId="134" fillId="5" borderId="1" xfId="55" applyFont="1" applyFill="1" applyBorder="1" applyAlignment="1">
      <alignment horizontal="center" vertical="center" wrapText="1"/>
    </xf>
    <xf numFmtId="43" fontId="134" fillId="5" borderId="1" xfId="54" applyFont="1" applyFill="1" applyBorder="1" applyAlignment="1">
      <alignment vertical="center"/>
    </xf>
    <xf numFmtId="0" fontId="134" fillId="5" borderId="1" xfId="4" applyFont="1" applyFill="1" applyBorder="1" applyAlignment="1">
      <alignment horizontal="center"/>
    </xf>
    <xf numFmtId="9" fontId="134" fillId="5" borderId="1" xfId="57" applyFont="1" applyFill="1" applyBorder="1" applyAlignment="1">
      <alignment horizontal="center"/>
    </xf>
    <xf numFmtId="43" fontId="134" fillId="5" borderId="1" xfId="54" applyFont="1" applyFill="1" applyBorder="1" applyAlignment="1">
      <alignment horizontal="center" vertical="center"/>
    </xf>
    <xf numFmtId="0" fontId="134" fillId="5" borderId="1" xfId="4" applyFont="1" applyFill="1" applyBorder="1"/>
    <xf numFmtId="198" fontId="134" fillId="0" borderId="1" xfId="58" applyNumberFormat="1" applyFont="1" applyBorder="1" applyAlignment="1">
      <alignment horizontal="center" vertical="center" wrapText="1"/>
    </xf>
    <xf numFmtId="194" fontId="134" fillId="0" borderId="1" xfId="58" applyNumberFormat="1" applyFont="1" applyBorder="1" applyAlignment="1">
      <alignment horizontal="center" vertical="center" wrapText="1"/>
    </xf>
    <xf numFmtId="0" fontId="242" fillId="0" borderId="1" xfId="4" applyFont="1" applyFill="1" applyBorder="1"/>
    <xf numFmtId="196" fontId="134" fillId="5" borderId="1" xfId="55" applyNumberFormat="1" applyFont="1" applyFill="1" applyBorder="1" applyAlignment="1">
      <alignment horizontal="center" vertical="center"/>
    </xf>
    <xf numFmtId="43" fontId="242" fillId="0" borderId="0" xfId="4" applyNumberFormat="1" applyFont="1" applyFill="1"/>
    <xf numFmtId="0" fontId="246" fillId="0" borderId="1" xfId="55" applyFont="1" applyFill="1" applyBorder="1" applyAlignment="1">
      <alignment horizontal="center" vertical="center"/>
    </xf>
    <xf numFmtId="0" fontId="246" fillId="0" borderId="1" xfId="55" applyFont="1" applyFill="1" applyBorder="1" applyAlignment="1">
      <alignment horizontal="center" vertical="center" wrapText="1"/>
    </xf>
    <xf numFmtId="43" fontId="246" fillId="0" borderId="1" xfId="54" applyFont="1" applyFill="1" applyBorder="1" applyAlignment="1">
      <alignment vertical="center"/>
    </xf>
    <xf numFmtId="0" fontId="289" fillId="0" borderId="1" xfId="55" applyFont="1" applyFill="1" applyBorder="1" applyAlignment="1">
      <alignment horizontal="center" vertical="center" wrapText="1"/>
    </xf>
    <xf numFmtId="0" fontId="289" fillId="0" borderId="13" xfId="55" applyFont="1" applyFill="1" applyBorder="1" applyAlignment="1">
      <alignment vertical="center" wrapText="1"/>
    </xf>
    <xf numFmtId="0" fontId="289" fillId="0" borderId="13" xfId="55" applyFont="1" applyFill="1" applyBorder="1" applyAlignment="1">
      <alignment horizontal="center" vertical="center" wrapText="1"/>
    </xf>
    <xf numFmtId="0" fontId="134" fillId="7" borderId="13" xfId="55" applyFont="1" applyFill="1" applyBorder="1" applyAlignment="1">
      <alignment horizontal="center" vertical="center" wrapText="1"/>
    </xf>
    <xf numFmtId="14" fontId="134" fillId="0" borderId="1" xfId="58" applyNumberFormat="1" applyFont="1" applyFill="1" applyBorder="1" applyAlignment="1">
      <alignment horizontal="center" vertical="center" wrapText="1"/>
    </xf>
    <xf numFmtId="0" fontId="246" fillId="0" borderId="1" xfId="4" applyFont="1" applyFill="1" applyBorder="1" applyAlignment="1">
      <alignment horizontal="center" vertical="center" wrapText="1"/>
    </xf>
    <xf numFmtId="0" fontId="134" fillId="0" borderId="13" xfId="4" applyFont="1" applyFill="1" applyBorder="1" applyAlignment="1">
      <alignment horizontal="center" vertical="center" wrapText="1"/>
    </xf>
    <xf numFmtId="0" fontId="134" fillId="0" borderId="13" xfId="55" applyFont="1" applyFill="1" applyBorder="1" applyAlignment="1">
      <alignment horizontal="center" vertical="center" wrapText="1"/>
    </xf>
    <xf numFmtId="9" fontId="134" fillId="0" borderId="1" xfId="57" applyFont="1" applyFill="1" applyBorder="1" applyAlignment="1">
      <alignment horizontal="center" wrapText="1"/>
    </xf>
    <xf numFmtId="0" fontId="134" fillId="0" borderId="2" xfId="55" applyFont="1" applyFill="1" applyBorder="1" applyAlignment="1">
      <alignment horizontal="center" vertical="center" wrapText="1"/>
    </xf>
    <xf numFmtId="196" fontId="134" fillId="5" borderId="1" xfId="4" applyNumberFormat="1" applyFont="1" applyFill="1" applyBorder="1" applyAlignment="1">
      <alignment horizontal="center" vertical="center"/>
    </xf>
    <xf numFmtId="196" fontId="134" fillId="5" borderId="1" xfId="4" applyNumberFormat="1" applyFont="1" applyFill="1" applyBorder="1"/>
    <xf numFmtId="43" fontId="134" fillId="5" borderId="1" xfId="4" applyNumberFormat="1" applyFont="1" applyFill="1" applyBorder="1"/>
    <xf numFmtId="194" fontId="134" fillId="5" borderId="1" xfId="56" applyNumberFormat="1" applyFont="1" applyFill="1" applyBorder="1" applyAlignment="1">
      <alignment horizontal="center" vertical="center" wrapText="1"/>
    </xf>
    <xf numFmtId="0" fontId="286" fillId="5" borderId="1" xfId="4" applyFont="1" applyFill="1" applyBorder="1"/>
    <xf numFmtId="196" fontId="286" fillId="5" borderId="1" xfId="4" applyNumberFormat="1" applyFont="1" applyFill="1" applyBorder="1"/>
    <xf numFmtId="196" fontId="286" fillId="5" borderId="1" xfId="55" applyNumberFormat="1" applyFont="1" applyFill="1" applyBorder="1" applyAlignment="1">
      <alignment horizontal="center" vertical="center" wrapText="1"/>
    </xf>
    <xf numFmtId="43" fontId="286" fillId="5" borderId="1" xfId="4" applyNumberFormat="1" applyFont="1" applyFill="1" applyBorder="1"/>
    <xf numFmtId="194" fontId="286" fillId="5" borderId="1" xfId="56" applyNumberFormat="1" applyFont="1" applyFill="1" applyBorder="1" applyAlignment="1">
      <alignment horizontal="center" vertical="center" wrapText="1"/>
    </xf>
    <xf numFmtId="0" fontId="286" fillId="5" borderId="1" xfId="4" applyFont="1" applyFill="1" applyBorder="1" applyAlignment="1">
      <alignment horizontal="center"/>
    </xf>
    <xf numFmtId="0" fontId="285" fillId="0" borderId="0" xfId="4" applyFont="1"/>
    <xf numFmtId="0" fontId="242" fillId="7" borderId="0" xfId="4" applyFont="1" applyFill="1" applyBorder="1"/>
    <xf numFmtId="0" fontId="3" fillId="7" borderId="0" xfId="55" applyFont="1" applyFill="1" applyBorder="1" applyAlignment="1">
      <alignment horizontal="center" vertical="center" wrapText="1"/>
    </xf>
    <xf numFmtId="43" fontId="242" fillId="7" borderId="0" xfId="4" applyNumberFormat="1" applyFont="1" applyFill="1" applyBorder="1"/>
    <xf numFmtId="43" fontId="3" fillId="7" borderId="0" xfId="54" applyFont="1" applyFill="1" applyBorder="1" applyAlignment="1">
      <alignment vertical="center"/>
    </xf>
    <xf numFmtId="194" fontId="134" fillId="7" borderId="0" xfId="56" applyNumberFormat="1" applyFont="1" applyFill="1" applyBorder="1" applyAlignment="1">
      <alignment horizontal="center" vertical="center" wrapText="1"/>
    </xf>
    <xf numFmtId="0" fontId="242" fillId="7" borderId="0" xfId="4" applyFont="1" applyFill="1" applyBorder="1" applyAlignment="1">
      <alignment horizontal="center"/>
    </xf>
    <xf numFmtId="0" fontId="242" fillId="7" borderId="0" xfId="4" applyFont="1" applyFill="1"/>
    <xf numFmtId="43" fontId="242" fillId="0" borderId="0" xfId="54" applyFont="1" applyAlignment="1"/>
    <xf numFmtId="0" fontId="291" fillId="25" borderId="6" xfId="59" applyFont="1" applyFill="1" applyBorder="1" applyAlignment="1">
      <alignment horizontal="center" wrapText="1" shrinkToFit="1"/>
    </xf>
    <xf numFmtId="0" fontId="291" fillId="25" borderId="19" xfId="59" applyFont="1" applyFill="1" applyBorder="1" applyAlignment="1">
      <alignment horizontal="center" wrapText="1" shrinkToFit="1"/>
    </xf>
    <xf numFmtId="0" fontId="291" fillId="25" borderId="176" xfId="59" applyFont="1" applyFill="1" applyBorder="1" applyAlignment="1">
      <alignment horizontal="center" wrapText="1"/>
    </xf>
    <xf numFmtId="0" fontId="291" fillId="25" borderId="177" xfId="59" applyFont="1" applyFill="1" applyBorder="1" applyAlignment="1">
      <alignment horizontal="center" wrapText="1"/>
    </xf>
    <xf numFmtId="43" fontId="3" fillId="0" borderId="0" xfId="54" applyFont="1" applyAlignment="1"/>
    <xf numFmtId="0" fontId="3" fillId="0" borderId="0" xfId="4" applyFont="1"/>
    <xf numFmtId="0" fontId="242" fillId="0" borderId="23" xfId="4" applyFont="1" applyBorder="1" applyAlignment="1">
      <alignment horizontal="center" vertical="center"/>
    </xf>
    <xf numFmtId="10" fontId="293" fillId="0" borderId="3" xfId="4" applyNumberFormat="1" applyFont="1" applyBorder="1" applyAlignment="1">
      <alignment horizontal="center" vertical="center"/>
    </xf>
    <xf numFmtId="4" fontId="293" fillId="0" borderId="1" xfId="4" applyNumberFormat="1" applyFont="1" applyBorder="1" applyAlignment="1">
      <alignment horizontal="center" vertical="center"/>
    </xf>
    <xf numFmtId="4" fontId="293" fillId="0" borderId="5" xfId="4" applyNumberFormat="1" applyFont="1" applyBorder="1" applyAlignment="1">
      <alignment horizontal="center" vertical="center"/>
    </xf>
    <xf numFmtId="199" fontId="134" fillId="0" borderId="24" xfId="59" applyNumberFormat="1" applyFont="1" applyBorder="1" applyAlignment="1">
      <alignment horizontal="center" vertical="center"/>
    </xf>
    <xf numFmtId="43" fontId="242" fillId="0" borderId="0" xfId="4" applyNumberFormat="1" applyFont="1"/>
    <xf numFmtId="0" fontId="242" fillId="26" borderId="0" xfId="4" applyFont="1" applyFill="1"/>
    <xf numFmtId="0" fontId="242" fillId="5" borderId="0" xfId="4" applyFont="1" applyFill="1"/>
    <xf numFmtId="200" fontId="134" fillId="0" borderId="24" xfId="59" applyNumberFormat="1" applyFont="1" applyBorder="1" applyAlignment="1">
      <alignment horizontal="center" vertical="center"/>
    </xf>
    <xf numFmtId="4" fontId="293" fillId="7" borderId="1" xfId="4" applyNumberFormat="1" applyFont="1" applyFill="1" applyBorder="1" applyAlignment="1">
      <alignment horizontal="center" vertical="center"/>
    </xf>
    <xf numFmtId="4" fontId="293" fillId="7" borderId="5" xfId="4" applyNumberFormat="1" applyFont="1" applyFill="1" applyBorder="1" applyAlignment="1">
      <alignment horizontal="center" vertical="center"/>
    </xf>
    <xf numFmtId="0" fontId="242" fillId="0" borderId="25" xfId="4" applyFont="1" applyBorder="1"/>
    <xf numFmtId="10" fontId="293" fillId="0" borderId="66" xfId="4" applyNumberFormat="1" applyFont="1" applyBorder="1" applyAlignment="1">
      <alignment horizontal="center" vertical="center"/>
    </xf>
    <xf numFmtId="4" fontId="294" fillId="0" borderId="32" xfId="4" applyNumberFormat="1" applyFont="1" applyBorder="1" applyAlignment="1">
      <alignment horizontal="center" vertical="center"/>
    </xf>
    <xf numFmtId="4" fontId="294" fillId="0" borderId="33" xfId="4" applyNumberFormat="1" applyFont="1" applyBorder="1" applyAlignment="1">
      <alignment horizontal="center" vertical="center"/>
    </xf>
    <xf numFmtId="43" fontId="295" fillId="0" borderId="49" xfId="54" applyFont="1" applyFill="1" applyBorder="1" applyAlignment="1">
      <alignment horizontal="center" vertical="center"/>
    </xf>
    <xf numFmtId="9" fontId="242" fillId="0" borderId="0" xfId="60" applyFont="1" applyAlignment="1"/>
    <xf numFmtId="201" fontId="242" fillId="0" borderId="0" xfId="4" applyNumberFormat="1" applyFont="1"/>
    <xf numFmtId="200" fontId="242" fillId="0" borderId="0" xfId="4" applyNumberFormat="1" applyFont="1"/>
    <xf numFmtId="0" fontId="134" fillId="16" borderId="1" xfId="55" applyFont="1" applyFill="1" applyBorder="1" applyAlignment="1">
      <alignment horizontal="center" vertical="center"/>
    </xf>
    <xf numFmtId="0" fontId="134" fillId="16" borderId="1" xfId="55" applyFont="1" applyFill="1" applyBorder="1" applyAlignment="1">
      <alignment horizontal="center" vertical="center" wrapText="1"/>
    </xf>
    <xf numFmtId="43" fontId="134" fillId="16" borderId="1" xfId="54" applyFont="1" applyFill="1" applyBorder="1" applyAlignment="1">
      <alignment vertical="center"/>
    </xf>
    <xf numFmtId="14" fontId="134" fillId="16" borderId="1" xfId="56" applyNumberFormat="1" applyFont="1" applyFill="1" applyBorder="1" applyAlignment="1">
      <alignment horizontal="center" vertical="center" wrapText="1"/>
    </xf>
    <xf numFmtId="194" fontId="134" fillId="16" borderId="1" xfId="56" applyNumberFormat="1" applyFont="1" applyFill="1" applyBorder="1" applyAlignment="1">
      <alignment horizontal="center" vertical="center" wrapText="1"/>
    </xf>
    <xf numFmtId="43" fontId="134" fillId="16" borderId="1" xfId="54" applyFont="1" applyFill="1" applyBorder="1" applyAlignment="1">
      <alignment horizontal="center" vertical="center"/>
    </xf>
    <xf numFmtId="9" fontId="134" fillId="16" borderId="1" xfId="57" applyFont="1" applyFill="1" applyBorder="1" applyAlignment="1">
      <alignment horizontal="center" vertical="center" wrapText="1"/>
    </xf>
    <xf numFmtId="0" fontId="242" fillId="16" borderId="0" xfId="4" applyFont="1" applyFill="1"/>
    <xf numFmtId="198" fontId="134" fillId="16" borderId="1" xfId="56" applyNumberFormat="1" applyFont="1" applyFill="1" applyBorder="1" applyAlignment="1">
      <alignment horizontal="center" vertical="center" wrapText="1"/>
    </xf>
    <xf numFmtId="0" fontId="134" fillId="16" borderId="1" xfId="4" applyFont="1" applyFill="1" applyBorder="1"/>
    <xf numFmtId="0" fontId="77" fillId="7" borderId="54" xfId="0" applyFont="1" applyFill="1" applyBorder="1" applyAlignment="1" applyProtection="1">
      <alignment vertical="center" wrapText="1"/>
      <protection locked="0"/>
    </xf>
    <xf numFmtId="43" fontId="44" fillId="0" borderId="3" xfId="0" applyNumberFormat="1" applyFont="1" applyFill="1" applyBorder="1" applyAlignment="1" applyProtection="1">
      <alignment horizontal="center" vertical="center" wrapText="1"/>
      <protection locked="0"/>
    </xf>
    <xf numFmtId="43" fontId="44" fillId="0" borderId="23" xfId="0" applyNumberFormat="1" applyFont="1" applyFill="1" applyBorder="1" applyAlignment="1" applyProtection="1">
      <alignment horizontal="center" vertical="center" wrapText="1"/>
      <protection locked="0"/>
    </xf>
    <xf numFmtId="43" fontId="70" fillId="3" borderId="20" xfId="0" applyNumberFormat="1" applyFont="1" applyFill="1" applyBorder="1" applyAlignment="1" applyProtection="1">
      <alignment vertical="center" wrapText="1"/>
      <protection locked="0"/>
    </xf>
    <xf numFmtId="43" fontId="70" fillId="3" borderId="51" xfId="0" applyNumberFormat="1" applyFont="1" applyFill="1" applyBorder="1" applyAlignment="1" applyProtection="1">
      <alignment vertical="center" wrapText="1"/>
      <protection locked="0"/>
    </xf>
    <xf numFmtId="0" fontId="147" fillId="0" borderId="0" xfId="61" applyAlignment="1">
      <alignment wrapText="1"/>
    </xf>
    <xf numFmtId="0" fontId="147" fillId="0" borderId="0" xfId="61"/>
    <xf numFmtId="0" fontId="147" fillId="0" borderId="0" xfId="61" applyFont="1"/>
    <xf numFmtId="9" fontId="147" fillId="0" borderId="0" xfId="61" applyNumberFormat="1"/>
    <xf numFmtId="0" fontId="147" fillId="0" borderId="0" xfId="61" applyFont="1" applyAlignment="1">
      <alignment wrapText="1"/>
    </xf>
    <xf numFmtId="14" fontId="147" fillId="0" borderId="0" xfId="61" applyNumberFormat="1" applyFont="1"/>
    <xf numFmtId="14" fontId="147" fillId="0" borderId="0" xfId="61" applyNumberFormat="1"/>
    <xf numFmtId="0" fontId="296" fillId="0" borderId="0" xfId="61" applyFont="1" applyAlignment="1">
      <alignment wrapText="1"/>
    </xf>
    <xf numFmtId="0" fontId="296" fillId="0" borderId="0" xfId="61" applyFont="1"/>
    <xf numFmtId="14" fontId="296" fillId="0" borderId="0" xfId="61" applyNumberFormat="1" applyFont="1"/>
    <xf numFmtId="0" fontId="248" fillId="0" borderId="0" xfId="61" applyFont="1" applyAlignment="1">
      <alignment wrapText="1"/>
    </xf>
    <xf numFmtId="0" fontId="248" fillId="0" borderId="0" xfId="61" applyFont="1"/>
    <xf numFmtId="14" fontId="248" fillId="0" borderId="0" xfId="61" applyNumberFormat="1" applyFont="1"/>
    <xf numFmtId="14" fontId="248" fillId="5" borderId="0" xfId="61" applyNumberFormat="1" applyFont="1" applyFill="1"/>
    <xf numFmtId="0" fontId="147" fillId="16" borderId="0" xfId="61" applyFill="1"/>
    <xf numFmtId="0" fontId="147" fillId="16" borderId="0" xfId="61" applyFont="1" applyFill="1"/>
    <xf numFmtId="0" fontId="147" fillId="16" borderId="0" xfId="61" applyFont="1" applyFill="1" applyAlignment="1">
      <alignment wrapText="1"/>
    </xf>
    <xf numFmtId="14" fontId="147" fillId="16" borderId="0" xfId="61" applyNumberFormat="1" applyFill="1"/>
    <xf numFmtId="0" fontId="107" fillId="0" borderId="0" xfId="69" applyFont="1">
      <alignment vertical="center"/>
    </xf>
    <xf numFmtId="0" fontId="107" fillId="5" borderId="0" xfId="69" applyFont="1" applyFill="1">
      <alignment vertical="center"/>
    </xf>
    <xf numFmtId="14" fontId="107" fillId="0" borderId="0" xfId="69" applyNumberFormat="1" applyFont="1">
      <alignment vertical="center"/>
    </xf>
    <xf numFmtId="17" fontId="107" fillId="0" borderId="0" xfId="69" applyNumberFormat="1" applyFont="1">
      <alignment vertical="center"/>
    </xf>
    <xf numFmtId="49" fontId="44" fillId="0"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9" borderId="5" xfId="10" applyFont="1" applyFill="1" applyBorder="1" applyAlignment="1">
      <alignment horizontal="center" vertical="center" wrapText="1" shrinkToFit="1"/>
    </xf>
    <xf numFmtId="0" fontId="110" fillId="9" borderId="54" xfId="10" applyFont="1" applyFill="1" applyBorder="1" applyAlignment="1">
      <alignment horizontal="center" vertical="center" wrapText="1" shrinkToFit="1"/>
    </xf>
    <xf numFmtId="0" fontId="110" fillId="9" borderId="3" xfId="10" applyFont="1" applyFill="1" applyBorder="1" applyAlignment="1">
      <alignment horizontal="center"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88" fillId="0" borderId="13" xfId="55" applyFont="1" applyFill="1" applyBorder="1" applyAlignment="1">
      <alignment horizontal="center" vertical="center"/>
    </xf>
    <xf numFmtId="0" fontId="288" fillId="0" borderId="15" xfId="55" applyFont="1" applyFill="1" applyBorder="1" applyAlignment="1">
      <alignment horizontal="center" vertical="center"/>
    </xf>
    <xf numFmtId="0" fontId="288" fillId="0" borderId="2" xfId="55" applyFont="1" applyFill="1" applyBorder="1" applyAlignment="1">
      <alignment horizontal="center" vertical="center"/>
    </xf>
    <xf numFmtId="0" fontId="285" fillId="0" borderId="60" xfId="4" applyFont="1" applyBorder="1" applyAlignment="1">
      <alignment horizontal="center" vertical="center"/>
    </xf>
    <xf numFmtId="0" fontId="288" fillId="7" borderId="13" xfId="55" applyFont="1" applyFill="1" applyBorder="1" applyAlignment="1">
      <alignment horizontal="center" vertical="center"/>
    </xf>
    <xf numFmtId="0" fontId="288" fillId="7" borderId="15" xfId="55" applyFont="1" applyFill="1" applyBorder="1" applyAlignment="1">
      <alignment horizontal="center" vertical="center"/>
    </xf>
    <xf numFmtId="0" fontId="288" fillId="7" borderId="2" xfId="55"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84">
    <cellStyle name="0,0_x000d__x000d_NA_x000d__x000d_" xfId="62"/>
    <cellStyle name="Comma 5 2" xfId="63"/>
    <cellStyle name="Comma 7" xfId="64"/>
    <cellStyle name="Normal 7 2 2 3" xfId="65"/>
    <cellStyle name="Normal_0511GS-Report(Kuzuha)  " xfId="59"/>
    <cellStyle name="百分比" xfId="17" builtinId="5"/>
    <cellStyle name="百分比 2" xfId="14"/>
    <cellStyle name="百分比 2 6" xfId="66"/>
    <cellStyle name="百分比 3" xfId="57"/>
    <cellStyle name="百分比 4" xfId="60"/>
    <cellStyle name="百分比 4 2" xfId="67"/>
    <cellStyle name="差 2" xfId="68"/>
    <cellStyle name="常规" xfId="0" builtinId="0"/>
    <cellStyle name="常规 10" xfId="61"/>
    <cellStyle name="常规 11" xfId="18"/>
    <cellStyle name="常规 11 2" xfId="19"/>
    <cellStyle name="常规 13" xfId="69"/>
    <cellStyle name="常规 16" xfId="10"/>
    <cellStyle name="常规 2" xfId="1"/>
    <cellStyle name="常规 2 2" xfId="8"/>
    <cellStyle name="常规 2 2 2 2 3" xfId="15"/>
    <cellStyle name="常规 2 3" xfId="70"/>
    <cellStyle name="常规 2 5" xfId="71"/>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71" xfId="72"/>
    <cellStyle name="常规 8" xfId="11"/>
    <cellStyle name="常规 9" xfId="12"/>
    <cellStyle name="常规_Rent Roll June08 2" xfId="56"/>
    <cellStyle name="常规_Rent Roll June08_Rent roll（14.11.3）2015-2016" xfId="58"/>
    <cellStyle name="常规_Sheet1" xfId="55"/>
    <cellStyle name="普通 3" xfId="73"/>
    <cellStyle name="千分位_Sheet1" xfId="74"/>
    <cellStyle name="千位分隔 2" xfId="53"/>
    <cellStyle name="千位分隔 2 2" xfId="54"/>
    <cellStyle name="千位分隔 2 3" xfId="75"/>
    <cellStyle name="千位分隔 3" xfId="76"/>
    <cellStyle name="千位分隔 3 2" xfId="77"/>
    <cellStyle name="千位分隔 4" xfId="78"/>
    <cellStyle name="千位分隔 5" xfId="79"/>
    <cellStyle name="千位分隔 6" xfId="80"/>
    <cellStyle name="千位分隔[0] 2" xfId="81"/>
    <cellStyle name="千位分隔[0] 3" xfId="82"/>
    <cellStyle name="一般_PUD" xfId="8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647700</xdr:colOff>
      <xdr:row>21</xdr:row>
      <xdr:rowOff>64849</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6134100" cy="3265249"/>
        </a:xfrm>
        <a:prstGeom prst="rect">
          <a:avLst/>
        </a:prstGeom>
      </xdr:spPr>
    </xdr:pic>
    <xdr:clientData/>
  </xdr:twoCellAnchor>
  <xdr:twoCellAnchor editAs="oneCell">
    <xdr:from>
      <xdr:col>9</xdr:col>
      <xdr:colOff>9525</xdr:colOff>
      <xdr:row>0</xdr:row>
      <xdr:rowOff>0</xdr:rowOff>
    </xdr:from>
    <xdr:to>
      <xdr:col>17</xdr:col>
      <xdr:colOff>351696</xdr:colOff>
      <xdr:row>11</xdr:row>
      <xdr:rowOff>47410</xdr:rowOff>
    </xdr:to>
    <xdr:pic>
      <xdr:nvPicPr>
        <xdr:cNvPr id="3" name="图片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a:stretch>
          <a:fillRect/>
        </a:stretch>
      </xdr:blipFill>
      <xdr:spPr>
        <a:xfrm>
          <a:off x="6181725" y="0"/>
          <a:ext cx="5828571" cy="1723810"/>
        </a:xfrm>
        <a:prstGeom prst="rect">
          <a:avLst/>
        </a:prstGeom>
      </xdr:spPr>
    </xdr:pic>
    <xdr:clientData/>
  </xdr:twoCellAnchor>
  <xdr:twoCellAnchor editAs="oneCell">
    <xdr:from>
      <xdr:col>0</xdr:col>
      <xdr:colOff>0</xdr:colOff>
      <xdr:row>21</xdr:row>
      <xdr:rowOff>0</xdr:rowOff>
    </xdr:from>
    <xdr:to>
      <xdr:col>8</xdr:col>
      <xdr:colOff>638174</xdr:colOff>
      <xdr:row>42</xdr:row>
      <xdr:rowOff>39266</xdr:rowOff>
    </xdr:to>
    <xdr:pic>
      <xdr:nvPicPr>
        <xdr:cNvPr id="4" name="图片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3"/>
        <a:stretch>
          <a:fillRect/>
        </a:stretch>
      </xdr:blipFill>
      <xdr:spPr>
        <a:xfrm>
          <a:off x="0" y="3200400"/>
          <a:ext cx="6124574" cy="3239666"/>
        </a:xfrm>
        <a:prstGeom prst="rect">
          <a:avLst/>
        </a:prstGeom>
      </xdr:spPr>
    </xdr:pic>
    <xdr:clientData/>
  </xdr:twoCellAnchor>
  <xdr:twoCellAnchor editAs="oneCell">
    <xdr:from>
      <xdr:col>9</xdr:col>
      <xdr:colOff>0</xdr:colOff>
      <xdr:row>21</xdr:row>
      <xdr:rowOff>0</xdr:rowOff>
    </xdr:from>
    <xdr:to>
      <xdr:col>17</xdr:col>
      <xdr:colOff>370743</xdr:colOff>
      <xdr:row>31</xdr:row>
      <xdr:rowOff>114095</xdr:rowOff>
    </xdr:to>
    <xdr:pic>
      <xdr:nvPicPr>
        <xdr:cNvPr id="5" name="图片 4">
          <a:extLst>
            <a:ext uri="{FF2B5EF4-FFF2-40B4-BE49-F238E27FC236}">
              <a16:creationId xmlns:a16="http://schemas.microsoft.com/office/drawing/2014/main" xmlns="" id="{00000000-0008-0000-2000-000005000000}"/>
            </a:ext>
          </a:extLst>
        </xdr:cNvPr>
        <xdr:cNvPicPr>
          <a:picLocks noChangeAspect="1"/>
        </xdr:cNvPicPr>
      </xdr:nvPicPr>
      <xdr:blipFill>
        <a:blip xmlns:r="http://schemas.openxmlformats.org/officeDocument/2006/relationships" r:embed="rId4"/>
        <a:stretch>
          <a:fillRect/>
        </a:stretch>
      </xdr:blipFill>
      <xdr:spPr>
        <a:xfrm>
          <a:off x="6172200" y="3200400"/>
          <a:ext cx="5857143" cy="1638095"/>
        </a:xfrm>
        <a:prstGeom prst="rect">
          <a:avLst/>
        </a:prstGeom>
      </xdr:spPr>
    </xdr:pic>
    <xdr:clientData/>
  </xdr:twoCellAnchor>
  <xdr:twoCellAnchor editAs="oneCell">
    <xdr:from>
      <xdr:col>0</xdr:col>
      <xdr:colOff>0</xdr:colOff>
      <xdr:row>42</xdr:row>
      <xdr:rowOff>0</xdr:rowOff>
    </xdr:from>
    <xdr:to>
      <xdr:col>8</xdr:col>
      <xdr:colOff>619125</xdr:colOff>
      <xdr:row>63</xdr:row>
      <xdr:rowOff>49207</xdr:rowOff>
    </xdr:to>
    <xdr:pic>
      <xdr:nvPicPr>
        <xdr:cNvPr id="6" name="图片 5">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5"/>
        <a:stretch>
          <a:fillRect/>
        </a:stretch>
      </xdr:blipFill>
      <xdr:spPr>
        <a:xfrm>
          <a:off x="0" y="6400800"/>
          <a:ext cx="6105525" cy="3249607"/>
        </a:xfrm>
        <a:prstGeom prst="rect">
          <a:avLst/>
        </a:prstGeom>
      </xdr:spPr>
    </xdr:pic>
    <xdr:clientData/>
  </xdr:twoCellAnchor>
  <xdr:twoCellAnchor editAs="oneCell">
    <xdr:from>
      <xdr:col>9</xdr:col>
      <xdr:colOff>0</xdr:colOff>
      <xdr:row>42</xdr:row>
      <xdr:rowOff>0</xdr:rowOff>
    </xdr:from>
    <xdr:to>
      <xdr:col>17</xdr:col>
      <xdr:colOff>380267</xdr:colOff>
      <xdr:row>53</xdr:row>
      <xdr:rowOff>28362</xdr:rowOff>
    </xdr:to>
    <xdr:pic>
      <xdr:nvPicPr>
        <xdr:cNvPr id="7" name="图片 6">
          <a:extLst>
            <a:ext uri="{FF2B5EF4-FFF2-40B4-BE49-F238E27FC236}">
              <a16:creationId xmlns:a16="http://schemas.microsoft.com/office/drawing/2014/main" xmlns="" id="{00000000-0008-0000-2000-000007000000}"/>
            </a:ext>
          </a:extLst>
        </xdr:cNvPr>
        <xdr:cNvPicPr>
          <a:picLocks noChangeAspect="1"/>
        </xdr:cNvPicPr>
      </xdr:nvPicPr>
      <xdr:blipFill>
        <a:blip xmlns:r="http://schemas.openxmlformats.org/officeDocument/2006/relationships" r:embed="rId6"/>
        <a:stretch>
          <a:fillRect/>
        </a:stretch>
      </xdr:blipFill>
      <xdr:spPr>
        <a:xfrm>
          <a:off x="6172200" y="6400800"/>
          <a:ext cx="5866667" cy="1704762"/>
        </a:xfrm>
        <a:prstGeom prst="rect">
          <a:avLst/>
        </a:prstGeom>
      </xdr:spPr>
    </xdr:pic>
    <xdr:clientData/>
  </xdr:twoCellAnchor>
  <xdr:twoCellAnchor editAs="oneCell">
    <xdr:from>
      <xdr:col>0</xdr:col>
      <xdr:colOff>0</xdr:colOff>
      <xdr:row>63</xdr:row>
      <xdr:rowOff>0</xdr:rowOff>
    </xdr:from>
    <xdr:to>
      <xdr:col>8</xdr:col>
      <xdr:colOff>685104</xdr:colOff>
      <xdr:row>84</xdr:row>
      <xdr:rowOff>57150</xdr:rowOff>
    </xdr:to>
    <xdr:pic>
      <xdr:nvPicPr>
        <xdr:cNvPr id="8" name="图片 7">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7"/>
        <a:stretch>
          <a:fillRect/>
        </a:stretch>
      </xdr:blipFill>
      <xdr:spPr>
        <a:xfrm>
          <a:off x="0" y="9601200"/>
          <a:ext cx="6171504" cy="3257550"/>
        </a:xfrm>
        <a:prstGeom prst="rect">
          <a:avLst/>
        </a:prstGeom>
      </xdr:spPr>
    </xdr:pic>
    <xdr:clientData/>
  </xdr:twoCellAnchor>
  <xdr:twoCellAnchor editAs="oneCell">
    <xdr:from>
      <xdr:col>9</xdr:col>
      <xdr:colOff>57150</xdr:colOff>
      <xdr:row>62</xdr:row>
      <xdr:rowOff>47625</xdr:rowOff>
    </xdr:from>
    <xdr:to>
      <xdr:col>17</xdr:col>
      <xdr:colOff>265988</xdr:colOff>
      <xdr:row>73</xdr:row>
      <xdr:rowOff>152177</xdr:rowOff>
    </xdr:to>
    <xdr:pic>
      <xdr:nvPicPr>
        <xdr:cNvPr id="9" name="图片 8">
          <a:extLst>
            <a:ext uri="{FF2B5EF4-FFF2-40B4-BE49-F238E27FC236}">
              <a16:creationId xmlns:a16="http://schemas.microsoft.com/office/drawing/2014/main" xmlns="" id="{00000000-0008-0000-2000-000009000000}"/>
            </a:ext>
          </a:extLst>
        </xdr:cNvPr>
        <xdr:cNvPicPr>
          <a:picLocks noChangeAspect="1"/>
        </xdr:cNvPicPr>
      </xdr:nvPicPr>
      <xdr:blipFill>
        <a:blip xmlns:r="http://schemas.openxmlformats.org/officeDocument/2006/relationships" r:embed="rId8"/>
        <a:stretch>
          <a:fillRect/>
        </a:stretch>
      </xdr:blipFill>
      <xdr:spPr>
        <a:xfrm>
          <a:off x="6229350" y="9496425"/>
          <a:ext cx="5695238" cy="1780952"/>
        </a:xfrm>
        <a:prstGeom prst="rect">
          <a:avLst/>
        </a:prstGeom>
      </xdr:spPr>
    </xdr:pic>
    <xdr:clientData/>
  </xdr:twoCellAnchor>
  <xdr:twoCellAnchor editAs="oneCell">
    <xdr:from>
      <xdr:col>0</xdr:col>
      <xdr:colOff>0</xdr:colOff>
      <xdr:row>84</xdr:row>
      <xdr:rowOff>0</xdr:rowOff>
    </xdr:from>
    <xdr:to>
      <xdr:col>8</xdr:col>
      <xdr:colOff>628280</xdr:colOff>
      <xdr:row>104</xdr:row>
      <xdr:rowOff>76200</xdr:rowOff>
    </xdr:to>
    <xdr:pic>
      <xdr:nvPicPr>
        <xdr:cNvPr id="10" name="图片 9">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9"/>
        <a:stretch>
          <a:fillRect/>
        </a:stretch>
      </xdr:blipFill>
      <xdr:spPr>
        <a:xfrm>
          <a:off x="0" y="12801600"/>
          <a:ext cx="6114680" cy="3124200"/>
        </a:xfrm>
        <a:prstGeom prst="rect">
          <a:avLst/>
        </a:prstGeom>
      </xdr:spPr>
    </xdr:pic>
    <xdr:clientData/>
  </xdr:twoCellAnchor>
  <xdr:twoCellAnchor editAs="oneCell">
    <xdr:from>
      <xdr:col>8</xdr:col>
      <xdr:colOff>666750</xdr:colOff>
      <xdr:row>83</xdr:row>
      <xdr:rowOff>133351</xdr:rowOff>
    </xdr:from>
    <xdr:to>
      <xdr:col>14</xdr:col>
      <xdr:colOff>19050</xdr:colOff>
      <xdr:row>99</xdr:row>
      <xdr:rowOff>91103</xdr:rowOff>
    </xdr:to>
    <xdr:pic>
      <xdr:nvPicPr>
        <xdr:cNvPr id="11" name="图片 10">
          <a:extLst>
            <a:ext uri="{FF2B5EF4-FFF2-40B4-BE49-F238E27FC236}">
              <a16:creationId xmlns:a16="http://schemas.microsoft.com/office/drawing/2014/main" xmlns="" id="{00000000-0008-0000-2000-00000B000000}"/>
            </a:ext>
          </a:extLst>
        </xdr:cNvPr>
        <xdr:cNvPicPr>
          <a:picLocks noChangeAspect="1"/>
        </xdr:cNvPicPr>
      </xdr:nvPicPr>
      <xdr:blipFill>
        <a:blip xmlns:r="http://schemas.openxmlformats.org/officeDocument/2006/relationships" r:embed="rId10"/>
        <a:stretch>
          <a:fillRect/>
        </a:stretch>
      </xdr:blipFill>
      <xdr:spPr>
        <a:xfrm>
          <a:off x="6153150" y="12782551"/>
          <a:ext cx="3467100" cy="2396152"/>
        </a:xfrm>
        <a:prstGeom prst="rect">
          <a:avLst/>
        </a:prstGeom>
      </xdr:spPr>
    </xdr:pic>
    <xdr:clientData/>
  </xdr:twoCellAnchor>
  <xdr:twoCellAnchor editAs="oneCell">
    <xdr:from>
      <xdr:col>0</xdr:col>
      <xdr:colOff>0</xdr:colOff>
      <xdr:row>110</xdr:row>
      <xdr:rowOff>19050</xdr:rowOff>
    </xdr:from>
    <xdr:to>
      <xdr:col>16</xdr:col>
      <xdr:colOff>265295</xdr:colOff>
      <xdr:row>131</xdr:row>
      <xdr:rowOff>123412</xdr:rowOff>
    </xdr:to>
    <xdr:pic>
      <xdr:nvPicPr>
        <xdr:cNvPr id="12" name="图片 11">
          <a:extLst>
            <a:ext uri="{FF2B5EF4-FFF2-40B4-BE49-F238E27FC236}">
              <a16:creationId xmlns:a16="http://schemas.microsoft.com/office/drawing/2014/main" xmlns="" id="{00000000-0008-0000-2000-00000C000000}"/>
            </a:ext>
          </a:extLst>
        </xdr:cNvPr>
        <xdr:cNvPicPr>
          <a:picLocks noChangeAspect="1"/>
        </xdr:cNvPicPr>
      </xdr:nvPicPr>
      <xdr:blipFill>
        <a:blip xmlns:r="http://schemas.openxmlformats.org/officeDocument/2006/relationships" r:embed="rId11"/>
        <a:stretch>
          <a:fillRect/>
        </a:stretch>
      </xdr:blipFill>
      <xdr:spPr>
        <a:xfrm>
          <a:off x="0" y="16783050"/>
          <a:ext cx="11238095" cy="3304762"/>
        </a:xfrm>
        <a:prstGeom prst="rect">
          <a:avLst/>
        </a:prstGeom>
      </xdr:spPr>
    </xdr:pic>
    <xdr:clientData/>
  </xdr:twoCellAnchor>
  <xdr:twoCellAnchor editAs="oneCell">
    <xdr:from>
      <xdr:col>18</xdr:col>
      <xdr:colOff>40339</xdr:colOff>
      <xdr:row>0</xdr:row>
      <xdr:rowOff>57149</xdr:rowOff>
    </xdr:from>
    <xdr:to>
      <xdr:col>33</xdr:col>
      <xdr:colOff>474775</xdr:colOff>
      <xdr:row>2</xdr:row>
      <xdr:rowOff>47584</xdr:rowOff>
    </xdr:to>
    <xdr:pic>
      <xdr:nvPicPr>
        <xdr:cNvPr id="13" name="图片 12">
          <a:extLst>
            <a:ext uri="{FF2B5EF4-FFF2-40B4-BE49-F238E27FC236}">
              <a16:creationId xmlns:a16="http://schemas.microsoft.com/office/drawing/2014/main" xmlns="" id="{AC7CAF0D-E5BC-8849-996E-4F09E69CA455}"/>
            </a:ext>
          </a:extLst>
        </xdr:cNvPr>
        <xdr:cNvPicPr>
          <a:picLocks noChangeAspect="1"/>
        </xdr:cNvPicPr>
      </xdr:nvPicPr>
      <xdr:blipFill>
        <a:blip xmlns:r="http://schemas.openxmlformats.org/officeDocument/2006/relationships" r:embed="rId12"/>
        <a:stretch>
          <a:fillRect/>
        </a:stretch>
      </xdr:blipFill>
      <xdr:spPr>
        <a:xfrm>
          <a:off x="12384739" y="57149"/>
          <a:ext cx="10750011" cy="295235"/>
        </a:xfrm>
        <a:prstGeom prst="rect">
          <a:avLst/>
        </a:prstGeom>
      </xdr:spPr>
    </xdr:pic>
    <xdr:clientData/>
  </xdr:twoCellAnchor>
  <xdr:twoCellAnchor editAs="oneCell">
    <xdr:from>
      <xdr:col>18</xdr:col>
      <xdr:colOff>85725</xdr:colOff>
      <xdr:row>5</xdr:row>
      <xdr:rowOff>124120</xdr:rowOff>
    </xdr:from>
    <xdr:to>
      <xdr:col>33</xdr:col>
      <xdr:colOff>284290</xdr:colOff>
      <xdr:row>13</xdr:row>
      <xdr:rowOff>114132</xdr:rowOff>
    </xdr:to>
    <xdr:pic>
      <xdr:nvPicPr>
        <xdr:cNvPr id="14" name="图片 13">
          <a:extLst>
            <a:ext uri="{FF2B5EF4-FFF2-40B4-BE49-F238E27FC236}">
              <a16:creationId xmlns:a16="http://schemas.microsoft.com/office/drawing/2014/main" xmlns="" id="{484E2515-74A9-3480-2847-E2FC55DFDFB5}"/>
            </a:ext>
          </a:extLst>
        </xdr:cNvPr>
        <xdr:cNvPicPr>
          <a:picLocks noChangeAspect="1"/>
        </xdr:cNvPicPr>
      </xdr:nvPicPr>
      <xdr:blipFill>
        <a:blip xmlns:r="http://schemas.openxmlformats.org/officeDocument/2006/relationships" r:embed="rId13"/>
        <a:stretch>
          <a:fillRect/>
        </a:stretch>
      </xdr:blipFill>
      <xdr:spPr>
        <a:xfrm>
          <a:off x="12430125" y="886120"/>
          <a:ext cx="10514140" cy="1209212"/>
        </a:xfrm>
        <a:prstGeom prst="rect">
          <a:avLst/>
        </a:prstGeom>
      </xdr:spPr>
    </xdr:pic>
    <xdr:clientData/>
  </xdr:twoCellAnchor>
  <xdr:twoCellAnchor editAs="oneCell">
    <xdr:from>
      <xdr:col>17</xdr:col>
      <xdr:colOff>523875</xdr:colOff>
      <xdr:row>19</xdr:row>
      <xdr:rowOff>9525</xdr:rowOff>
    </xdr:from>
    <xdr:to>
      <xdr:col>34</xdr:col>
      <xdr:colOff>579557</xdr:colOff>
      <xdr:row>21</xdr:row>
      <xdr:rowOff>104725</xdr:rowOff>
    </xdr:to>
    <xdr:pic>
      <xdr:nvPicPr>
        <xdr:cNvPr id="15" name="图片 14">
          <a:extLst>
            <a:ext uri="{FF2B5EF4-FFF2-40B4-BE49-F238E27FC236}">
              <a16:creationId xmlns:a16="http://schemas.microsoft.com/office/drawing/2014/main" xmlns="" id="{5311BE57-9FFB-BFEC-08F4-04FA2EA75315}"/>
            </a:ext>
          </a:extLst>
        </xdr:cNvPr>
        <xdr:cNvPicPr>
          <a:picLocks noChangeAspect="1"/>
        </xdr:cNvPicPr>
      </xdr:nvPicPr>
      <xdr:blipFill>
        <a:blip xmlns:r="http://schemas.openxmlformats.org/officeDocument/2006/relationships" r:embed="rId14"/>
        <a:stretch>
          <a:fillRect/>
        </a:stretch>
      </xdr:blipFill>
      <xdr:spPr>
        <a:xfrm>
          <a:off x="12182475" y="2905125"/>
          <a:ext cx="11742857" cy="400000"/>
        </a:xfrm>
        <a:prstGeom prst="rect">
          <a:avLst/>
        </a:prstGeom>
      </xdr:spPr>
    </xdr:pic>
    <xdr:clientData/>
  </xdr:twoCellAnchor>
  <xdr:twoCellAnchor editAs="oneCell">
    <xdr:from>
      <xdr:col>18</xdr:col>
      <xdr:colOff>0</xdr:colOff>
      <xdr:row>24</xdr:row>
      <xdr:rowOff>0</xdr:rowOff>
    </xdr:from>
    <xdr:to>
      <xdr:col>35</xdr:col>
      <xdr:colOff>103301</xdr:colOff>
      <xdr:row>30</xdr:row>
      <xdr:rowOff>57029</xdr:rowOff>
    </xdr:to>
    <xdr:pic>
      <xdr:nvPicPr>
        <xdr:cNvPr id="16" name="图片 15">
          <a:extLst>
            <a:ext uri="{FF2B5EF4-FFF2-40B4-BE49-F238E27FC236}">
              <a16:creationId xmlns:a16="http://schemas.microsoft.com/office/drawing/2014/main" xmlns="" id="{35351542-AD16-CB2C-9405-527A4ECA128E}"/>
            </a:ext>
          </a:extLst>
        </xdr:cNvPr>
        <xdr:cNvPicPr>
          <a:picLocks noChangeAspect="1"/>
        </xdr:cNvPicPr>
      </xdr:nvPicPr>
      <xdr:blipFill>
        <a:blip xmlns:r="http://schemas.openxmlformats.org/officeDocument/2006/relationships" r:embed="rId15"/>
        <a:stretch>
          <a:fillRect/>
        </a:stretch>
      </xdr:blipFill>
      <xdr:spPr>
        <a:xfrm>
          <a:off x="12344400" y="3657600"/>
          <a:ext cx="11790476" cy="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14</xdr:col>
      <xdr:colOff>36895</xdr:colOff>
      <xdr:row>35</xdr:row>
      <xdr:rowOff>56521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9638095" cy="5028571"/>
        </a:xfrm>
        <a:prstGeom prst="rect">
          <a:avLst/>
        </a:prstGeom>
      </xdr:spPr>
    </xdr:pic>
    <xdr:clientData/>
  </xdr:twoCellAnchor>
  <xdr:twoCellAnchor editAs="oneCell">
    <xdr:from>
      <xdr:col>0</xdr:col>
      <xdr:colOff>0</xdr:colOff>
      <xdr:row>45</xdr:row>
      <xdr:rowOff>66675</xdr:rowOff>
    </xdr:from>
    <xdr:to>
      <xdr:col>10</xdr:col>
      <xdr:colOff>665540</xdr:colOff>
      <xdr:row>80</xdr:row>
      <xdr:rowOff>170518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6753225"/>
          <a:ext cx="7523540" cy="6104593"/>
        </a:xfrm>
        <a:prstGeom prst="rect">
          <a:avLst/>
        </a:prstGeom>
      </xdr:spPr>
    </xdr:pic>
    <xdr:clientData/>
  </xdr:twoCellAnchor>
  <xdr:twoCellAnchor editAs="oneCell">
    <xdr:from>
      <xdr:col>0</xdr:col>
      <xdr:colOff>0</xdr:colOff>
      <xdr:row>81</xdr:row>
      <xdr:rowOff>47625</xdr:rowOff>
    </xdr:from>
    <xdr:to>
      <xdr:col>11</xdr:col>
      <xdr:colOff>310306</xdr:colOff>
      <xdr:row>121</xdr:row>
      <xdr:rowOff>114301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12906375"/>
          <a:ext cx="7854106" cy="69246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1"/>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954000" y="2416970"/>
          <a:ext cx="6800000" cy="71428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13</xdr:col>
      <xdr:colOff>38101</xdr:colOff>
      <xdr:row>25</xdr:row>
      <xdr:rowOff>36281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067800" cy="3293831"/>
        </a:xfrm>
        <a:prstGeom prst="rect">
          <a:avLst/>
        </a:prstGeom>
      </xdr:spPr>
    </xdr:pic>
    <xdr:clientData/>
  </xdr:twoCellAnchor>
  <xdr:twoCellAnchor editAs="oneCell">
    <xdr:from>
      <xdr:col>13</xdr:col>
      <xdr:colOff>590550</xdr:colOff>
      <xdr:row>6</xdr:row>
      <xdr:rowOff>0</xdr:rowOff>
    </xdr:from>
    <xdr:to>
      <xdr:col>19</xdr:col>
      <xdr:colOff>218120</xdr:colOff>
      <xdr:row>24</xdr:row>
      <xdr:rowOff>35653</xdr:rowOff>
    </xdr:to>
    <xdr:pic>
      <xdr:nvPicPr>
        <xdr:cNvPr id="3" name="图片 2"/>
        <xdr:cNvPicPr>
          <a:picLocks noChangeAspect="1"/>
        </xdr:cNvPicPr>
      </xdr:nvPicPr>
      <xdr:blipFill>
        <a:blip xmlns:r="http://schemas.openxmlformats.org/officeDocument/2006/relationships" r:embed="rId1"/>
        <a:stretch>
          <a:fillRect/>
        </a:stretch>
      </xdr:blipFill>
      <xdr:spPr>
        <a:xfrm>
          <a:off x="9505950" y="0"/>
          <a:ext cx="3742370" cy="3121753"/>
        </a:xfrm>
        <a:prstGeom prst="rect">
          <a:avLst/>
        </a:prstGeom>
      </xdr:spPr>
    </xdr:pic>
    <xdr:clientData/>
  </xdr:twoCellAnchor>
  <xdr:twoCellAnchor editAs="oneCell">
    <xdr:from>
      <xdr:col>13</xdr:col>
      <xdr:colOff>675979</xdr:colOff>
      <xdr:row>24</xdr:row>
      <xdr:rowOff>28575</xdr:rowOff>
    </xdr:from>
    <xdr:to>
      <xdr:col>20</xdr:col>
      <xdr:colOff>427692</xdr:colOff>
      <xdr:row>49</xdr:row>
      <xdr:rowOff>56267</xdr:rowOff>
    </xdr:to>
    <xdr:pic>
      <xdr:nvPicPr>
        <xdr:cNvPr id="4" name="图片 3"/>
        <xdr:cNvPicPr>
          <a:picLocks noChangeAspect="1"/>
        </xdr:cNvPicPr>
      </xdr:nvPicPr>
      <xdr:blipFill>
        <a:blip xmlns:r="http://schemas.openxmlformats.org/officeDocument/2006/relationships" r:embed="rId1"/>
        <a:stretch>
          <a:fillRect/>
        </a:stretch>
      </xdr:blipFill>
      <xdr:spPr>
        <a:xfrm>
          <a:off x="9591379" y="3114675"/>
          <a:ext cx="4552313" cy="4313942"/>
        </a:xfrm>
        <a:prstGeom prst="rect">
          <a:avLst/>
        </a:prstGeom>
      </xdr:spPr>
    </xdr:pic>
    <xdr:clientData/>
  </xdr:twoCellAnchor>
  <xdr:twoCellAnchor editAs="oneCell">
    <xdr:from>
      <xdr:col>13</xdr:col>
      <xdr:colOff>600074</xdr:colOff>
      <xdr:row>49</xdr:row>
      <xdr:rowOff>160721</xdr:rowOff>
    </xdr:from>
    <xdr:to>
      <xdr:col>22</xdr:col>
      <xdr:colOff>322925</xdr:colOff>
      <xdr:row>55</xdr:row>
      <xdr:rowOff>28434</xdr:rowOff>
    </xdr:to>
    <xdr:pic>
      <xdr:nvPicPr>
        <xdr:cNvPr id="5" name="图片 4"/>
        <xdr:cNvPicPr>
          <a:picLocks noChangeAspect="1"/>
        </xdr:cNvPicPr>
      </xdr:nvPicPr>
      <xdr:blipFill>
        <a:blip xmlns:r="http://schemas.openxmlformats.org/officeDocument/2006/relationships" r:embed="rId1"/>
        <a:stretch>
          <a:fillRect/>
        </a:stretch>
      </xdr:blipFill>
      <xdr:spPr>
        <a:xfrm>
          <a:off x="9515474" y="7533071"/>
          <a:ext cx="5895051" cy="896413"/>
        </a:xfrm>
        <a:prstGeom prst="rect">
          <a:avLst/>
        </a:prstGeom>
      </xdr:spPr>
    </xdr:pic>
    <xdr:clientData/>
  </xdr:twoCellAnchor>
  <xdr:twoCellAnchor editAs="oneCell">
    <xdr:from>
      <xdr:col>0</xdr:col>
      <xdr:colOff>114300</xdr:colOff>
      <xdr:row>25</xdr:row>
      <xdr:rowOff>87946</xdr:rowOff>
    </xdr:from>
    <xdr:to>
      <xdr:col>12</xdr:col>
      <xdr:colOff>542925</xdr:colOff>
      <xdr:row>46</xdr:row>
      <xdr:rowOff>142187</xdr:rowOff>
    </xdr:to>
    <xdr:pic>
      <xdr:nvPicPr>
        <xdr:cNvPr id="6" name="图片 5"/>
        <xdr:cNvPicPr>
          <a:picLocks noChangeAspect="1"/>
        </xdr:cNvPicPr>
      </xdr:nvPicPr>
      <xdr:blipFill>
        <a:blip xmlns:r="http://schemas.openxmlformats.org/officeDocument/2006/relationships" r:embed="rId1"/>
        <a:stretch>
          <a:fillRect/>
        </a:stretch>
      </xdr:blipFill>
      <xdr:spPr>
        <a:xfrm>
          <a:off x="114300" y="3345496"/>
          <a:ext cx="8772525" cy="3654691"/>
        </a:xfrm>
        <a:prstGeom prst="rect">
          <a:avLst/>
        </a:prstGeom>
      </xdr:spPr>
    </xdr:pic>
    <xdr:clientData/>
  </xdr:twoCellAnchor>
  <xdr:twoCellAnchor editAs="oneCell">
    <xdr:from>
      <xdr:col>0</xdr:col>
      <xdr:colOff>0</xdr:colOff>
      <xdr:row>46</xdr:row>
      <xdr:rowOff>123825</xdr:rowOff>
    </xdr:from>
    <xdr:to>
      <xdr:col>12</xdr:col>
      <xdr:colOff>381771</xdr:colOff>
      <xdr:row>66</xdr:row>
      <xdr:rowOff>46989</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981825"/>
          <a:ext cx="8725671" cy="3352164"/>
        </a:xfrm>
        <a:prstGeom prst="rect">
          <a:avLst/>
        </a:prstGeom>
      </xdr:spPr>
    </xdr:pic>
    <xdr:clientData/>
  </xdr:twoCellAnchor>
  <xdr:twoCellAnchor editAs="oneCell">
    <xdr:from>
      <xdr:col>0</xdr:col>
      <xdr:colOff>0</xdr:colOff>
      <xdr:row>67</xdr:row>
      <xdr:rowOff>0</xdr:rowOff>
    </xdr:from>
    <xdr:to>
      <xdr:col>11</xdr:col>
      <xdr:colOff>371475</xdr:colOff>
      <xdr:row>90</xdr:row>
      <xdr:rowOff>134365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458450"/>
          <a:ext cx="8029575" cy="4077715"/>
        </a:xfrm>
        <a:prstGeom prst="rect">
          <a:avLst/>
        </a:prstGeom>
      </xdr:spPr>
    </xdr:pic>
    <xdr:clientData/>
  </xdr:twoCellAnchor>
  <xdr:twoCellAnchor editAs="oneCell">
    <xdr:from>
      <xdr:col>0</xdr:col>
      <xdr:colOff>0</xdr:colOff>
      <xdr:row>91</xdr:row>
      <xdr:rowOff>0</xdr:rowOff>
    </xdr:from>
    <xdr:to>
      <xdr:col>10</xdr:col>
      <xdr:colOff>608653</xdr:colOff>
      <xdr:row>121</xdr:row>
      <xdr:rowOff>8881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4573250"/>
          <a:ext cx="7580953" cy="5152381"/>
        </a:xfrm>
        <a:prstGeom prst="rect">
          <a:avLst/>
        </a:prstGeom>
      </xdr:spPr>
    </xdr:pic>
    <xdr:clientData/>
  </xdr:twoCellAnchor>
  <xdr:twoCellAnchor editAs="oneCell">
    <xdr:from>
      <xdr:col>21</xdr:col>
      <xdr:colOff>0</xdr:colOff>
      <xdr:row>6</xdr:row>
      <xdr:rowOff>0</xdr:rowOff>
    </xdr:from>
    <xdr:to>
      <xdr:col>26</xdr:col>
      <xdr:colOff>228143</xdr:colOff>
      <xdr:row>17</xdr:row>
      <xdr:rowOff>133098</xdr:rowOff>
    </xdr:to>
    <xdr:pic>
      <xdr:nvPicPr>
        <xdr:cNvPr id="10" name="图片 9"/>
        <xdr:cNvPicPr>
          <a:picLocks noChangeAspect="1"/>
        </xdr:cNvPicPr>
      </xdr:nvPicPr>
      <xdr:blipFill>
        <a:blip xmlns:r="http://schemas.openxmlformats.org/officeDocument/2006/relationships" r:embed="rId1"/>
        <a:stretch>
          <a:fillRect/>
        </a:stretch>
      </xdr:blipFill>
      <xdr:spPr>
        <a:xfrm>
          <a:off x="14401800" y="0"/>
          <a:ext cx="3657143"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esktop\&#27431;&#38470;&#24191;&#22330;-&#27604;&#36739;&#27861;-1.29&#25913;-&#40644;&#33521;20240325-150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36164;&#20135;&#24402;&#26723;/&#24247;&#22269;&#35780;&#21672;&#23383;&#12304;2023&#12305;0009&#21495;%20&#21271;&#20140;&#27431;&#38470;&#24191;&#22330;&#21830;&#19994;&#36816;&#33829;&#31649;&#29702;&#20844;&#21496;&#25311;&#20869;&#37096;&#20102;&#35299;&#25237;&#36164;&#24615;&#25151;&#22320;&#20135;&#20844;&#20801;&#20215;&#20540;&#25152;&#28041;&#21450;&#30340;&#20854;&#25152;&#26377;&#30340;&#21271;&#20140;&#24066;&#39034;&#20041;&#21306;&#35029;&#32724;&#36335;99&#21495;&#21830;&#19994;&#29992;&#25151;&#21450;&#22320;&#19979;&#36710;&#24211;&#29992;&#25151;&#25151;&#22320;&#20135;&#20844;&#20801;&#20215;&#20540;&#36164;&#20135;&#35780;&#20272;&#25253;&#21578;/&#27979;&#31639;&#21450;&#25253;&#21578;/&#30005;&#31639;&#34920;-&#27431;&#38470;&#24191;&#22330;(20230510&#35843;&#25972;&#22478;&#24066;&#22522;&#30784;&#35774;&#26045;&#37197;&#22871;&#36153;&#65288;&#21494;&#23457;&#25913;&#65289;&#65289;-8.53&#201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36807;&#31243;/2023-1-0262-&#26143;&#22320;&#20013;&#24515;-&#20013;&#34892;&#31199;&#37329;-&#2608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esktop\&#27704;&#20016;&#26234;&#24935;&#35895;-&#37026;&#36722;20230518-14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36164;&#20135;\2023&#24180;\&#26032;&#34903;&#30591;&#25345;\&#26032;&#34903;&#30591;&#25345;&#27979;&#31639;&#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信息及测绘"/>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2023租赁台账12月租区"/>
      <sheetName val="2023租赁台账12月中岛"/>
      <sheetName val="基准地价修正"/>
      <sheetName val="2022年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车位</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写字楼底商</v>
          </cell>
          <cell r="E100" t="str">
            <v>住宅底商</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挑高1-2</v>
          </cell>
          <cell r="D116" t="str">
            <v>标准层高</v>
          </cell>
        </row>
        <row r="120">
          <cell r="B120" t="str">
            <v>进深比</v>
          </cell>
          <cell r="C120" t="str">
            <v>较适宜</v>
          </cell>
        </row>
        <row r="122">
          <cell r="B122" t="str">
            <v>内部装修</v>
          </cell>
          <cell r="C122" t="str">
            <v>精装修</v>
          </cell>
        </row>
      </sheetData>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1"/>
      <sheetData sheetId="32"/>
      <sheetData sheetId="33"/>
      <sheetData sheetId="34"/>
      <sheetData sheetId="35"/>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写字楼车位</v>
          </cell>
          <cell r="E93" t="str">
            <v>商业车位</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信息及测绘"/>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E43">
            <v>6825.36</v>
          </cell>
        </row>
        <row r="44">
          <cell r="E44">
            <v>6232.32</v>
          </cell>
        </row>
        <row r="45">
          <cell r="E45">
            <v>6517.32</v>
          </cell>
        </row>
        <row r="46">
          <cell r="E46">
            <v>5926.34</v>
          </cell>
        </row>
        <row r="47">
          <cell r="E47">
            <v>5590.18</v>
          </cell>
        </row>
        <row r="48">
          <cell r="E48">
            <v>5323.21</v>
          </cell>
        </row>
      </sheetData>
      <sheetData sheetId="13" refreshError="1"/>
      <sheetData sheetId="14">
        <row r="17">
          <cell r="C17" t="str">
            <v>项目类型</v>
          </cell>
        </row>
        <row r="19">
          <cell r="C19" t="str">
            <v>商业</v>
          </cell>
        </row>
        <row r="20">
          <cell r="C20" t="str">
            <v>车位</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临街商铺</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标准层高</v>
          </cell>
        </row>
        <row r="120">
          <cell r="B120" t="str">
            <v>进深比</v>
          </cell>
          <cell r="C120" t="str">
            <v>较适宜</v>
          </cell>
        </row>
        <row r="122">
          <cell r="B122" t="str">
            <v>内部装修</v>
          </cell>
          <cell r="C122" t="str">
            <v>精装修</v>
          </cell>
        </row>
      </sheetData>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2">
        <row r="13">
          <cell r="L13">
            <v>200</v>
          </cell>
        </row>
      </sheetData>
      <sheetData sheetId="33" refreshError="1"/>
      <sheetData sheetId="34" refreshError="1"/>
      <sheetData sheetId="35" refreshError="1"/>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商业车位</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efreshError="1"/>
      <sheetData sheetId="43"/>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商业1层</v>
          </cell>
        </row>
        <row r="20">
          <cell r="C20" t="str">
            <v>商业2层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cell r="D61" t="str">
            <v>报价</v>
          </cell>
        </row>
        <row r="63">
          <cell r="B63" t="str">
            <v>用途</v>
          </cell>
          <cell r="C63" t="str">
            <v>商业</v>
          </cell>
        </row>
        <row r="86">
          <cell r="B86" t="str">
            <v>临街状况</v>
          </cell>
          <cell r="C86" t="str">
            <v>双面临街</v>
          </cell>
          <cell r="D86" t="str">
            <v>单面临街</v>
          </cell>
        </row>
        <row r="90">
          <cell r="B90" t="str">
            <v>人流量</v>
          </cell>
          <cell r="C90" t="str">
            <v>较大</v>
          </cell>
        </row>
        <row r="92">
          <cell r="B92" t="str">
            <v>楼层</v>
          </cell>
          <cell r="C92" t="str">
            <v>1层</v>
          </cell>
        </row>
        <row r="100">
          <cell r="B100" t="str">
            <v>商业类型</v>
          </cell>
          <cell r="C100" t="str">
            <v>写字楼底商</v>
          </cell>
        </row>
        <row r="105">
          <cell r="B105" t="str">
            <v>建筑结构</v>
          </cell>
          <cell r="C105" t="str">
            <v>钢混</v>
          </cell>
        </row>
        <row r="107">
          <cell r="B107" t="str">
            <v>公共部分装修</v>
          </cell>
          <cell r="C107" t="str">
            <v>精装</v>
          </cell>
        </row>
        <row r="112">
          <cell r="B112" t="str">
            <v>市政基础设施</v>
          </cell>
          <cell r="C112" t="str">
            <v>六通</v>
          </cell>
        </row>
        <row r="114">
          <cell r="B114" t="str">
            <v>业态</v>
          </cell>
          <cell r="C114" t="str">
            <v>可餐饮</v>
          </cell>
        </row>
        <row r="116">
          <cell r="B116" t="str">
            <v>层高</v>
          </cell>
        </row>
        <row r="120">
          <cell r="B120" t="str">
            <v>进深比</v>
          </cell>
          <cell r="C120" t="str">
            <v>较适宜</v>
          </cell>
        </row>
        <row r="122">
          <cell r="B122" t="str">
            <v>内部装修</v>
          </cell>
          <cell r="C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信息"/>
      <sheetName val="9月"/>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商业（售价）"/>
      <sheetName val="商业案例"/>
      <sheetName val="比较法-办公（租金）"/>
      <sheetName val="比较法-办公（售价）"/>
      <sheetName val="办公案例"/>
      <sheetName val="比较法-工业"/>
      <sheetName val="比较法-车位"/>
      <sheetName val="车位案例"/>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6">
          <cell r="D6">
            <v>74.930000000000007</v>
          </cell>
        </row>
      </sheetData>
      <sheetData sheetId="12"/>
      <sheetData sheetId="13"/>
      <sheetData sheetId="14"/>
      <sheetData sheetId="15">
        <row r="17">
          <cell r="C17" t="str">
            <v>项目类型</v>
          </cell>
        </row>
        <row r="19">
          <cell r="C19" t="str">
            <v>商业</v>
          </cell>
        </row>
        <row r="20">
          <cell r="C20" t="str">
            <v>办公</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49">
          <cell r="C49">
            <v>21.1</v>
          </cell>
        </row>
      </sheetData>
      <sheetData sheetId="29">
        <row r="49">
          <cell r="C49">
            <v>80072</v>
          </cell>
        </row>
      </sheetData>
      <sheetData sheetId="30"/>
      <sheetData sheetId="31">
        <row r="50">
          <cell r="C50">
            <v>8.6</v>
          </cell>
        </row>
      </sheetData>
      <sheetData sheetId="32">
        <row r="50">
          <cell r="C50">
            <v>53318</v>
          </cell>
        </row>
      </sheetData>
      <sheetData sheetId="33"/>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sheetData sheetId="45"/>
      <sheetData sheetId="46"/>
      <sheetData sheetId="47"/>
      <sheetData sheetId="48"/>
      <sheetData sheetId="49"/>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北京市顺义区澳景园四区2号楼房地产市场价值预评估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受贵公司委托，我公司对北京市顺义区澳景园四区2号楼房地产市场价值进行了预评估。</v>
      </c>
    </row>
    <row r="7" spans="1:2" s="1203" customFormat="1">
      <c r="A7" s="1201" t="s">
        <v>566</v>
      </c>
      <c r="B7" s="1202" t="str">
        <f>'预评函-1'!A7</f>
        <v>估价对象为北京市顺义区澳景园四区2号楼房地产，为北京澳金园置业发展有限公司所有。根据《国有土地使用证》[]，估价对象（分摊）出让国有建设用地使用权面积为0平方米，建筑面积为420平方米。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澳景园四区2号楼房地产,属北京澳金园置业发展有限公司开发建设的居住项目，该项目尚在开发建设中。根据《国有土地使用证》[]，估价对象（分摊）出让国有建设用地使用权面积为0平方米，规划建筑面积为420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2024年5月29日（评估专业人员实地查勘之日）</v>
      </c>
    </row>
    <row r="13" spans="1:2" s="1203" customFormat="1">
      <c r="A13" s="1201" t="s">
        <v>529</v>
      </c>
      <c r="B13" s="1202" t="str">
        <f>'预评函-1'!A18</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北京市顺义区澳景园四区2号楼房地产</v>
      </c>
    </row>
    <row r="42" spans="1:2" s="1203" customFormat="1">
      <c r="A42" s="1201" t="s">
        <v>590</v>
      </c>
      <c r="B42" s="1202" t="str">
        <f>'预评函-3'!B2</f>
        <v>建筑面积</v>
      </c>
    </row>
    <row r="43" spans="1:2" s="1203" customFormat="1">
      <c r="A43" s="1201" t="s">
        <v>591</v>
      </c>
      <c r="B43" s="1202">
        <f>'预评函-3'!B4</f>
        <v>420</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澳景园四区2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7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1"/>
      <c r="B54" s="1554" t="s">
        <v>385</v>
      </c>
      <c r="C54" s="1551" t="s">
        <v>583</v>
      </c>
    </row>
    <row r="55" spans="1:4">
      <c r="A55" s="3741"/>
      <c r="B55" s="1554" t="s">
        <v>386</v>
      </c>
      <c r="C55" s="1551" t="s">
        <v>584</v>
      </c>
    </row>
    <row r="56" spans="1:4">
      <c r="A56" s="3741"/>
      <c r="B56" s="1554" t="s">
        <v>387</v>
      </c>
      <c r="C56" s="1551" t="s">
        <v>588</v>
      </c>
    </row>
    <row r="57" spans="1:4">
      <c r="A57" s="37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742" t="s">
        <v>2574</v>
      </c>
      <c r="J2" s="3742"/>
      <c r="K2" s="3742"/>
      <c r="L2" s="3742"/>
      <c r="M2" s="3742"/>
      <c r="N2" s="3742"/>
      <c r="O2" s="3742"/>
      <c r="P2" s="3742"/>
      <c r="Q2" s="3742"/>
      <c r="R2" s="3742"/>
    </row>
    <row r="3" spans="1:18">
      <c r="A3" s="3017" t="s">
        <v>2495</v>
      </c>
      <c r="B3" s="3018">
        <f>项目基本情况!D3</f>
        <v>45441</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2.5499999999999998</v>
      </c>
      <c r="D5" s="3022">
        <f>IF(ISERROR(ROUND(POWER(1+E5,A5-C5)*(POWER(1+E5,C5)-1)/(POWER(1+E5,A5)-1),3)),0,ROUND(POWER(1+E5,A5-C5)*(POWER(1+E5,C5)-1)/(POWER(1+E5,A5)-1),4))</f>
        <v>0.1202</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12.56</v>
      </c>
      <c r="D6" s="3022">
        <f>IF(ISERROR(ROUND(POWER(1+E6,A6-C6)*(POWER(1+E6,C6)-1)/(POWER(1+E6,A6)-1),3)),0,ROUND(POWER(1+E6,A6-C6)*(POWER(1+E6,C6)-1)/(POWER(1+E6,A6)-1),4))</f>
        <v>0.45269999999999999</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32.58</v>
      </c>
      <c r="D7" s="3022">
        <f>IF(ISERROR(ROUND(POWER(1+E7,A7-C7)*(POWER(1+E7,C7)-1)/(POWER(1+E7,A7)-1),3)),0,ROUND(POWER(1+E7,A7-C7)*(POWER(1+E7,C7)-1)/(POWER(1+E7,A7)-1),4))</f>
        <v>0.77090000000000003</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3" sqref="B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751" t="str">
        <f>IF(B10="北京市","北京市",C10)&amp;F10&amp;IF(结果表!G1="在建","出让国有建设用地使用权及在建建筑物",IF(结果表!G1="土地","出让国有建设用地使用权",))&amp;B9&amp;"预评估"</f>
        <v>北京市顺义区澳景园四区2号楼房地产市场价值预评估</v>
      </c>
      <c r="C1" s="3752"/>
      <c r="D1" s="3752"/>
      <c r="E1" s="3752"/>
      <c r="F1" s="3752"/>
      <c r="G1" s="3752"/>
      <c r="H1" s="3752"/>
      <c r="I1" s="3753"/>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北京市顺义区澳景园四区2号楼房地产市场价值</v>
      </c>
      <c r="T1" s="1745"/>
      <c r="U1" s="1745"/>
      <c r="V1" s="1745"/>
      <c r="W1" s="1745"/>
      <c r="X1" s="1745"/>
      <c r="Y1" s="1745"/>
      <c r="Z1" s="1745"/>
      <c r="AA1" s="1745"/>
      <c r="AB1" s="1745"/>
    </row>
    <row r="2" spans="1:30">
      <c r="A2" s="2367" t="s">
        <v>2167</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北京市顺义区澳景园四区2号楼房地产</v>
      </c>
      <c r="T2" s="1745"/>
      <c r="U2" s="1745"/>
      <c r="V2" s="1745"/>
      <c r="W2" s="1745"/>
      <c r="X2" s="1745"/>
      <c r="Y2" s="1745"/>
      <c r="Z2" s="1745"/>
      <c r="AA2" s="1745"/>
      <c r="AB2" s="1745"/>
    </row>
    <row r="3" spans="1:30">
      <c r="A3" s="302" t="s">
        <v>2168</v>
      </c>
      <c r="B3" s="3526">
        <v>45441</v>
      </c>
      <c r="C3" s="2374" t="s">
        <v>2169</v>
      </c>
      <c r="D3" s="2373">
        <f>B3</f>
        <v>45441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2173</v>
      </c>
      <c r="B7" s="2387"/>
      <c r="C7" s="2385"/>
      <c r="D7" s="2386"/>
      <c r="E7" s="2659"/>
      <c r="F7" s="2661"/>
      <c r="G7" s="2661"/>
      <c r="H7" s="2661"/>
      <c r="I7" s="2661"/>
      <c r="J7" s="2438"/>
      <c r="K7" s="2613"/>
      <c r="L7" s="2610"/>
      <c r="M7" s="2610"/>
      <c r="N7" s="2438"/>
      <c r="O7" s="2449"/>
      <c r="P7" s="2438"/>
      <c r="Q7" s="2438"/>
      <c r="R7" s="2438"/>
    </row>
    <row r="8" spans="1:30">
      <c r="A8" s="2388" t="s">
        <v>2174</v>
      </c>
      <c r="B8" s="2389" t="s">
        <v>3503</v>
      </c>
      <c r="C8" s="2390"/>
      <c r="D8" s="3754" t="s">
        <v>2175</v>
      </c>
      <c r="E8" s="2391"/>
      <c r="F8" s="2392"/>
      <c r="G8" s="2660"/>
      <c r="H8" s="2660"/>
      <c r="I8" s="2660"/>
      <c r="J8" s="2438"/>
      <c r="K8" s="2611"/>
      <c r="L8" s="2610"/>
      <c r="M8" s="2610"/>
      <c r="N8" s="2438"/>
      <c r="O8" s="2449"/>
      <c r="P8" s="2438"/>
      <c r="Q8" s="2438"/>
      <c r="R8" s="2438"/>
    </row>
    <row r="9" spans="1:30" ht="13.5" thickBot="1">
      <c r="A9" s="2393" t="s">
        <v>2176</v>
      </c>
      <c r="B9" s="2394" t="s">
        <v>3504</v>
      </c>
      <c r="C9" s="2395"/>
      <c r="D9" s="3755"/>
      <c r="E9" s="2394"/>
      <c r="F9" s="2396"/>
      <c r="G9" s="2662"/>
      <c r="H9" s="2662"/>
      <c r="I9" s="2662"/>
      <c r="J9" s="2438"/>
      <c r="K9" s="2613"/>
      <c r="L9" s="2610"/>
      <c r="M9" s="2610"/>
      <c r="N9" s="2438"/>
      <c r="O9" s="2449"/>
      <c r="P9" s="2438"/>
      <c r="Q9" s="2438"/>
      <c r="R9" s="2438"/>
    </row>
    <row r="10" spans="1:30" ht="13.5" thickTop="1">
      <c r="A10" s="2397" t="s">
        <v>2177</v>
      </c>
      <c r="B10" s="2398" t="s">
        <v>3505</v>
      </c>
      <c r="C10" s="2399"/>
      <c r="D10" s="2382"/>
      <c r="E10" s="2400" t="s">
        <v>2178</v>
      </c>
      <c r="F10" s="2663" t="s">
        <v>3971</v>
      </c>
      <c r="G10" s="2664"/>
      <c r="H10" s="2665"/>
      <c r="I10" s="2666"/>
      <c r="J10" s="2438"/>
      <c r="K10" s="2613"/>
      <c r="L10" s="2610"/>
      <c r="M10" s="2610"/>
      <c r="N10" s="2438"/>
      <c r="O10" s="2449"/>
      <c r="P10" s="2438"/>
      <c r="Q10" s="2438"/>
      <c r="R10" s="2438"/>
    </row>
    <row r="11" spans="1:30" ht="36">
      <c r="A11" s="2401" t="s">
        <v>2179</v>
      </c>
      <c r="B11" s="2402" t="s">
        <v>3506</v>
      </c>
      <c r="C11" s="3673" t="s">
        <v>3972</v>
      </c>
      <c r="D11" s="2403"/>
      <c r="E11" s="2370"/>
      <c r="F11" s="2370"/>
      <c r="G11" s="2370"/>
      <c r="H11" s="2370"/>
      <c r="I11" s="2370"/>
      <c r="J11" s="3058"/>
      <c r="K11" s="3057"/>
      <c r="L11" s="2610"/>
      <c r="M11" s="2610"/>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6" t="s">
        <v>2570</v>
      </c>
      <c r="J12" s="3059"/>
      <c r="K12" s="2610"/>
      <c r="L12" s="2610"/>
      <c r="M12" s="2438"/>
      <c r="N12" s="2449"/>
      <c r="O12" s="2438"/>
      <c r="P12" s="2438"/>
      <c r="Q12" s="2438"/>
      <c r="AD12" s="1745"/>
    </row>
    <row r="13" spans="1:30">
      <c r="A13" s="3420" t="s">
        <v>3568</v>
      </c>
      <c r="B13" s="2406" t="s">
        <v>2188</v>
      </c>
      <c r="C13" s="856"/>
      <c r="D13" s="856">
        <v>52546</v>
      </c>
      <c r="E13" s="856"/>
      <c r="F13" s="856"/>
      <c r="G13" s="856"/>
      <c r="H13" s="856"/>
      <c r="I13" s="856"/>
      <c r="J13" s="3059"/>
      <c r="K13" s="2610"/>
      <c r="L13" s="2610"/>
      <c r="M13" s="2438"/>
      <c r="N13" s="2449"/>
      <c r="O13" s="2438"/>
      <c r="P13" s="2438"/>
      <c r="Q13" s="2438"/>
      <c r="AD13" s="1745"/>
    </row>
    <row r="14" spans="1:30">
      <c r="A14" s="1081"/>
      <c r="B14" s="2406" t="s">
        <v>2189</v>
      </c>
      <c r="C14" s="2407"/>
      <c r="D14" s="2407">
        <v>40</v>
      </c>
      <c r="E14" s="2407"/>
      <c r="F14" s="2407"/>
      <c r="G14" s="2407"/>
      <c r="H14" s="2407"/>
      <c r="I14" s="2407">
        <v>50</v>
      </c>
      <c r="J14" s="3060"/>
      <c r="K14" s="2610"/>
      <c r="L14" s="2610"/>
      <c r="M14" s="2438"/>
      <c r="N14" s="2449"/>
      <c r="O14" s="2438"/>
      <c r="P14" s="2438"/>
      <c r="Q14" s="2438"/>
      <c r="AD14" s="1745"/>
    </row>
    <row r="15" spans="1:30">
      <c r="A15" s="320"/>
      <c r="B15" s="2408" t="s">
        <v>2190</v>
      </c>
      <c r="C15" s="2409" t="str">
        <f>IF(A13="出让",IF(C13="","",ROUNDDOWN(MIN((C13-$D$3)/365,C14),2)),C14)</f>
        <v/>
      </c>
      <c r="D15" s="2409">
        <f>IF(A13="出让",IF(D13="","",ROUNDDOWN(MIN((D13-$D$3)/365,D14),2)),D14)</f>
        <v>19.46</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2191</v>
      </c>
      <c r="B16" s="3761"/>
      <c r="C16" s="3762"/>
      <c r="D16" s="3763"/>
      <c r="E16" s="2412" t="s">
        <v>2192</v>
      </c>
      <c r="F16" s="3764"/>
      <c r="G16" s="3765"/>
      <c r="H16" s="3765"/>
      <c r="I16" s="3766"/>
      <c r="J16" s="2438"/>
      <c r="K16" s="2614"/>
      <c r="L16" s="2450"/>
      <c r="M16" s="2450"/>
      <c r="N16" s="2506"/>
      <c r="O16" s="2450"/>
      <c r="P16" s="2506"/>
      <c r="Q16" s="2438"/>
      <c r="R16" s="2438"/>
    </row>
    <row r="17" spans="1:28">
      <c r="A17" s="313" t="s">
        <v>2193</v>
      </c>
      <c r="B17" s="302" t="s">
        <v>2194</v>
      </c>
      <c r="C17" s="8">
        <f>'数据-汇总表'!E3</f>
        <v>420</v>
      </c>
      <c r="D17" s="2322" t="s">
        <v>2195</v>
      </c>
      <c r="E17" s="3767" t="s">
        <v>2196</v>
      </c>
      <c r="F17" s="3768"/>
      <c r="G17" s="3768"/>
      <c r="H17" s="3768"/>
      <c r="I17" s="3769"/>
      <c r="J17" s="2438"/>
      <c r="K17" s="2615"/>
      <c r="L17" s="2450"/>
      <c r="M17" s="2450"/>
      <c r="N17" s="2506"/>
      <c r="O17" s="2450"/>
      <c r="P17" s="2506"/>
      <c r="Q17" s="2438"/>
      <c r="R17" s="2438"/>
      <c r="S17" s="2438"/>
      <c r="T17" s="2438"/>
      <c r="U17" s="2438"/>
      <c r="V17" s="2438"/>
    </row>
    <row r="18" spans="1:28" ht="24.75" thickBot="1">
      <c r="A18" s="2413" t="s">
        <v>2197</v>
      </c>
      <c r="B18" s="1090" t="s">
        <v>2198</v>
      </c>
      <c r="C18" s="2414">
        <f>'数据-汇总表'!D3</f>
        <v>0</v>
      </c>
      <c r="D18" s="1092" t="s">
        <v>2199</v>
      </c>
      <c r="E18" s="3770" t="s">
        <v>2200</v>
      </c>
      <c r="F18" s="3771"/>
      <c r="G18" s="3771"/>
      <c r="H18" s="3771"/>
      <c r="I18" s="3772"/>
      <c r="J18" s="2438"/>
      <c r="K18" s="2615"/>
      <c r="L18" s="2450"/>
      <c r="M18" s="2450"/>
      <c r="N18" s="2506"/>
      <c r="O18" s="2450"/>
      <c r="P18" s="2506"/>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2203</v>
      </c>
      <c r="B20" s="3757" t="s">
        <v>2204</v>
      </c>
      <c r="C20" s="3758"/>
      <c r="D20" s="3759" t="s">
        <v>2205</v>
      </c>
      <c r="E20" s="3760"/>
      <c r="F20" s="2644" t="s">
        <v>1056</v>
      </c>
      <c r="G20" s="2661"/>
      <c r="H20" s="2661"/>
      <c r="I20" s="2661"/>
      <c r="J20" s="2438"/>
      <c r="K20" s="3756" t="s">
        <v>2206</v>
      </c>
      <c r="L20" s="684" t="str">
        <f>"根据估价对象"&amp;IF(B22="——",B21&amp;C21,B21&amp;C21&amp;"、"&amp;B22&amp;C22)&amp;"，"&amp;IF(C19="是","截至价值时点，估价对象已设定抵押。","截至价值时点，估价对象抵押权未见登记。")</f>
        <v>根据估价对象、，截至价值时点，估价对象抵押权未见登记。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13.5" thickBot="1">
      <c r="A21" s="2629"/>
      <c r="B21" s="2630"/>
      <c r="C21" s="2631"/>
      <c r="D21" s="1568"/>
      <c r="E21" s="2632"/>
      <c r="F21" s="2645"/>
      <c r="G21" s="2661"/>
      <c r="H21" s="2661"/>
      <c r="I21" s="2661"/>
      <c r="J21" s="2438"/>
      <c r="K21" s="37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9"/>
      <c r="B22" s="2633"/>
      <c r="C22" s="2631"/>
      <c r="D22" s="2660"/>
      <c r="E22" s="2660"/>
      <c r="F22" s="2660"/>
      <c r="G22" s="2661"/>
      <c r="H22" s="2661"/>
      <c r="I22" s="2661"/>
      <c r="J22" s="2438"/>
      <c r="K22" s="37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2207</v>
      </c>
      <c r="B23" s="2499" t="s">
        <v>2208</v>
      </c>
      <c r="C23" s="2635"/>
      <c r="D23" s="2636" t="s">
        <v>2208</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1057</v>
      </c>
      <c r="C24" s="2638"/>
      <c r="D24" s="2634" t="s">
        <v>1057</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1058</v>
      </c>
      <c r="C25" s="2638"/>
      <c r="D25" s="2634" t="s">
        <v>1058</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1059</v>
      </c>
      <c r="C26" s="2642"/>
      <c r="D26" s="2640" t="s">
        <v>1059</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744" t="s">
        <v>2209</v>
      </c>
      <c r="B27" s="320" t="s">
        <v>2210</v>
      </c>
      <c r="C27" s="2415" t="s">
        <v>3593</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744"/>
      <c r="B28" s="302" t="s">
        <v>2211</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744"/>
      <c r="B29" s="302" t="s">
        <v>2212</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745"/>
      <c r="B30" s="302" t="s">
        <v>2213</v>
      </c>
      <c r="C30" s="3746"/>
      <c r="D30" s="3747"/>
      <c r="E30" s="2661"/>
      <c r="F30" s="2661"/>
      <c r="G30" s="2661"/>
      <c r="H30" s="2661"/>
      <c r="I30" s="2661"/>
      <c r="J30" s="2438"/>
      <c r="K30" s="2613"/>
      <c r="L30" s="2610"/>
      <c r="M30" s="2610"/>
      <c r="N30" s="2438"/>
      <c r="O30" s="2449"/>
      <c r="P30" s="2438"/>
      <c r="Q30" s="2438"/>
      <c r="R30" s="2438"/>
      <c r="S30" s="2438"/>
      <c r="T30" s="2438"/>
      <c r="U30" s="2438"/>
      <c r="V30" s="2438"/>
    </row>
    <row r="31" spans="1:28">
      <c r="A31" s="3748" t="s">
        <v>2214</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749"/>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749"/>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2215</v>
      </c>
      <c r="B34" s="2026" t="s">
        <v>3507</v>
      </c>
      <c r="C34" s="2026" t="s">
        <v>3508</v>
      </c>
      <c r="D34" s="2026" t="s">
        <v>3509</v>
      </c>
      <c r="E34" s="2026" t="s">
        <v>3510</v>
      </c>
      <c r="F34" s="2026" t="s">
        <v>3511</v>
      </c>
      <c r="G34" s="2026"/>
      <c r="H34" s="2026"/>
      <c r="I34" s="2661"/>
      <c r="J34" s="2438"/>
      <c r="K34" s="2426">
        <f>COUNTIF(B34:H34,"——")</f>
        <v>0</v>
      </c>
      <c r="L34" s="323" t="s">
        <v>2216</v>
      </c>
      <c r="M34" s="323" t="s">
        <v>2217</v>
      </c>
      <c r="N34" s="323" t="s">
        <v>2218</v>
      </c>
      <c r="O34" s="323" t="s">
        <v>2219</v>
      </c>
      <c r="P34" s="323" t="s">
        <v>2220</v>
      </c>
      <c r="Q34" s="323" t="s">
        <v>2221</v>
      </c>
      <c r="R34" s="323" t="s">
        <v>2222</v>
      </c>
      <c r="S34" s="3743" t="s">
        <v>2223</v>
      </c>
      <c r="T34" s="2427" t="str">
        <f>NUMBERSTRING(7-K34,1)&amp;"通"</f>
        <v>七通</v>
      </c>
      <c r="U34" s="2438"/>
      <c r="V34" s="2438"/>
    </row>
    <row r="35" spans="1:30">
      <c r="A35" s="2428"/>
      <c r="B35" s="3750" t="s">
        <v>2224</v>
      </c>
      <c r="C35" s="3750"/>
      <c r="D35" s="3750"/>
      <c r="E35" s="3750"/>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743"/>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62" t="s">
        <v>2573</v>
      </c>
      <c r="G36" s="2661"/>
      <c r="H36" s="2661"/>
      <c r="I36" s="2661"/>
      <c r="J36" s="2438"/>
      <c r="K36" s="2613"/>
      <c r="L36" s="2610"/>
      <c r="M36" s="2610"/>
      <c r="N36" s="2438"/>
      <c r="O36" s="2449"/>
      <c r="P36" s="2438"/>
      <c r="Q36" s="2438"/>
      <c r="R36" s="2438"/>
      <c r="S36" s="2438"/>
      <c r="T36" s="2438"/>
      <c r="U36" s="2438"/>
      <c r="V36" s="2438"/>
    </row>
    <row r="37" spans="1:30">
      <c r="A37" s="2627" t="s">
        <v>2225</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2226</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2228</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3" t="s">
        <v>2238</v>
      </c>
      <c r="K42" s="2624" t="s">
        <v>2239</v>
      </c>
      <c r="L42" s="2624" t="s">
        <v>2240</v>
      </c>
      <c r="M42" s="2624" t="s">
        <v>2241</v>
      </c>
      <c r="N42" s="2617" t="s">
        <v>2242</v>
      </c>
      <c r="O42" s="2617" t="s">
        <v>2243</v>
      </c>
      <c r="P42" s="2617" t="s">
        <v>2244</v>
      </c>
      <c r="Q42" s="2618" t="s">
        <v>2245</v>
      </c>
      <c r="R42" s="2618"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420</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420</v>
      </c>
      <c r="H5" s="13">
        <f t="shared" ref="H5:AT5" si="0">SUM(H13:H656)</f>
        <v>420</v>
      </c>
      <c r="I5" s="13">
        <f t="shared" si="0"/>
        <v>420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420</v>
      </c>
      <c r="BA5" s="15">
        <f t="shared" si="1"/>
        <v>420</v>
      </c>
      <c r="BB5" s="15">
        <f t="shared" si="1"/>
        <v>420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3512</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3513</v>
      </c>
      <c r="E13" s="13">
        <f>IF($C$3="是",ROUND($A$3*G13/$B$3,2),ROUND($A$3*(G13-AT13)/$B$3,2))</f>
        <v>0</v>
      </c>
      <c r="F13" s="29"/>
      <c r="G13" s="30">
        <f>H13+AC13+AT13</f>
        <v>420</v>
      </c>
      <c r="H13" s="17">
        <f>SUMIF(I$12:AB$12,"总值",I13:AB13)</f>
        <v>420</v>
      </c>
      <c r="I13" s="1626">
        <v>420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420</v>
      </c>
      <c r="BA13" s="13">
        <f>SUM(BB13:BK13)</f>
        <v>420</v>
      </c>
      <c r="BB13" s="13">
        <f>IF($D13="是",I13-J13,0)</f>
        <v>420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782" t="s">
        <v>1129</v>
      </c>
      <c r="B2" s="3782"/>
      <c r="C2" s="3782"/>
      <c r="D2" s="796" t="s">
        <v>1105</v>
      </c>
      <c r="E2" s="1639" t="s">
        <v>1106</v>
      </c>
      <c r="F2" s="2656"/>
      <c r="G2" s="2647"/>
      <c r="H2" s="2648"/>
      <c r="I2" s="2325" t="s">
        <v>1130</v>
      </c>
      <c r="J2" s="2656"/>
      <c r="K2" s="2656"/>
      <c r="L2" s="2656"/>
      <c r="M2" s="2656"/>
      <c r="N2" s="2658"/>
      <c r="O2" s="2656"/>
      <c r="P2" s="2656"/>
    </row>
    <row r="3" spans="1:16" ht="15.75" thickBot="1">
      <c r="A3" s="3783" t="s">
        <v>1103</v>
      </c>
      <c r="B3" s="3783"/>
      <c r="C3" s="3783"/>
      <c r="D3" s="43">
        <f>'数据-基础表'!AY6</f>
        <v>0</v>
      </c>
      <c r="E3" s="43">
        <f>'数据-基础表'!AZ5</f>
        <v>420</v>
      </c>
      <c r="F3" s="2656"/>
      <c r="G3" s="1145"/>
      <c r="H3" s="1026" t="s">
        <v>1104</v>
      </c>
      <c r="I3" s="855" t="e">
        <f>ROUND('数据-基础表'!B3/'数据-基础表'!A3,2)</f>
        <v>#DIV/0!</v>
      </c>
      <c r="J3" s="2656"/>
      <c r="K3" s="2656"/>
      <c r="L3" s="2656"/>
      <c r="M3" s="2656"/>
      <c r="N3" s="2658"/>
      <c r="O3" s="2656"/>
      <c r="P3" s="2656"/>
    </row>
    <row r="4" spans="1:16" ht="15">
      <c r="A4" s="3784"/>
      <c r="B4" s="3785"/>
      <c r="C4" s="3786"/>
      <c r="D4" s="1641" t="s">
        <v>1105</v>
      </c>
      <c r="E4" s="1642" t="s">
        <v>1106</v>
      </c>
      <c r="F4" s="2656"/>
      <c r="G4" s="2649" t="s">
        <v>1131</v>
      </c>
      <c r="H4" s="1026" t="s">
        <v>1111</v>
      </c>
      <c r="I4" s="855" t="e">
        <f>ROUND(SUMIF('数据-基础表'!I9:AS9,"地上",'数据-基础表'!I5:AS5)/'数据-基础表'!A3,2)</f>
        <v>#DIV/0!</v>
      </c>
      <c r="J4" s="2656"/>
      <c r="K4" s="2656"/>
      <c r="L4" s="2656"/>
      <c r="M4" s="2656"/>
      <c r="N4" s="2658"/>
      <c r="O4" s="2656"/>
      <c r="P4" s="2656"/>
    </row>
    <row r="5" spans="1:16">
      <c r="A5" s="44" t="s">
        <v>1107</v>
      </c>
      <c r="B5" s="3787" t="s">
        <v>1108</v>
      </c>
      <c r="C5" s="3787"/>
      <c r="D5" s="45">
        <f>ROUND($D$3*E5/$E$3,2)</f>
        <v>0</v>
      </c>
      <c r="E5" s="46">
        <f>SUMIF('数据-基础表'!$11:$11,"住宅",'数据-基础表'!$5:$5)</f>
        <v>0</v>
      </c>
      <c r="F5" s="2656"/>
      <c r="G5" s="1145"/>
      <c r="H5" s="1026" t="s">
        <v>1104</v>
      </c>
      <c r="I5" s="855" t="e">
        <f>ROUND(E31/D31,2)</f>
        <v>#DIV/0!</v>
      </c>
      <c r="J5" s="2656"/>
      <c r="K5" s="2656"/>
      <c r="L5" s="2656"/>
      <c r="M5" s="2656"/>
      <c r="N5" s="2656"/>
      <c r="O5" s="2656"/>
      <c r="P5" s="2656"/>
    </row>
    <row r="6" spans="1:16" ht="15" thickBot="1">
      <c r="A6" s="1644"/>
      <c r="B6" s="3787" t="s">
        <v>1109</v>
      </c>
      <c r="C6" s="3787"/>
      <c r="D6" s="45">
        <f>ROUND($D$3*E6/$E$3,2)</f>
        <v>0</v>
      </c>
      <c r="E6" s="46">
        <f>E3-E5</f>
        <v>420</v>
      </c>
      <c r="F6" s="2656"/>
      <c r="G6" s="2650" t="s">
        <v>1110</v>
      </c>
      <c r="H6" s="1146" t="s">
        <v>1111</v>
      </c>
      <c r="I6" s="2651" t="e">
        <f>ROUND(F31/D31,2)</f>
        <v>#DIV/0!</v>
      </c>
      <c r="J6" s="2656"/>
      <c r="K6" s="2656"/>
      <c r="L6" s="2656"/>
      <c r="M6" s="2656"/>
      <c r="N6" s="2656"/>
      <c r="O6" s="2656"/>
      <c r="P6" s="2656"/>
    </row>
    <row r="7" spans="1:16" ht="15.75" thickBot="1">
      <c r="A7" s="3779"/>
      <c r="B7" s="3780"/>
      <c r="C7" s="3781"/>
      <c r="D7" s="1641" t="s">
        <v>1105</v>
      </c>
      <c r="E7" s="1645" t="s">
        <v>1112</v>
      </c>
      <c r="F7" s="2656"/>
      <c r="G7" s="2652" t="s">
        <v>1113</v>
      </c>
      <c r="H7" s="2653"/>
      <c r="I7" s="2654">
        <v>2.5</v>
      </c>
      <c r="J7" s="2656"/>
      <c r="K7" s="2656"/>
      <c r="L7" s="2656"/>
      <c r="M7" s="2656"/>
      <c r="N7" s="2656"/>
      <c r="O7" s="2656"/>
      <c r="P7" s="2656"/>
    </row>
    <row r="8" spans="1:16">
      <c r="A8" s="44" t="s">
        <v>1114</v>
      </c>
      <c r="B8" s="47" t="s">
        <v>1115</v>
      </c>
      <c r="C8" s="45" t="s">
        <v>1116</v>
      </c>
      <c r="D8" s="45">
        <f t="shared" ref="D8:D15" si="0">ROUND($D$3*E8/$E$3,2)</f>
        <v>0</v>
      </c>
      <c r="E8" s="48">
        <f>SUMIF('数据-基础表'!BB10:BK10,"地上",'数据-基础表'!BB5:BK5)</f>
        <v>420</v>
      </c>
      <c r="F8" s="2656"/>
      <c r="G8" s="2657"/>
      <c r="H8" s="2657"/>
      <c r="I8" s="2656"/>
      <c r="J8" s="2656"/>
      <c r="K8" s="2656"/>
      <c r="L8" s="2656"/>
      <c r="M8" s="2656"/>
      <c r="N8" s="2656"/>
      <c r="O8" s="2656"/>
      <c r="P8" s="2656"/>
    </row>
    <row r="9" spans="1:16">
      <c r="A9" s="1646"/>
      <c r="B9" s="1647"/>
      <c r="C9" s="45" t="s">
        <v>1117</v>
      </c>
      <c r="D9" s="45">
        <f t="shared" si="0"/>
        <v>0</v>
      </c>
      <c r="E9" s="49">
        <v>0</v>
      </c>
      <c r="F9" s="2656"/>
      <c r="G9" s="2657"/>
      <c r="H9" s="2657"/>
      <c r="I9" s="2656"/>
      <c r="J9" s="2656"/>
      <c r="K9" s="2656"/>
      <c r="L9" s="2656"/>
      <c r="M9" s="2656"/>
      <c r="N9" s="2656"/>
      <c r="O9" s="2656"/>
      <c r="P9" s="2656"/>
    </row>
    <row r="10" spans="1:16">
      <c r="A10" s="1646"/>
      <c r="B10" s="1647"/>
      <c r="C10" s="45" t="s">
        <v>1126</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1118</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1119</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1120</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1127</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1121</v>
      </c>
      <c r="D16" s="47">
        <f>SUM(D8:D15)</f>
        <v>0</v>
      </c>
      <c r="E16" s="50">
        <f>SUM(E8:E15)</f>
        <v>420</v>
      </c>
      <c r="F16" s="2656"/>
      <c r="G16" s="2657"/>
      <c r="H16" s="1648" t="s">
        <v>1133</v>
      </c>
      <c r="I16" s="1649"/>
      <c r="J16" s="1139"/>
      <c r="K16" s="3776" t="s">
        <v>1133</v>
      </c>
      <c r="L16" s="3777"/>
      <c r="M16" s="3777"/>
      <c r="N16" s="3777"/>
      <c r="O16" s="3777"/>
      <c r="P16" s="3778"/>
    </row>
    <row r="17" spans="1:19" ht="15">
      <c r="A17" s="1650" t="s">
        <v>1134</v>
      </c>
      <c r="B17" s="1651" t="s">
        <v>1135</v>
      </c>
      <c r="C17" s="1652" t="s">
        <v>1136</v>
      </c>
      <c r="D17" s="1653" t="s">
        <v>1124</v>
      </c>
      <c r="E17" s="1654" t="s">
        <v>1125</v>
      </c>
      <c r="F17" s="1655"/>
      <c r="G17" s="1656"/>
      <c r="H17" s="1657" t="s">
        <v>1137</v>
      </c>
      <c r="I17" s="1658" t="s">
        <v>1122</v>
      </c>
      <c r="J17" s="1139"/>
      <c r="K17" s="3773" t="s">
        <v>1138</v>
      </c>
      <c r="L17" s="3774"/>
      <c r="M17" s="3775"/>
      <c r="N17" s="3773" t="s">
        <v>1139</v>
      </c>
      <c r="O17" s="3774"/>
      <c r="P17" s="3775"/>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4" t="s">
        <v>3514</v>
      </c>
      <c r="D19" s="45">
        <f>ROUND($D$3*E19/$E$3,2)</f>
        <v>0</v>
      </c>
      <c r="E19" s="53">
        <f t="shared" ref="E19:E26" si="1">SUM(F19:G19)</f>
        <v>420</v>
      </c>
      <c r="F19" s="2792">
        <f>'数据-基础表'!I5</f>
        <v>420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420</v>
      </c>
    </row>
    <row r="20" spans="1:19">
      <c r="A20" s="1670"/>
      <c r="B20" s="47" t="s">
        <v>1151</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420</v>
      </c>
      <c r="F27" s="1140">
        <f>IF(SUM(F19:F26)=E8,SUM(F19:F26),"地上面积有误")</f>
        <v>420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420</v>
      </c>
    </row>
    <row r="28" spans="1:19">
      <c r="A28" s="1670"/>
      <c r="B28" s="47" t="s">
        <v>1153</v>
      </c>
      <c r="C28" s="1038" t="s">
        <v>1154</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1153</v>
      </c>
      <c r="C29" s="1674"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1152</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1156</v>
      </c>
      <c r="D31" s="676">
        <f>D27+D30</f>
        <v>0</v>
      </c>
      <c r="E31" s="676">
        <f>E27+E30</f>
        <v>420</v>
      </c>
      <c r="F31" s="677">
        <f>F27+F30</f>
        <v>420</v>
      </c>
      <c r="G31" s="678">
        <f>G27+G30</f>
        <v>0</v>
      </c>
      <c r="H31" s="2656"/>
      <c r="I31" s="2656"/>
      <c r="J31" s="2656"/>
      <c r="K31" s="2656"/>
      <c r="L31" s="2656"/>
      <c r="M31" s="2656"/>
      <c r="N31" s="2656"/>
      <c r="O31" s="2656"/>
      <c r="P31" s="2656"/>
    </row>
    <row r="32" spans="1:19">
      <c r="A32" s="1643"/>
      <c r="B32" s="1643" t="s">
        <v>1157</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1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1159</v>
      </c>
      <c r="B2" s="1045">
        <f>项目基本情况!D3</f>
        <v>45441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5"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3517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52546</v>
      </c>
      <c r="F6" s="64">
        <f>SUMIF(项目基本情况!C$12:I$12,C6,项目基本情况!C$15:I$15)</f>
        <v>19.46</v>
      </c>
      <c r="G6" s="65">
        <f>IF(ISERROR(ROUND(POWER(1+H6,D6-F6)*(POWER(1+H6,F6)-1)/(POWER(1+H6,D6)-1),3)),0,ROUND(POWER(1+H6,D6-F6)*(POWER(1+H6,F6)-1)/(POWER(1+H6,D6)-1),3))</f>
        <v>0.73299999999999998</v>
      </c>
      <c r="H6" s="732">
        <v>5.5E-2</v>
      </c>
      <c r="I6" s="732">
        <v>0.06</v>
      </c>
      <c r="J6" s="66">
        <v>7.0000000000000007E-2</v>
      </c>
      <c r="K6" s="1030">
        <f>SUMIF('数据-汇总表'!C$19:C$33,A6,'数据-汇总表'!E$19:E$33)</f>
        <v>420</v>
      </c>
      <c r="L6" s="733">
        <v>5500</v>
      </c>
      <c r="M6" s="67">
        <f t="shared" ref="M6:M14" si="0">ROUND(K6*L6/10000,0)</f>
        <v>231</v>
      </c>
      <c r="N6" s="731">
        <f>N20</f>
        <v>0.77499999999999991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15</v>
      </c>
      <c r="V6" s="70">
        <v>2.5000000000000001E-2</v>
      </c>
      <c r="W6" s="70">
        <v>0.1</v>
      </c>
      <c r="X6" s="1040"/>
      <c r="Y6" s="71">
        <f>N6</f>
        <v>0.77499999999999991</v>
      </c>
      <c r="Z6" s="72"/>
      <c r="AA6" s="66"/>
      <c r="AB6" s="66"/>
      <c r="AC6" s="1040"/>
      <c r="AD6" s="73"/>
      <c r="AE6" s="1041">
        <f ca="1">IF(AN6="",0,SUMIF(INDIRECT("'"&amp;AN6&amp;"'"&amp;"!E:E"),$AE$5,INDIRECT("'"&amp;AN6&amp;"'"&amp;"!F:F")))</f>
        <v>19.46</v>
      </c>
      <c r="AF6" s="1348"/>
      <c r="AG6" s="138">
        <f>IF(AF6="",0,AE6-AF6)</f>
        <v>0</v>
      </c>
      <c r="AH6" s="74"/>
      <c r="AI6" s="76">
        <v>365</v>
      </c>
      <c r="AJ6" s="77"/>
      <c r="AK6" s="78">
        <v>0.01</v>
      </c>
      <c r="AL6" s="79">
        <v>1.5E-3</v>
      </c>
      <c r="AM6" s="80">
        <v>0.01</v>
      </c>
      <c r="AN6" s="1715" t="s">
        <v>3564</v>
      </c>
      <c r="AO6" s="52">
        <f ca="1">SUMIF(INDIRECT("'"&amp;AN6&amp;"'"&amp;"!A:A"),"总价",INDIRECT("'"&amp;AN6&amp;"'"&amp;"!B:B"))</f>
        <v>2286.8373999999999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0.73299999999999998</v>
      </c>
      <c r="H16" s="90">
        <f>ROUND(SUMPRODUCT(H6:H13,K6:K13)/SUMPRODUCT((H6:H13&gt;0)*(K6:K13)),3)</f>
        <v>5.5E-2</v>
      </c>
      <c r="I16" s="91"/>
      <c r="J16" s="91"/>
      <c r="K16" s="92">
        <f>SUM(K6:K15)</f>
        <v>420</v>
      </c>
      <c r="L16" s="93">
        <f>ROUND(M16*10000/SUM(K6:K14),0)</f>
        <v>5500</v>
      </c>
      <c r="M16" s="93">
        <f>SUM(M6:M14)</f>
        <v>231</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3527" t="s">
        <v>3515</v>
      </c>
      <c r="N17" s="2668">
        <v>2005</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3527" t="s">
        <v>3516</v>
      </c>
      <c r="N18" s="2668">
        <f>ROUND(1-(2023-N17)/60,2)</f>
        <v>0.7</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1209</v>
      </c>
      <c r="B19" s="103">
        <v>0</v>
      </c>
      <c r="C19" s="2796" t="s">
        <v>2296</v>
      </c>
      <c r="D19" s="2673"/>
      <c r="E19" s="2670"/>
      <c r="F19" s="2670"/>
      <c r="G19" s="2670"/>
      <c r="H19" s="2670"/>
      <c r="I19" s="2670"/>
      <c r="J19" s="2670"/>
      <c r="K19" s="2669"/>
      <c r="L19" s="2669"/>
      <c r="M19" s="3527" t="s">
        <v>3565</v>
      </c>
      <c r="N19" s="3544">
        <v>0.85</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1210</v>
      </c>
      <c r="B20" s="104">
        <v>2</v>
      </c>
      <c r="C20" s="2797" t="s">
        <v>2294</v>
      </c>
      <c r="D20" s="2673"/>
      <c r="E20" s="2670"/>
      <c r="F20" s="2670"/>
      <c r="G20" s="2670"/>
      <c r="H20" s="2670"/>
      <c r="I20" s="2670"/>
      <c r="J20" s="2670"/>
      <c r="K20" s="2669"/>
      <c r="L20" s="2669"/>
      <c r="M20" s="2668"/>
      <c r="N20" s="2668">
        <f>(N19+N18)/2</f>
        <v>0.77499999999999991</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1211</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1212</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1213</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1214</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1215</v>
      </c>
      <c r="B26" s="1726" t="s">
        <v>1216</v>
      </c>
      <c r="C26" s="2674" t="s">
        <v>1217</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1218</v>
      </c>
      <c r="B27" s="107">
        <v>160</v>
      </c>
      <c r="C27" s="2798" t="s">
        <v>2298</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 (元)'!C10/10000</f>
        <v>8.4</v>
      </c>
      <c r="C29" s="2799" t="s">
        <v>2285</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800" t="s">
        <v>2288</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1228</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1229</v>
      </c>
      <c r="B38" s="113">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3566</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1231</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1233</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1234</v>
      </c>
      <c r="B44" s="119">
        <v>0.05</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1235</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1236</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1237</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1238</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1239</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1242</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1243</v>
      </c>
      <c r="B53" s="1738"/>
      <c r="C53" s="2658" t="s">
        <v>1244</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1245</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1246</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1247</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1248</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1249</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1250</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88" t="s">
        <v>2277</v>
      </c>
      <c r="B1" s="3789"/>
      <c r="C1" s="3789"/>
      <c r="D1" s="3789"/>
      <c r="E1" s="3789"/>
      <c r="F1" s="3789"/>
      <c r="G1" s="37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9"/>
      <c r="I2" s="799"/>
      <c r="J2" s="799"/>
      <c r="K2" s="799"/>
      <c r="L2" s="799"/>
      <c r="M2" s="799"/>
      <c r="N2" s="799"/>
      <c r="O2" s="799"/>
      <c r="P2" s="799"/>
      <c r="Q2" s="799"/>
      <c r="R2" s="799"/>
    </row>
    <row r="3" spans="1:29" ht="25.5">
      <c r="A3" s="2440" t="s">
        <v>2275</v>
      </c>
      <c r="B3" s="2462" t="s">
        <v>2247</v>
      </c>
      <c r="C3" s="3528" t="s">
        <v>3594</v>
      </c>
      <c r="D3" s="2463"/>
      <c r="E3" s="2441" t="s">
        <v>2275</v>
      </c>
      <c r="F3" s="2464" t="s">
        <v>2248</v>
      </c>
      <c r="G3" s="2465" t="s">
        <v>2276</v>
      </c>
      <c r="H3" s="799"/>
      <c r="I3" s="799"/>
      <c r="J3" s="799"/>
      <c r="K3" s="799"/>
      <c r="L3" s="799"/>
      <c r="M3" s="799"/>
      <c r="N3" s="799"/>
      <c r="O3" s="799"/>
      <c r="P3" s="799"/>
      <c r="Q3" s="799"/>
      <c r="R3" s="799"/>
    </row>
    <row r="4" spans="1:29" ht="36">
      <c r="A4" s="2441"/>
      <c r="B4" s="323" t="s">
        <v>2249</v>
      </c>
      <c r="C4" s="3529" t="s">
        <v>4077</v>
      </c>
      <c r="D4" s="2463"/>
      <c r="E4" s="2466"/>
      <c r="F4" s="1373" t="s">
        <v>2250</v>
      </c>
      <c r="G4" s="2467" t="s">
        <v>2251</v>
      </c>
      <c r="H4" s="799"/>
      <c r="I4" s="799"/>
      <c r="J4" s="799"/>
      <c r="K4" s="799"/>
      <c r="L4" s="799"/>
      <c r="M4" s="799"/>
      <c r="N4" s="799"/>
      <c r="O4" s="799"/>
      <c r="P4" s="799"/>
      <c r="Q4" s="799"/>
      <c r="R4" s="799"/>
    </row>
    <row r="5" spans="1:29" ht="24">
      <c r="A5" s="2441"/>
      <c r="B5" s="323" t="s">
        <v>2252</v>
      </c>
      <c r="C5" s="3529" t="s">
        <v>3595</v>
      </c>
      <c r="D5" s="2463"/>
      <c r="E5" s="2466"/>
      <c r="F5" s="323" t="s">
        <v>2253</v>
      </c>
      <c r="G5" s="2467" t="s">
        <v>2254</v>
      </c>
      <c r="H5" s="799"/>
      <c r="I5" s="799"/>
      <c r="J5" s="799"/>
      <c r="K5" s="799"/>
      <c r="L5" s="799"/>
      <c r="M5" s="799"/>
      <c r="N5" s="799"/>
      <c r="O5" s="799"/>
      <c r="P5" s="799"/>
      <c r="Q5" s="799"/>
      <c r="R5" s="799"/>
    </row>
    <row r="6" spans="1:29">
      <c r="A6" s="2441"/>
      <c r="B6" s="323" t="s">
        <v>2255</v>
      </c>
      <c r="C6" s="3530" t="s">
        <v>4077</v>
      </c>
      <c r="D6" s="2463"/>
      <c r="E6" s="2466"/>
      <c r="F6" s="323" t="s">
        <v>2256</v>
      </c>
      <c r="G6" s="2467" t="s">
        <v>2257</v>
      </c>
      <c r="H6" s="799"/>
      <c r="I6" s="799"/>
      <c r="J6" s="799"/>
      <c r="K6" s="799"/>
      <c r="L6" s="799"/>
      <c r="M6" s="799"/>
      <c r="N6" s="799"/>
      <c r="O6" s="799"/>
      <c r="P6" s="799"/>
      <c r="Q6" s="799"/>
      <c r="R6" s="799"/>
    </row>
    <row r="7" spans="1:29" ht="24.75" thickBot="1">
      <c r="A7" s="2441"/>
      <c r="B7" s="323" t="s">
        <v>2253</v>
      </c>
      <c r="C7" s="3530" t="s">
        <v>3595</v>
      </c>
      <c r="D7" s="2468"/>
      <c r="E7" s="2469"/>
      <c r="F7" s="2470" t="s">
        <v>2258</v>
      </c>
      <c r="G7" s="2471" t="s">
        <v>2259</v>
      </c>
      <c r="H7" s="799"/>
      <c r="I7" s="799"/>
      <c r="J7" s="799"/>
      <c r="K7" s="799"/>
      <c r="L7" s="799"/>
      <c r="M7" s="799"/>
      <c r="N7" s="799"/>
      <c r="O7" s="799"/>
      <c r="P7" s="799"/>
      <c r="Q7" s="799"/>
      <c r="R7" s="799"/>
    </row>
    <row r="8" spans="1:29">
      <c r="A8" s="2441"/>
      <c r="B8" s="323" t="s">
        <v>2256</v>
      </c>
      <c r="C8" s="3530" t="s">
        <v>4054</v>
      </c>
      <c r="D8" s="2468"/>
      <c r="E8" s="2468"/>
      <c r="F8" s="2472"/>
      <c r="G8" s="2472"/>
      <c r="H8" s="799"/>
      <c r="I8" s="799"/>
      <c r="J8" s="799"/>
      <c r="K8" s="799"/>
      <c r="L8" s="799"/>
      <c r="M8" s="799"/>
      <c r="N8" s="799"/>
      <c r="O8" s="799"/>
      <c r="P8" s="799"/>
      <c r="Q8" s="799"/>
      <c r="R8" s="799"/>
    </row>
    <row r="9" spans="1:29">
      <c r="A9" s="2441"/>
      <c r="B9" s="323" t="s">
        <v>2260</v>
      </c>
      <c r="C9" s="3529" t="s">
        <v>3518</v>
      </c>
      <c r="D9" s="2463"/>
      <c r="E9" s="2468"/>
      <c r="F9" s="2472"/>
      <c r="G9" s="2472"/>
      <c r="H9" s="799"/>
      <c r="I9" s="799"/>
      <c r="J9" s="799"/>
      <c r="K9" s="799"/>
      <c r="L9" s="799"/>
      <c r="M9" s="799"/>
      <c r="N9" s="799"/>
      <c r="O9" s="799"/>
      <c r="P9" s="799"/>
      <c r="Q9" s="799"/>
      <c r="R9" s="799"/>
    </row>
    <row r="10" spans="1:29" s="2478" customFormat="1" ht="15" thickBot="1">
      <c r="A10" s="2442"/>
      <c r="B10" s="2473" t="s">
        <v>2261</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2278</v>
      </c>
      <c r="B13" s="2481"/>
      <c r="C13" s="2481"/>
      <c r="D13" s="2479"/>
      <c r="E13" s="2481"/>
      <c r="F13" s="2481"/>
      <c r="G13" s="2481"/>
    </row>
    <row r="14" spans="1:29" ht="15" thickBot="1">
      <c r="A14" s="2491"/>
      <c r="B14" s="2491"/>
      <c r="C14" s="2492" t="s">
        <v>2262</v>
      </c>
      <c r="D14" s="2463"/>
      <c r="E14" s="2493"/>
      <c r="F14" s="2493"/>
      <c r="G14" s="2459" t="s">
        <v>2263</v>
      </c>
    </row>
    <row r="15" spans="1:29" ht="25.5">
      <c r="A15" s="2443" t="s">
        <v>2264</v>
      </c>
      <c r="B15" s="2494" t="s">
        <v>2247</v>
      </c>
      <c r="C15" s="2495" t="str">
        <f>C3</f>
        <v>一般</v>
      </c>
      <c r="D15" s="2463"/>
      <c r="E15" s="2444" t="s">
        <v>2265</v>
      </c>
      <c r="F15" s="2494" t="s">
        <v>2266</v>
      </c>
      <c r="G15" s="2496" t="str">
        <f>G3</f>
        <v>估价对象位于XX开发区，园区建设成熟度XX，产业集聚程度XX</v>
      </c>
    </row>
    <row r="16" spans="1:29" ht="38.25">
      <c r="A16" s="2445"/>
      <c r="B16" s="2497" t="s">
        <v>2249</v>
      </c>
      <c r="C16" s="2498" t="str">
        <f>C4</f>
        <v>较好</v>
      </c>
      <c r="D16" s="2463"/>
      <c r="E16" s="2446"/>
      <c r="F16" s="2499" t="s">
        <v>2250</v>
      </c>
      <c r="G16" s="2500" t="str">
        <f>G4</f>
        <v>估价对象周边道路状况、公共交通通达情况、停车便捷程度，综合评价交通便捷度较好</v>
      </c>
    </row>
    <row r="17" spans="1:18">
      <c r="A17" s="2445"/>
      <c r="B17" s="2497" t="s">
        <v>2252</v>
      </c>
      <c r="C17" s="2498" t="str">
        <f>C5</f>
        <v>一般</v>
      </c>
      <c r="D17" s="2468"/>
      <c r="E17" s="2446"/>
      <c r="F17" s="2499" t="s">
        <v>2267</v>
      </c>
      <c r="G17" s="2501"/>
    </row>
    <row r="18" spans="1:18" ht="25.5">
      <c r="A18" s="2445"/>
      <c r="B18" s="2499" t="s">
        <v>2255</v>
      </c>
      <c r="C18" s="2500" t="str">
        <f>C6</f>
        <v>较好</v>
      </c>
      <c r="D18" s="2468"/>
      <c r="E18" s="2446"/>
      <c r="F18" s="2499" t="s">
        <v>2258</v>
      </c>
      <c r="G18" s="2500" t="str">
        <f>G7</f>
        <v>该园区内是否有污染型企业，绿化情况，卫生条件，整体环境状况判断</v>
      </c>
    </row>
    <row r="19" spans="1:18" ht="25.5">
      <c r="A19" s="2445"/>
      <c r="B19" s="2499" t="s">
        <v>2268</v>
      </c>
      <c r="C19" s="2501"/>
      <c r="D19" s="2463"/>
      <c r="E19" s="2446"/>
      <c r="F19" s="323" t="s">
        <v>2253</v>
      </c>
      <c r="G19" s="2500" t="str">
        <f>G5</f>
        <v>估价对象所在区域公共配套设施齐备情况</v>
      </c>
    </row>
    <row r="20" spans="1:18">
      <c r="A20" s="2445"/>
      <c r="B20" s="2499" t="s">
        <v>2269</v>
      </c>
      <c r="C20" s="2498" t="str">
        <f>C9</f>
        <v>较好</v>
      </c>
      <c r="D20" s="2468"/>
      <c r="E20" s="2446"/>
      <c r="F20" s="323" t="s">
        <v>2256</v>
      </c>
      <c r="G20" s="2500" t="str">
        <f>G6</f>
        <v>估价对象所在区域基础设施水平</v>
      </c>
    </row>
    <row r="21" spans="1:18">
      <c r="A21" s="2445"/>
      <c r="B21" s="323" t="s">
        <v>2253</v>
      </c>
      <c r="C21" s="2500" t="str">
        <f>C7</f>
        <v>一般</v>
      </c>
      <c r="D21" s="2463"/>
      <c r="E21" s="2446"/>
      <c r="F21" s="2499" t="s">
        <v>2270</v>
      </c>
      <c r="G21" s="2502"/>
    </row>
    <row r="22" spans="1:18" ht="13.5" customHeight="1">
      <c r="A22" s="2445"/>
      <c r="B22" s="323" t="s">
        <v>2256</v>
      </c>
      <c r="C22" s="2500" t="str">
        <f>C8</f>
        <v>六通</v>
      </c>
      <c r="D22" s="2463"/>
      <c r="E22" s="2446"/>
      <c r="F22" s="2499" t="s">
        <v>2261</v>
      </c>
      <c r="G22" s="2501"/>
    </row>
    <row r="23" spans="1:18" s="799" customFormat="1" ht="15" thickBot="1">
      <c r="A23" s="2445"/>
      <c r="B23" s="2499" t="s">
        <v>2270</v>
      </c>
      <c r="C23" s="2502"/>
      <c r="D23" s="1741"/>
      <c r="E23" s="2447"/>
      <c r="F23" s="2503" t="s">
        <v>2271</v>
      </c>
      <c r="G23" s="2504"/>
      <c r="H23" s="2488"/>
      <c r="I23" s="2489"/>
      <c r="J23" s="2488"/>
      <c r="K23" s="2488"/>
      <c r="L23" s="2489"/>
      <c r="M23" s="2488"/>
      <c r="N23" s="2488"/>
      <c r="O23" s="2489"/>
      <c r="P23" s="2488"/>
      <c r="Q23" s="2488"/>
      <c r="R23" s="2490"/>
    </row>
    <row r="24" spans="1:18" s="799" customFormat="1" ht="15" thickBot="1">
      <c r="A24" s="2448"/>
      <c r="B24" s="2503" t="s">
        <v>2272</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420</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45441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3838</v>
      </c>
      <c r="C5" s="2509" t="e">
        <f ca="1">IF(B5=D14,结果表!H102,ROUND(B5*10000/$B$1,0))</f>
        <v>#N/A</v>
      </c>
      <c r="D5" s="2509" t="e">
        <f ca="1">ROUND(B5*10000/$B$2,0)</f>
        <v>#DIV/0!</v>
      </c>
      <c r="E5" s="2683"/>
      <c r="F5" s="2684"/>
      <c r="G5" s="2684"/>
      <c r="H5" s="2685"/>
      <c r="I5" s="2685"/>
      <c r="J5" s="2685"/>
      <c r="K5" s="2685"/>
    </row>
    <row r="6" spans="1:11" ht="16.5">
      <c r="A6" s="2509" t="s">
        <v>656</v>
      </c>
      <c r="B6" s="2509">
        <f ca="1">SUM(G14:G23)</f>
        <v>3838</v>
      </c>
      <c r="C6" s="2509" t="e">
        <f ca="1">IF(B6=G14,结果表!H108,ROUND(B6*10000/$B$1,0))</f>
        <v>#N/A</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 ca="1">IF(E10="",0,ROUND(B1*(E10*365/G10)/10000,0))</f>
        <v>3838</v>
      </c>
      <c r="C10" s="2509" t="s">
        <v>3352</v>
      </c>
      <c r="D10" s="2509" t="s">
        <v>3353</v>
      </c>
      <c r="E10" s="3438">
        <f ca="1">'收益法倒推-商业'!D38</f>
        <v>15.02</v>
      </c>
      <c r="F10" s="3441" t="s">
        <v>3354</v>
      </c>
      <c r="G10" s="3543">
        <f>'收益法倒推-商业'!U22</f>
        <v>0.06</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'数据-汇总表'!F19</f>
        <v>420</v>
      </c>
      <c r="C14" s="2515"/>
      <c r="D14" s="2515">
        <f ca="1">B10</f>
        <v>3838</v>
      </c>
      <c r="E14" s="2515">
        <f ca="1">ROUND(D14*10000/B14,0)</f>
        <v>91381</v>
      </c>
      <c r="F14" s="2515" t="e">
        <f ca="1">ROUND(D14*10000/C14,0)</f>
        <v>#DIV/0!</v>
      </c>
      <c r="G14" s="2515">
        <f ca="1">D14</f>
        <v>3838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3497</v>
      </c>
      <c r="D1" s="1747"/>
      <c r="E1" s="1747"/>
      <c r="F1" s="1749" t="s">
        <v>1261</v>
      </c>
      <c r="G1" s="1561" t="s">
        <v>3559</v>
      </c>
      <c r="H1" s="1750" t="str">
        <f>IF(G1="现房","——","估价对象范围")</f>
        <v>——</v>
      </c>
      <c r="I1" s="1751" t="s">
        <v>3560</v>
      </c>
    </row>
    <row r="2" spans="1:12" ht="21.75" customHeight="1" thickBot="1">
      <c r="A2" s="3824" t="str">
        <f>项目基本情况!S2</f>
        <v>北京市顺义区澳景园四区2号楼房地产</v>
      </c>
      <c r="B2" s="3825"/>
      <c r="C2" s="3825"/>
      <c r="D2" s="3825"/>
      <c r="E2" s="3825"/>
      <c r="F2" s="3825"/>
      <c r="G2" s="3825"/>
      <c r="H2" s="3825"/>
      <c r="I2" s="3826"/>
    </row>
    <row r="3" spans="1:12" ht="12.75">
      <c r="A3" s="3828" t="s">
        <v>1262</v>
      </c>
      <c r="B3" s="3829"/>
      <c r="C3" s="3829"/>
      <c r="D3" s="3829"/>
      <c r="E3" s="3829"/>
      <c r="F3" s="3829"/>
      <c r="G3" s="3829"/>
      <c r="H3" s="3829"/>
      <c r="I3" s="3829"/>
    </row>
    <row r="4" spans="1:12" ht="14.25">
      <c r="A4" s="1754" t="s">
        <v>1263</v>
      </c>
      <c r="B4" s="1755" t="s">
        <v>1264</v>
      </c>
      <c r="C4" s="1756"/>
      <c r="D4" s="1756"/>
      <c r="E4" s="3830" t="s">
        <v>1265</v>
      </c>
      <c r="F4" s="3831"/>
      <c r="G4" s="3831"/>
      <c r="H4" s="3831"/>
      <c r="I4" s="383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04" t="s">
        <v>1266</v>
      </c>
      <c r="B5" s="3791">
        <v>25</v>
      </c>
      <c r="C5" s="3807"/>
      <c r="D5" s="3827"/>
      <c r="E5" s="131" t="s">
        <v>1267</v>
      </c>
      <c r="F5" s="1757"/>
      <c r="G5" s="1757"/>
      <c r="H5" s="1757"/>
      <c r="I5" s="1373"/>
    </row>
    <row r="6" spans="1:12" ht="12.75">
      <c r="A6" s="3804"/>
      <c r="B6" s="3791"/>
      <c r="C6" s="3808"/>
      <c r="D6" s="3827"/>
      <c r="E6" s="131" t="s">
        <v>1268</v>
      </c>
      <c r="F6" s="1757"/>
      <c r="G6" s="1757"/>
      <c r="H6" s="1757"/>
      <c r="I6" s="1373"/>
    </row>
    <row r="7" spans="1:12" ht="12.75">
      <c r="A7" s="3804"/>
      <c r="B7" s="3791"/>
      <c r="C7" s="3809"/>
      <c r="D7" s="3827"/>
      <c r="E7" s="131" t="s">
        <v>1269</v>
      </c>
      <c r="F7" s="1757"/>
      <c r="G7" s="1757"/>
      <c r="H7" s="1757"/>
      <c r="I7" s="1373"/>
    </row>
    <row r="8" spans="1:12" ht="12.75">
      <c r="A8" s="3804" t="s">
        <v>1270</v>
      </c>
      <c r="B8" s="3791">
        <v>15</v>
      </c>
      <c r="C8" s="3807"/>
      <c r="D8" s="3827"/>
      <c r="E8" s="131" t="s">
        <v>1271</v>
      </c>
      <c r="F8" s="1757"/>
      <c r="G8" s="1757"/>
      <c r="H8" s="1757"/>
      <c r="I8" s="1373"/>
    </row>
    <row r="9" spans="1:12" ht="12.75">
      <c r="A9" s="3804"/>
      <c r="B9" s="3791"/>
      <c r="C9" s="3809"/>
      <c r="D9" s="3827"/>
      <c r="E9" s="131" t="s">
        <v>1272</v>
      </c>
      <c r="F9" s="1757"/>
      <c r="G9" s="1757"/>
      <c r="H9" s="1757"/>
      <c r="I9" s="1373"/>
    </row>
    <row r="10" spans="1:12" ht="12.75">
      <c r="A10" s="3804" t="s">
        <v>1273</v>
      </c>
      <c r="B10" s="3791">
        <v>15</v>
      </c>
      <c r="C10" s="3807"/>
      <c r="D10" s="3827"/>
      <c r="E10" s="131" t="s">
        <v>1274</v>
      </c>
      <c r="F10" s="1757"/>
      <c r="G10" s="1757"/>
      <c r="H10" s="1757"/>
      <c r="I10" s="1373"/>
    </row>
    <row r="11" spans="1:12" ht="12.75">
      <c r="A11" s="3804"/>
      <c r="B11" s="3791"/>
      <c r="C11" s="3809"/>
      <c r="D11" s="3827"/>
      <c r="E11" s="131" t="s">
        <v>1275</v>
      </c>
      <c r="F11" s="1757"/>
      <c r="G11" s="1757"/>
      <c r="H11" s="1757"/>
      <c r="I11" s="1373"/>
    </row>
    <row r="12" spans="1:12" ht="12.75">
      <c r="A12" s="3804" t="s">
        <v>1276</v>
      </c>
      <c r="B12" s="3791">
        <v>15</v>
      </c>
      <c r="C12" s="3807"/>
      <c r="D12" s="3827"/>
      <c r="E12" s="131" t="s">
        <v>1277</v>
      </c>
      <c r="F12" s="1757"/>
      <c r="G12" s="1757"/>
      <c r="H12" s="1757"/>
      <c r="I12" s="1373"/>
    </row>
    <row r="13" spans="1:12" ht="12.75">
      <c r="A13" s="3804"/>
      <c r="B13" s="3791"/>
      <c r="C13" s="3809"/>
      <c r="D13" s="3827"/>
      <c r="E13" s="131" t="s">
        <v>1278</v>
      </c>
      <c r="F13" s="1757"/>
      <c r="G13" s="1757"/>
      <c r="H13" s="1757"/>
      <c r="I13" s="1373"/>
    </row>
    <row r="14" spans="1:12" ht="12.75">
      <c r="A14" s="3804" t="s">
        <v>1279</v>
      </c>
      <c r="B14" s="3791">
        <v>30</v>
      </c>
      <c r="C14" s="3807"/>
      <c r="D14" s="3827"/>
      <c r="E14" s="131" t="s">
        <v>1280</v>
      </c>
      <c r="F14" s="1757"/>
      <c r="G14" s="1757"/>
      <c r="H14" s="1757"/>
      <c r="I14" s="1373"/>
    </row>
    <row r="15" spans="1:12" ht="12.75">
      <c r="A15" s="3804"/>
      <c r="B15" s="3791"/>
      <c r="C15" s="3808"/>
      <c r="D15" s="3827"/>
      <c r="E15" s="131" t="s">
        <v>1281</v>
      </c>
      <c r="F15" s="1757"/>
      <c r="G15" s="1757"/>
      <c r="H15" s="1757"/>
      <c r="I15" s="1373"/>
    </row>
    <row r="16" spans="1:12" ht="12.75">
      <c r="A16" s="3804"/>
      <c r="B16" s="3791"/>
      <c r="C16" s="3809"/>
      <c r="D16" s="3827"/>
      <c r="E16" s="131" t="s">
        <v>1282</v>
      </c>
      <c r="F16" s="1757"/>
      <c r="G16" s="1757"/>
      <c r="H16" s="1757"/>
      <c r="I16" s="1373"/>
    </row>
    <row r="17" spans="1:36" ht="15">
      <c r="A17" s="1758" t="s">
        <v>1283</v>
      </c>
      <c r="B17" s="56"/>
      <c r="C17" s="132">
        <f>SUM(C5:C16)</f>
        <v>0</v>
      </c>
      <c r="D17" s="132">
        <f>SUM(D5:D16)</f>
        <v>0</v>
      </c>
      <c r="E17" s="129"/>
      <c r="F17" s="129"/>
      <c r="G17" s="129"/>
      <c r="H17" s="129"/>
      <c r="I17" s="129"/>
      <c r="K17" s="302"/>
      <c r="L17" s="302" t="s">
        <v>1284</v>
      </c>
      <c r="M17" s="302" t="s">
        <v>1285</v>
      </c>
    </row>
    <row r="18" spans="1:36" ht="31.9" customHeight="1" thickBot="1">
      <c r="A18" s="1759" t="s">
        <v>1286</v>
      </c>
      <c r="B18" s="1760"/>
      <c r="C18" s="133" t="e">
        <f>ROUND(C17/SUM(C17:D17),2)</f>
        <v>#DIV/0!</v>
      </c>
      <c r="D18" s="133" t="e">
        <f>1-C18</f>
        <v>#DIV/0!</v>
      </c>
      <c r="E18" s="3814" t="s">
        <v>2129</v>
      </c>
      <c r="F18" s="3815"/>
      <c r="G18" s="3815"/>
      <c r="H18" s="3815"/>
      <c r="I18" s="3815"/>
      <c r="K18" s="302" t="s">
        <v>1287</v>
      </c>
      <c r="L18" s="302">
        <f>IF(C1="",'数据-汇总表'!E3,SUMIF(项目类型,C1,'数据-汇总表'!E17:E26)+SUMIF(项目类型,C1,'数据-汇总表'!I17:I26))</f>
        <v>420</v>
      </c>
      <c r="M18" s="302">
        <f>IF(C1="",'数据-汇总表'!E3,SUMIF(项目类型,C1,'数据-汇总表'!E17:E26))</f>
        <v>420</v>
      </c>
    </row>
    <row r="19" spans="1:36" ht="15">
      <c r="A19" s="1761" t="s">
        <v>1288</v>
      </c>
      <c r="B19" s="1762" t="s">
        <v>1289</v>
      </c>
      <c r="C19" s="134" t="e">
        <f ca="1">SUMIF(INDIRECT("'"&amp;C4&amp;"'"&amp;"!A:A"),结果表!B19,INDIRECT("'"&amp;C4&amp;"'"&amp;"!B:B"))</f>
        <v>#REF!</v>
      </c>
      <c r="D19" s="135" t="e">
        <f ca="1">SUMIF(INDIRECT("'"&amp;D4&amp;"'"&amp;"!A:A"),结果表!B19,INDIRECT("'"&amp;D4&amp;"'"&amp;"!B:B"))</f>
        <v>#REF!</v>
      </c>
      <c r="E19" s="1761" t="s">
        <v>1290</v>
      </c>
      <c r="F19" s="1762" t="s">
        <v>1289</v>
      </c>
      <c r="G19" s="136" t="e">
        <f ca="1">ROUND(C19*$C$18+D19*$D$18,0)</f>
        <v>#REF!</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t="e">
        <f ca="1">SUMIF(INDIRECT("'"&amp;C4&amp;"'"&amp;"!A:A"),结果表!B20,INDIRECT("'"&amp;C4&amp;"'"&amp;"!B:B"))</f>
        <v>#REF!</v>
      </c>
      <c r="D20" s="138" t="e">
        <f ca="1">SUMIF(INDIRECT("'"&amp;D4&amp;"'"&amp;"!A:A"),结果表!B20,INDIRECT("'"&amp;D4&amp;"'"&amp;"!B:B"))</f>
        <v>#REF!</v>
      </c>
      <c r="E20" s="1764"/>
      <c r="F20" s="1026" t="s">
        <v>1293</v>
      </c>
      <c r="G20" s="139" t="e">
        <f ca="1">ROUND(C20*$C$18+D20*$D$18,0)</f>
        <v>#REF!</v>
      </c>
      <c r="H20" s="808" t="s">
        <v>1294</v>
      </c>
      <c r="I20" s="129"/>
    </row>
    <row r="21" spans="1:36" ht="15" customHeight="1" thickBot="1">
      <c r="A21" s="828"/>
      <c r="B21" s="1765" t="s">
        <v>1295</v>
      </c>
      <c r="C21" s="719" t="e">
        <f ca="1">ROUND(C19*10000/L19,0)</f>
        <v>#REF!</v>
      </c>
      <c r="D21" s="720" t="e">
        <f ca="1">ROUND(D19*10000/L19,0)</f>
        <v>#REF!</v>
      </c>
      <c r="E21" s="828"/>
      <c r="F21" s="1765" t="s">
        <v>1295</v>
      </c>
      <c r="G21" s="140" t="e">
        <f ca="1">ROUND(G19*10000/L19,0)</f>
        <v>#REF!</v>
      </c>
      <c r="H21" s="1766" t="s">
        <v>1294</v>
      </c>
      <c r="I21" s="129"/>
    </row>
    <row r="22" spans="1:36" ht="15" thickBot="1">
      <c r="A22" s="1688" t="s">
        <v>1296</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98" t="s">
        <v>1297</v>
      </c>
      <c r="B24" s="1762" t="s">
        <v>1289</v>
      </c>
      <c r="C24" s="136">
        <f>IF(B30=0,0,D30)</f>
        <v>0</v>
      </c>
      <c r="D24" s="1769"/>
      <c r="E24" s="129"/>
      <c r="F24" s="129"/>
      <c r="G24" s="129"/>
      <c r="H24" s="129"/>
      <c r="I24" s="129"/>
    </row>
    <row r="25" spans="1:36" ht="14.25">
      <c r="A25" s="3799"/>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t="e">
        <f ca="1">IF(D32="总价",G19-C24,G20-C25)</f>
        <v>#REF!</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818" t="s">
        <v>1310</v>
      </c>
      <c r="B36" s="1787" t="s">
        <v>1311</v>
      </c>
      <c r="C36" s="145"/>
      <c r="D36" s="1788"/>
      <c r="E36" s="1789"/>
      <c r="F36" s="1790"/>
      <c r="G36" s="129"/>
      <c r="H36" s="129"/>
      <c r="I36" s="129"/>
    </row>
    <row r="37" spans="1:15" ht="15.75" thickBot="1">
      <c r="A37" s="3819"/>
      <c r="B37" s="1674" t="s">
        <v>1312</v>
      </c>
      <c r="C37" s="147"/>
      <c r="D37" s="1139"/>
      <c r="E37" s="1139"/>
      <c r="F37" s="1790"/>
      <c r="G37" s="129"/>
      <c r="H37" s="129"/>
      <c r="I37" s="129"/>
    </row>
    <row r="38" spans="1:15" ht="15.75" thickBot="1">
      <c r="A38" s="3820"/>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795" t="s">
        <v>1324</v>
      </c>
      <c r="B45" s="3796"/>
      <c r="C45" s="3797"/>
      <c r="D45" s="155" t="e">
        <f ca="1">ROUND(H101*F45,0)</f>
        <v>#REF!</v>
      </c>
      <c r="E45" s="156" t="s">
        <v>1325</v>
      </c>
      <c r="F45" s="157">
        <v>1</v>
      </c>
      <c r="G45" s="158" t="s">
        <v>1326</v>
      </c>
      <c r="H45" s="129"/>
      <c r="I45" s="129"/>
      <c r="J45" s="3873" t="s">
        <v>1327</v>
      </c>
      <c r="K45" s="3873"/>
      <c r="L45" s="3873"/>
      <c r="M45" s="3873"/>
      <c r="N45" s="3873"/>
      <c r="O45" s="3873"/>
    </row>
    <row r="46" spans="1:15" ht="14.25" customHeight="1">
      <c r="A46" s="3792" t="s">
        <v>1328</v>
      </c>
      <c r="B46" s="3793"/>
      <c r="C46" s="3793"/>
      <c r="D46" s="3793"/>
      <c r="E46" s="3793"/>
      <c r="F46" s="3793"/>
      <c r="G46" s="3794"/>
      <c r="H46" s="1806"/>
      <c r="I46" s="159"/>
      <c r="J46" s="2520">
        <v>1</v>
      </c>
      <c r="K46" s="3854" t="s">
        <v>1329</v>
      </c>
      <c r="L46" s="3854"/>
      <c r="M46" s="3874"/>
      <c r="N46" s="3874"/>
      <c r="O46" s="3874"/>
    </row>
    <row r="47" spans="1:15" ht="12" customHeight="1">
      <c r="A47" s="160" t="s">
        <v>1330</v>
      </c>
      <c r="B47" s="161"/>
      <c r="C47" s="162"/>
      <c r="D47" s="1087" t="s">
        <v>1331</v>
      </c>
      <c r="E47" s="302" t="s">
        <v>1332</v>
      </c>
      <c r="F47" s="163" t="s">
        <v>1333</v>
      </c>
      <c r="G47" s="2543" t="s">
        <v>1334</v>
      </c>
      <c r="H47" s="2544"/>
      <c r="I47" s="159"/>
      <c r="J47" s="2520">
        <v>2</v>
      </c>
      <c r="K47" s="3854" t="s">
        <v>1335</v>
      </c>
      <c r="L47" s="3854"/>
      <c r="M47" s="3875">
        <f>'数据-取费表'!B2</f>
        <v>45441</v>
      </c>
      <c r="N47" s="3875"/>
      <c r="O47" s="3875"/>
    </row>
    <row r="48" spans="1:15" ht="25.5">
      <c r="A48" s="3823" t="s">
        <v>1336</v>
      </c>
      <c r="B48" s="3806"/>
      <c r="C48" s="3806"/>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1337</v>
      </c>
      <c r="H48" s="2547"/>
      <c r="I48" s="1806"/>
      <c r="J48" s="2520">
        <v>3</v>
      </c>
      <c r="K48" s="3854" t="s">
        <v>1338</v>
      </c>
      <c r="L48" s="3854"/>
      <c r="M48" s="3876" t="e">
        <f ca="1">H101</f>
        <v>#REF!</v>
      </c>
      <c r="N48" s="3876"/>
      <c r="O48" s="3876"/>
    </row>
    <row r="49" spans="1:35" ht="25.5" customHeight="1">
      <c r="A49" s="2333" t="s">
        <v>1339</v>
      </c>
      <c r="B49" s="3790" t="s">
        <v>1340</v>
      </c>
      <c r="C49" s="3790"/>
      <c r="D49" s="1590">
        <v>0</v>
      </c>
      <c r="E49" s="324" t="s">
        <v>1341</v>
      </c>
      <c r="F49" s="2423" t="s">
        <v>28</v>
      </c>
      <c r="G49" s="3860"/>
      <c r="H49" s="2310" t="s">
        <v>2132</v>
      </c>
      <c r="I49" s="2311"/>
      <c r="J49" s="2520">
        <v>4</v>
      </c>
      <c r="K49" s="3854" t="str">
        <f>IF(项目基本情况!E8="房地产抵押价值","房地产抵押价值","抵押担保权已注销时的房地产抵押价值")</f>
        <v>抵押担保权已注销时的房地产抵押价值</v>
      </c>
      <c r="L49" s="3854"/>
      <c r="M49" s="3876" t="str">
        <f>IF(项目基本情况!E8="房地产抵押价值",H107,H109)</f>
        <v>——</v>
      </c>
      <c r="N49" s="3876"/>
      <c r="O49" s="3876"/>
    </row>
    <row r="50" spans="1:35" ht="25.5" customHeight="1">
      <c r="A50" s="2548"/>
      <c r="B50" s="3790" t="s">
        <v>1342</v>
      </c>
      <c r="C50" s="3790"/>
      <c r="D50" s="2549"/>
      <c r="E50" s="332"/>
      <c r="F50" s="2423"/>
      <c r="G50" s="3861"/>
      <c r="H50" s="2312" t="s">
        <v>2133</v>
      </c>
      <c r="I50" s="2311"/>
      <c r="J50" s="3873" t="s">
        <v>1343</v>
      </c>
      <c r="K50" s="3873"/>
      <c r="L50" s="3873"/>
      <c r="M50" s="3873"/>
      <c r="N50" s="3873"/>
      <c r="O50" s="3873"/>
    </row>
    <row r="51" spans="1:35" ht="20.45" customHeight="1">
      <c r="A51" s="2550"/>
      <c r="B51" s="3790" t="s">
        <v>1344</v>
      </c>
      <c r="C51" s="3790"/>
      <c r="D51" s="1087"/>
      <c r="E51" s="327"/>
      <c r="F51" s="2423"/>
      <c r="G51" s="3862"/>
      <c r="H51" s="2312" t="s">
        <v>2134</v>
      </c>
      <c r="I51" s="2311"/>
      <c r="J51" s="2521" t="s">
        <v>1345</v>
      </c>
      <c r="K51" s="3854" t="s">
        <v>1346</v>
      </c>
      <c r="L51" s="3854"/>
      <c r="M51" s="2521" t="s">
        <v>1347</v>
      </c>
      <c r="N51" s="2521" t="s">
        <v>1348</v>
      </c>
      <c r="O51" s="2521" t="s">
        <v>1349</v>
      </c>
    </row>
    <row r="52" spans="1:35" ht="24" customHeight="1">
      <c r="A52" s="2335" t="s">
        <v>1350</v>
      </c>
      <c r="B52" s="3790" t="s">
        <v>1351</v>
      </c>
      <c r="C52" s="3790"/>
      <c r="D52" s="1087" t="e">
        <f ca="1">ROUND(D45*'数据-取费表'!B41/(1+'数据-取费表'!C42),0)</f>
        <v>#REF!</v>
      </c>
      <c r="E52" s="2334" t="s">
        <v>1352</v>
      </c>
      <c r="F52" s="2551">
        <f>'数据-取费表'!B41</f>
        <v>5.5000000000000007E-2</v>
      </c>
      <c r="G52" s="2552"/>
      <c r="H52" s="2541"/>
      <c r="I52" s="1807"/>
      <c r="J52" s="2520">
        <v>1</v>
      </c>
      <c r="K52" s="3855" t="s">
        <v>1353</v>
      </c>
      <c r="L52" s="3855"/>
      <c r="M52" s="2522" t="b">
        <f>D48</f>
        <v>0</v>
      </c>
      <c r="N52" s="2520" t="str">
        <f>E48</f>
        <v>销售额×税（费）率</v>
      </c>
      <c r="O52" s="2523">
        <f>F48</f>
        <v>5.5000000000000007E-2</v>
      </c>
    </row>
    <row r="53" spans="1:35" ht="12" customHeight="1">
      <c r="A53" s="2335" t="s">
        <v>1354</v>
      </c>
      <c r="B53" s="3816" t="s">
        <v>2282</v>
      </c>
      <c r="C53" s="3817"/>
      <c r="D53" s="1087" t="e">
        <f ca="1">ROUND(D45*'数据-取费表'!B41/(1+'数据-取费表'!C42),0)</f>
        <v>#REF!</v>
      </c>
      <c r="E53" s="2334" t="s">
        <v>1352</v>
      </c>
      <c r="F53" s="2551">
        <f>'数据-取费表'!B41</f>
        <v>5.5000000000000007E-2</v>
      </c>
      <c r="G53" s="2552"/>
      <c r="H53" s="2541"/>
      <c r="I53" s="1807"/>
      <c r="J53" s="2520">
        <v>2</v>
      </c>
      <c r="K53" s="3855" t="s">
        <v>1355</v>
      </c>
      <c r="L53" s="3855"/>
      <c r="M53" s="2522" t="e">
        <f t="shared" ref="M53:O54" ca="1" si="0">D55</f>
        <v>#REF!</v>
      </c>
      <c r="N53" s="2520" t="str">
        <f t="shared" si="0"/>
        <v>销售额×税（费）率</v>
      </c>
      <c r="O53" s="2523" t="str">
        <f t="shared" si="0"/>
        <v>免征</v>
      </c>
    </row>
    <row r="54" spans="1:35" ht="12" customHeight="1">
      <c r="A54" s="2335" t="s">
        <v>1356</v>
      </c>
      <c r="B54" s="3816" t="s">
        <v>2283</v>
      </c>
      <c r="C54" s="3817"/>
      <c r="D54" s="1087" t="e">
        <f ca="1">C68</f>
        <v>#REF!</v>
      </c>
      <c r="E54" s="327" t="s">
        <v>1357</v>
      </c>
      <c r="F54" s="2551">
        <f>'数据-取费表'!B41</f>
        <v>5.5000000000000007E-2</v>
      </c>
      <c r="G54" s="2552"/>
      <c r="H54" s="2553"/>
      <c r="I54" s="1807"/>
      <c r="J54" s="2520">
        <v>3</v>
      </c>
      <c r="K54" s="3855" t="s">
        <v>1358</v>
      </c>
      <c r="L54" s="3855"/>
      <c r="M54" s="2522" t="e">
        <f t="shared" ca="1" si="0"/>
        <v>#REF!</v>
      </c>
      <c r="N54" s="2520" t="str">
        <f t="shared" si="0"/>
        <v>增值额×税（费）率</v>
      </c>
      <c r="O54" s="2524" t="str">
        <f t="shared" si="0"/>
        <v>免征</v>
      </c>
    </row>
    <row r="55" spans="1:35" ht="24" customHeight="1">
      <c r="A55" s="3805" t="s">
        <v>1359</v>
      </c>
      <c r="B55" s="3806"/>
      <c r="C55" s="3806"/>
      <c r="D55" s="2324" t="e">
        <f ca="1">IF(H55="个人住宅",0,ROUND(D45*I55,0))</f>
        <v>#REF!</v>
      </c>
      <c r="E55" s="2334" t="s">
        <v>1360</v>
      </c>
      <c r="F55" s="2551" t="str">
        <f>IF(H55="正常",I55,"免征")</f>
        <v>免征</v>
      </c>
      <c r="G55" s="2552"/>
      <c r="H55" s="2547"/>
      <c r="I55" s="165">
        <f>'数据-取费表'!B49</f>
        <v>5.0000000000000001E-4</v>
      </c>
      <c r="J55" s="2520">
        <f>IF(H59="非个人房产","",4)</f>
        <v>4</v>
      </c>
      <c r="K55" s="3855" t="str">
        <f>IF(H59="非个人房产","——","个人所得税")</f>
        <v>个人所得税</v>
      </c>
      <c r="L55" s="3855"/>
      <c r="M55" s="2525" t="e">
        <f ca="1">D59</f>
        <v>#REF!</v>
      </c>
      <c r="N55" s="2040" t="str">
        <f>E59</f>
        <v>差额计税</v>
      </c>
      <c r="O55" s="2526">
        <f>F59</f>
        <v>0.01</v>
      </c>
    </row>
    <row r="56" spans="1:35" ht="24.75">
      <c r="A56" s="3805" t="s">
        <v>1361</v>
      </c>
      <c r="B56" s="3806"/>
      <c r="C56" s="3806"/>
      <c r="D56" s="2324" t="e">
        <f ca="1">IF(H56="个人住宅",D57,D58)</f>
        <v>#REF!</v>
      </c>
      <c r="E56" s="2334" t="s">
        <v>1362</v>
      </c>
      <c r="F56" s="2551" t="str">
        <f>IF(H56="正常",F58,"免征")</f>
        <v>免征</v>
      </c>
      <c r="G56" s="2554" t="s">
        <v>1363</v>
      </c>
      <c r="H56" s="2555"/>
      <c r="I56" s="1808"/>
      <c r="J56" s="2520" t="str">
        <f>IF(项目基本情况!K6="上海银行",IF(J55="",4,J55+1),"")</f>
        <v/>
      </c>
      <c r="K56" s="3878" t="str">
        <f>IF(项目基本情况!K6="上海银行","其他处置费用","")</f>
        <v/>
      </c>
      <c r="L56" s="3879"/>
      <c r="M56" s="2522" t="str">
        <f>IF(项目基本情况!K6="上海银行",M69,"")</f>
        <v/>
      </c>
      <c r="N56" s="3878" t="str">
        <f>IF(项目基本情况!K6="上海银行","包含处置中涉及的律师、诉讼、拍卖、评估等费用","")</f>
        <v/>
      </c>
      <c r="O56" s="3881"/>
    </row>
    <row r="57" spans="1:35" ht="12.75">
      <c r="A57" s="2335" t="s">
        <v>1339</v>
      </c>
      <c r="B57" s="3816" t="s">
        <v>1364</v>
      </c>
      <c r="C57" s="3817"/>
      <c r="D57" s="1590">
        <v>0</v>
      </c>
      <c r="E57" s="324" t="s">
        <v>1341</v>
      </c>
      <c r="F57" s="302"/>
      <c r="G57" s="2552"/>
      <c r="H57" s="2556"/>
      <c r="I57" s="1808"/>
      <c r="J57" s="3855">
        <f>IF(AND(J55="",J56=""),4,IF(项目基本情况!K6="上海银行",结果表!J56+1,结果表!J55+1))</f>
        <v>5</v>
      </c>
      <c r="K57" s="3855" t="s">
        <v>1365</v>
      </c>
      <c r="L57" s="2527" t="s">
        <v>1366</v>
      </c>
      <c r="M57" s="2528"/>
      <c r="N57" s="2529">
        <f ca="1">SUMIF(M52:M56,"&lt;9e307")</f>
        <v>0</v>
      </c>
      <c r="O57" s="2530"/>
      <c r="P57" s="2687" t="e">
        <f ca="1">N57/M49</f>
        <v>#VALUE!</v>
      </c>
    </row>
    <row r="58" spans="1:35" ht="24.75">
      <c r="A58" s="2335" t="s">
        <v>1350</v>
      </c>
      <c r="B58" s="3816" t="s">
        <v>1367</v>
      </c>
      <c r="C58" s="3790"/>
      <c r="D58" s="2324" t="e">
        <f ca="1">IF(H58="转让取得",C81,C97)</f>
        <v>#REF!</v>
      </c>
      <c r="E58" s="2334" t="s">
        <v>1362</v>
      </c>
      <c r="F58" s="302" t="s">
        <v>28</v>
      </c>
      <c r="G58" s="2552"/>
      <c r="H58" s="2555"/>
      <c r="I58" s="1808"/>
      <c r="J58" s="3855"/>
      <c r="K58" s="3855"/>
      <c r="L58" s="2527" t="s">
        <v>1368</v>
      </c>
      <c r="M58" s="2531"/>
      <c r="N58" s="2532" t="str">
        <f ca="1">NUMBERSTRING(INT(N57*10000),2)&amp;"元整"</f>
        <v>零元整</v>
      </c>
      <c r="O58" s="2533"/>
    </row>
    <row r="59" spans="1:35" ht="24.75" thickBot="1">
      <c r="A59" s="3858" t="s">
        <v>1369</v>
      </c>
      <c r="B59" s="3859"/>
      <c r="C59" s="3859"/>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1363</v>
      </c>
      <c r="H59" s="2314"/>
      <c r="I59" s="2313" t="s">
        <v>2135</v>
      </c>
      <c r="J59" s="3856">
        <f>J57+1</f>
        <v>6</v>
      </c>
      <c r="K59" s="3855" t="s">
        <v>1370</v>
      </c>
      <c r="L59" s="2520" t="s">
        <v>1366</v>
      </c>
      <c r="M59" s="2534"/>
      <c r="N59" s="2535" t="e">
        <f ca="1">M49-N57</f>
        <v>#VALUE!</v>
      </c>
      <c r="O59" s="2536"/>
    </row>
    <row r="60" spans="1:35" ht="12" customHeight="1">
      <c r="A60" s="1809"/>
      <c r="B60" s="1747"/>
      <c r="C60" s="1747"/>
      <c r="D60" s="1747"/>
      <c r="E60" s="1578"/>
      <c r="F60" s="1808"/>
      <c r="G60" s="1808"/>
      <c r="H60" s="1810"/>
      <c r="I60" s="129"/>
      <c r="J60" s="3857"/>
      <c r="K60" s="3855"/>
      <c r="L60" s="2527" t="s">
        <v>1368</v>
      </c>
      <c r="M60" s="2531"/>
      <c r="N60" s="2532" t="e">
        <f ca="1">NUMBERSTRING(INT(N59*10000),2)&amp;"元整"</f>
        <v>#VALUE!</v>
      </c>
      <c r="O60" s="2533"/>
    </row>
    <row r="61" spans="1:35" ht="13.5" thickBot="1">
      <c r="A61" s="3803" t="s">
        <v>1371</v>
      </c>
      <c r="B61" s="3803"/>
      <c r="C61" s="3803"/>
      <c r="D61" s="3803"/>
      <c r="E61" s="3803"/>
      <c r="F61" s="1808"/>
      <c r="G61" s="1808"/>
      <c r="H61" s="1810"/>
      <c r="I61" s="129"/>
      <c r="J61" s="2520">
        <f>J59+1</f>
        <v>7</v>
      </c>
      <c r="K61" s="3855" t="s">
        <v>1372</v>
      </c>
      <c r="L61" s="3855"/>
      <c r="M61" s="2537"/>
      <c r="N61" s="2538" t="e">
        <f ca="1">ROUND(N59*10000/'数据-汇总表'!E3,0)</f>
        <v>#VALUE!</v>
      </c>
      <c r="O61" s="2539"/>
    </row>
    <row r="62" spans="1:35" ht="12.75">
      <c r="A62" s="3821" t="s">
        <v>1373</v>
      </c>
      <c r="B62" s="3822"/>
      <c r="C62" s="2021"/>
      <c r="D62" s="2021" t="s">
        <v>1374</v>
      </c>
      <c r="E62" s="166" t="s">
        <v>1375</v>
      </c>
      <c r="F62" s="1808"/>
      <c r="G62" s="1808"/>
      <c r="H62" s="1810"/>
      <c r="I62" s="129"/>
    </row>
    <row r="63" spans="1:35" ht="12.75">
      <c r="A63" s="173" t="s">
        <v>330</v>
      </c>
      <c r="B63" s="167" t="s">
        <v>1376</v>
      </c>
      <c r="C63" s="2561" t="e">
        <f ca="1">ROUND((C64+C65)/(1+'数据-取费表'!C42),0)</f>
        <v>#REF!</v>
      </c>
      <c r="D63" s="167"/>
      <c r="E63" s="168"/>
      <c r="F63" s="1808"/>
      <c r="G63" s="1808"/>
      <c r="H63" s="1810"/>
      <c r="I63" s="129"/>
      <c r="J63" s="3880" t="s">
        <v>1377</v>
      </c>
      <c r="K63" s="1332" t="s">
        <v>1378</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1379</v>
      </c>
      <c r="C64" s="2562" t="e">
        <f ca="1">D45</f>
        <v>#REF!</v>
      </c>
      <c r="D64" s="170" t="s">
        <v>26</v>
      </c>
      <c r="E64" s="172"/>
      <c r="F64" s="1808"/>
      <c r="G64" s="1808"/>
      <c r="H64" s="1810"/>
      <c r="I64" s="129"/>
      <c r="J64" s="3880"/>
      <c r="K64" s="1332" t="s">
        <v>1380</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1381</v>
      </c>
      <c r="Z64" s="1752"/>
      <c r="AI64" s="1753"/>
    </row>
    <row r="65" spans="1:35" ht="14.25" customHeight="1">
      <c r="A65" s="169" t="s">
        <v>326</v>
      </c>
      <c r="B65" s="170" t="s">
        <v>1382</v>
      </c>
      <c r="C65" s="2563"/>
      <c r="D65" s="170"/>
      <c r="E65" s="172"/>
      <c r="F65" s="1808"/>
      <c r="G65" s="1808"/>
      <c r="H65" s="1810"/>
      <c r="I65" s="129"/>
      <c r="J65" s="3880"/>
      <c r="K65" s="1332" t="s">
        <v>1383</v>
      </c>
      <c r="L65" s="1332" t="e">
        <f>IF(M49&gt;1000,M49*0.1%,IF(AND(M49&gt;500,M49&lt;=1000),M49*0.5%,IF(AND(M49&gt;50,M49&lt;=500),M49*1%,IF(AND(M49&gt;1,M49&lt;=50),M49*1.5%))))</f>
        <v>#VALUE!</v>
      </c>
      <c r="M65" s="302" t="e">
        <f t="shared" si="1"/>
        <v>#VALUE!</v>
      </c>
      <c r="N65" s="2541" t="s">
        <v>1381</v>
      </c>
      <c r="Z65" s="1752"/>
      <c r="AI65" s="1753"/>
    </row>
    <row r="66" spans="1:35" ht="14.25" customHeight="1">
      <c r="A66" s="173" t="s">
        <v>327</v>
      </c>
      <c r="B66" s="174" t="s">
        <v>1384</v>
      </c>
      <c r="C66" s="2564"/>
      <c r="D66" s="174" t="s">
        <v>26</v>
      </c>
      <c r="E66" s="1338" t="s">
        <v>671</v>
      </c>
      <c r="F66" s="1808"/>
      <c r="G66" s="1808"/>
      <c r="H66" s="1810"/>
      <c r="I66" s="129"/>
      <c r="J66" s="3880"/>
      <c r="K66" s="1332" t="s">
        <v>1385</v>
      </c>
      <c r="L66" s="1332" t="e">
        <f>M49*0.5%</f>
        <v>#VALUE!</v>
      </c>
      <c r="M66" s="302" t="e">
        <f>IF(L66&gt;0.5,0.5,ROUND(L66,0))</f>
        <v>#VALUE!</v>
      </c>
      <c r="N66" s="2541" t="s">
        <v>1386</v>
      </c>
      <c r="Z66" s="1752"/>
      <c r="AI66" s="1753"/>
    </row>
    <row r="67" spans="1:35" ht="14.25" customHeight="1">
      <c r="A67" s="173" t="s">
        <v>328</v>
      </c>
      <c r="B67" s="174" t="s">
        <v>1387</v>
      </c>
      <c r="C67" s="2565" t="e">
        <f ca="1">C63-C66</f>
        <v>#REF!</v>
      </c>
      <c r="D67" s="170" t="s">
        <v>26</v>
      </c>
      <c r="E67" s="172"/>
      <c r="F67" s="1808"/>
      <c r="G67" s="1808"/>
      <c r="H67" s="1810"/>
      <c r="I67" s="129"/>
      <c r="J67" s="3880"/>
      <c r="K67" s="1332" t="s">
        <v>1388</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1389</v>
      </c>
      <c r="C68" s="2566" t="e">
        <f ca="1">IF(C67&lt;=0,0,ROUND(C67*D68,0))</f>
        <v>#REF!</v>
      </c>
      <c r="D68" s="2567">
        <f>'数据-取费表'!B41</f>
        <v>5.5000000000000007E-2</v>
      </c>
      <c r="E68" s="178"/>
      <c r="F68" s="1808"/>
      <c r="G68" s="1808"/>
      <c r="H68" s="1810"/>
      <c r="I68" s="129"/>
      <c r="J68" s="3880"/>
      <c r="K68" s="1332" t="s">
        <v>1390</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880"/>
      <c r="K69" s="1332" t="s">
        <v>1391</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842" t="s">
        <v>1392</v>
      </c>
      <c r="B70" s="3843"/>
      <c r="C70" s="3843"/>
      <c r="D70" s="3843"/>
      <c r="E70" s="3843"/>
      <c r="F70" s="3843"/>
      <c r="G70" s="3843"/>
      <c r="H70" s="384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821" t="s">
        <v>1373</v>
      </c>
      <c r="B71" s="3822"/>
      <c r="C71" s="2021"/>
      <c r="D71" s="2021" t="s">
        <v>1374</v>
      </c>
      <c r="E71" s="179" t="s">
        <v>1375</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8"/>
      <c r="D75" s="170" t="s">
        <v>26</v>
      </c>
      <c r="E75" s="184" t="s">
        <v>1397</v>
      </c>
      <c r="F75" s="2569"/>
      <c r="G75" s="184" t="s">
        <v>1398</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1">
        <v>0.05</v>
      </c>
      <c r="E76" s="3816" t="s">
        <v>1400</v>
      </c>
      <c r="F76" s="3790"/>
      <c r="G76" s="3790"/>
      <c r="H76" s="384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2">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3" t="e">
        <f ca="1">ROUND(D45*D78/(1+'数据-取费表'!C42),0)</f>
        <v>#REF!</v>
      </c>
      <c r="D78" s="2574">
        <f>'数据-取费表'!B43</f>
        <v>5.000000000000001E-3</v>
      </c>
      <c r="E78" s="3800" t="s">
        <v>1404</v>
      </c>
      <c r="F78" s="3801"/>
      <c r="G78" s="3801"/>
      <c r="H78" s="38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842" t="s">
        <v>1408</v>
      </c>
      <c r="B83" s="3843"/>
      <c r="C83" s="3843"/>
      <c r="D83" s="3843"/>
      <c r="E83" s="3843"/>
      <c r="F83" s="3843"/>
      <c r="G83" s="3843"/>
      <c r="H83" s="384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821" t="s">
        <v>1373</v>
      </c>
      <c r="B84" s="3822"/>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79"/>
      <c r="D88" s="2574"/>
      <c r="E88" s="193" t="s">
        <v>1411</v>
      </c>
      <c r="F88" s="2327"/>
      <c r="G88" s="194" t="s">
        <v>1412</v>
      </c>
      <c r="H88" s="1824"/>
      <c r="I88" s="1821"/>
      <c r="J88" s="2518"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3">
        <f>ROUND(C88*D89,0)</f>
        <v>0</v>
      </c>
      <c r="D89" s="2574">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79"/>
      <c r="D90" s="2574"/>
      <c r="E90" s="193" t="str">
        <f>IF(H88="-","土地取得成本中已包含该笔费用"," ")</f>
        <v xml:space="preserve"> </v>
      </c>
      <c r="F90" s="2327"/>
      <c r="G90" s="3882" t="s">
        <v>2127</v>
      </c>
      <c r="H90" s="3883"/>
      <c r="I90" s="1821"/>
      <c r="J90" s="2518"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3">
        <f>IF(H91="——",成本法!C33,I91)</f>
        <v>0</v>
      </c>
      <c r="D91" s="2574"/>
      <c r="E91" s="3800" t="s">
        <v>1417</v>
      </c>
      <c r="F91" s="3801"/>
      <c r="G91" s="38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3">
        <f>ROUND((C87+C90+C91)*D92,0)</f>
        <v>0</v>
      </c>
      <c r="D92" s="2580"/>
      <c r="E92" s="3800" t="s">
        <v>1420</v>
      </c>
      <c r="F92" s="3801"/>
      <c r="G92" s="3801"/>
      <c r="H92" s="3810"/>
      <c r="I92" s="1821"/>
      <c r="J92" s="2519"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3" t="e">
        <f ca="1">ROUND(D45*D93/(1+'数据-取费表'!C42),0)</f>
        <v>#REF!</v>
      </c>
      <c r="D93" s="2574">
        <f>'数据-取费表'!B43</f>
        <v>5.000000000000001E-3</v>
      </c>
      <c r="E93" s="3800" t="s">
        <v>1404</v>
      </c>
      <c r="F93" s="3801"/>
      <c r="G93" s="3801"/>
      <c r="H93" s="38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79">
        <f>ROUND((C87+C90+C91)*D94,0)</f>
        <v>0</v>
      </c>
      <c r="D94" s="2574">
        <v>0.2</v>
      </c>
      <c r="E94" s="3811" t="s">
        <v>1424</v>
      </c>
      <c r="F94" s="3812"/>
      <c r="G94" s="3812"/>
      <c r="H94" s="381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784" t="s">
        <v>1426</v>
      </c>
      <c r="B100" s="3785"/>
      <c r="C100" s="3785"/>
      <c r="D100" s="3802"/>
      <c r="E100" s="3785" t="s">
        <v>1427</v>
      </c>
      <c r="F100" s="3785"/>
      <c r="G100" s="3785"/>
      <c r="H100" s="3802"/>
      <c r="I100" s="129"/>
    </row>
    <row r="101" spans="1:35" ht="18.75" customHeight="1">
      <c r="A101" s="3863" t="s">
        <v>1428</v>
      </c>
      <c r="B101" s="3864"/>
      <c r="C101" s="2582">
        <f>C4</f>
        <v>0</v>
      </c>
      <c r="D101" s="2583">
        <f>D4</f>
        <v>0</v>
      </c>
      <c r="E101" s="3877" t="s">
        <v>1429</v>
      </c>
      <c r="F101" s="3834"/>
      <c r="G101" s="1827" t="s">
        <v>1430</v>
      </c>
      <c r="H101" s="2592" t="e">
        <f ca="1">H118</f>
        <v>#REF!</v>
      </c>
      <c r="I101" s="129"/>
    </row>
    <row r="102" spans="1:35" ht="18.75" customHeight="1">
      <c r="A102" s="3836" t="s">
        <v>1431</v>
      </c>
      <c r="B102" s="2581" t="s">
        <v>1430</v>
      </c>
      <c r="C102" s="2582" t="e">
        <f ca="1">IF(D32="楼面单价",ROUND(C19,0),C19)</f>
        <v>#REF!</v>
      </c>
      <c r="D102" s="2583" t="e">
        <f ca="1">IF(D32="楼面单价",ROUND(D19,0),D19)</f>
        <v>#REF!</v>
      </c>
      <c r="E102" s="3877"/>
      <c r="F102" s="3834"/>
      <c r="G102" s="1827" t="s">
        <v>1432</v>
      </c>
      <c r="H102" s="2552" t="e">
        <f ca="1">I118</f>
        <v>#REF!</v>
      </c>
      <c r="I102" s="129"/>
    </row>
    <row r="103" spans="1:35" ht="42.75" customHeight="1">
      <c r="A103" s="3836"/>
      <c r="B103" s="2581" t="s">
        <v>1432</v>
      </c>
      <c r="C103" s="2584" t="e">
        <f ca="1">C20</f>
        <v>#REF!</v>
      </c>
      <c r="D103" s="2585" t="e">
        <f ca="1">D20</f>
        <v>#REF!</v>
      </c>
      <c r="E103" s="3871" t="s">
        <v>1433</v>
      </c>
      <c r="F103" s="3872"/>
      <c r="G103" s="1828" t="s">
        <v>1434</v>
      </c>
      <c r="H103" s="2592">
        <f>IF(D36="正常操作",H104+H105+H106,H105+H106)</f>
        <v>0</v>
      </c>
      <c r="I103" s="129"/>
    </row>
    <row r="104" spans="1:35" ht="18.75" customHeight="1">
      <c r="A104" s="3836" t="s">
        <v>1435</v>
      </c>
      <c r="B104" s="2586" t="s">
        <v>1430</v>
      </c>
      <c r="C104" s="2587" t="e">
        <f ca="1">H118</f>
        <v>#REF!</v>
      </c>
      <c r="D104" s="2588"/>
      <c r="E104" s="1674" t="s">
        <v>1436</v>
      </c>
      <c r="F104" s="1666"/>
      <c r="G104" s="1828" t="s">
        <v>1434</v>
      </c>
      <c r="H104" s="2593">
        <f>IF(D36="同一抵押权人同一抵押物续贷",C36&amp;"（续贷，未扣减，详见特别提示）",C36)</f>
        <v>0</v>
      </c>
      <c r="I104" s="129"/>
    </row>
    <row r="105" spans="1:35" ht="18.75" customHeight="1" thickBot="1">
      <c r="A105" s="3837"/>
      <c r="B105" s="2589" t="s">
        <v>1432</v>
      </c>
      <c r="C105" s="2590" t="e">
        <f ca="1">I118</f>
        <v>#REF!</v>
      </c>
      <c r="D105" s="2591"/>
      <c r="E105" s="1674" t="s">
        <v>1437</v>
      </c>
      <c r="F105" s="1666"/>
      <c r="G105" s="1828" t="s">
        <v>1434</v>
      </c>
      <c r="H105" s="2594">
        <f>C37</f>
        <v>0</v>
      </c>
      <c r="I105" s="129"/>
    </row>
    <row r="106" spans="1:35" ht="18.75" customHeight="1">
      <c r="A106" s="1747" t="s">
        <v>1438</v>
      </c>
      <c r="B106" s="1747"/>
      <c r="C106" s="1747"/>
      <c r="D106" s="1747"/>
      <c r="E106" s="1829" t="s">
        <v>1439</v>
      </c>
      <c r="F106" s="1666"/>
      <c r="G106" s="1828" t="s">
        <v>1434</v>
      </c>
      <c r="H106" s="2594">
        <f>C38</f>
        <v>0</v>
      </c>
      <c r="I106" s="129"/>
    </row>
    <row r="107" spans="1:35" ht="18.75" customHeight="1">
      <c r="A107" s="129"/>
      <c r="B107" s="129"/>
      <c r="C107" s="129"/>
      <c r="D107" s="129"/>
      <c r="E107" s="3833" t="str">
        <f>IF(项目基本情况!E8="已注销","——","3.房地产抵押价值")</f>
        <v>3.房地产抵押价值</v>
      </c>
      <c r="F107" s="3834"/>
      <c r="G107" s="1827" t="s">
        <v>1430</v>
      </c>
      <c r="H107" s="2592" t="e">
        <f ca="1">IF(E107="——","——",H101-H103)</f>
        <v>#REF!</v>
      </c>
      <c r="I107" s="129"/>
    </row>
    <row r="108" spans="1:35" ht="18.75" customHeight="1">
      <c r="A108" s="129"/>
      <c r="B108" s="129"/>
      <c r="C108" s="129"/>
      <c r="D108" s="129"/>
      <c r="E108" s="3833"/>
      <c r="F108" s="3834"/>
      <c r="G108" s="1827" t="s">
        <v>1432</v>
      </c>
      <c r="H108" s="2552" t="e">
        <f ca="1">IF(H107=H101,H102,ROUND(H107*10000/'数据-汇总表'!E3,0))</f>
        <v>#REF!</v>
      </c>
      <c r="I108" s="129"/>
    </row>
    <row r="109" spans="1:35" ht="18.75" customHeight="1">
      <c r="A109" s="129"/>
      <c r="B109" s="129"/>
      <c r="C109" s="129"/>
      <c r="D109" s="129"/>
      <c r="E109" s="3833" t="str">
        <f>IF(项目基本情况!E8="已注销及未注销","4.抵押担保权已注销时的房地产抵押价值",IF(项目基本情况!E8="已注销","3.抵押担保权已注销时的房地产抵押价值","——"))</f>
        <v>——</v>
      </c>
      <c r="F109" s="3834"/>
      <c r="G109" s="1827" t="s">
        <v>1430</v>
      </c>
      <c r="H109" s="2595" t="str">
        <f>IF(E109="——","——",H101-H105-H106)</f>
        <v>——</v>
      </c>
      <c r="I109" s="129"/>
    </row>
    <row r="110" spans="1:35" ht="18.75" customHeight="1">
      <c r="A110" s="129"/>
      <c r="B110" s="129"/>
      <c r="C110" s="129"/>
      <c r="D110" s="129"/>
      <c r="E110" s="3833"/>
      <c r="F110" s="3834"/>
      <c r="G110" s="1827" t="s">
        <v>1432</v>
      </c>
      <c r="H110" s="2552" t="str">
        <f>IF(H109="——","——",ROUND(H109*10000/'数据-汇总表'!E3,0))</f>
        <v>——</v>
      </c>
      <c r="I110" s="129"/>
    </row>
    <row r="111" spans="1:35" ht="18.75" customHeight="1">
      <c r="A111" s="129"/>
      <c r="B111" s="129"/>
      <c r="C111" s="129"/>
      <c r="D111" s="129"/>
      <c r="E111" s="3865" t="str">
        <f>IF(项目基本情况!E9="抵押净值",IF(OR(项目基本情况!E8="已注销",项目基本情况!E8="房地产抵押价值"),"4.抵押净值","5.抵押净值"),"——")</f>
        <v>——</v>
      </c>
      <c r="F111" s="3835"/>
      <c r="G111" s="1827" t="s">
        <v>1430</v>
      </c>
      <c r="H111" s="2592" t="str">
        <f>IF(E111="——","——",N59)</f>
        <v>——</v>
      </c>
      <c r="I111" s="129"/>
    </row>
    <row r="112" spans="1:35" ht="18.75" customHeight="1" thickBot="1">
      <c r="A112" s="129"/>
      <c r="B112" s="129"/>
      <c r="C112" s="129"/>
      <c r="D112" s="129"/>
      <c r="E112" s="3866"/>
      <c r="F112" s="3867"/>
      <c r="G112" s="1830" t="s">
        <v>1432</v>
      </c>
      <c r="H112" s="2596" t="str">
        <f>IF(E111="——","——",N61)</f>
        <v>——</v>
      </c>
      <c r="I112" s="129"/>
    </row>
    <row r="113" spans="1:27" ht="18.75" customHeight="1">
      <c r="A113" s="129"/>
      <c r="B113" s="129"/>
      <c r="C113" s="129"/>
      <c r="D113" s="129"/>
      <c r="E113" s="3838" t="s">
        <v>1438</v>
      </c>
      <c r="F113" s="3838"/>
      <c r="G113" s="3838"/>
      <c r="H113" s="3838"/>
      <c r="I113" s="129"/>
    </row>
    <row r="114" spans="1:27" ht="3.75" customHeight="1">
      <c r="A114" s="1747"/>
      <c r="B114" s="1747"/>
      <c r="C114" s="1747"/>
      <c r="D114" s="1747"/>
      <c r="E114" s="1809"/>
      <c r="F114" s="1809"/>
      <c r="G114" s="1809"/>
      <c r="H114" s="1809"/>
      <c r="I114" s="1747"/>
    </row>
    <row r="115" spans="1:27" ht="18.75" customHeight="1">
      <c r="A115" s="3848" t="s">
        <v>1440</v>
      </c>
      <c r="B115" s="3849"/>
      <c r="C115" s="3849"/>
      <c r="D115" s="3849"/>
      <c r="E115" s="3849"/>
      <c r="F115" s="3849"/>
      <c r="G115" s="3849"/>
      <c r="H115" s="3849"/>
      <c r="I115" s="3850"/>
    </row>
    <row r="116" spans="1:27" ht="27" customHeight="1">
      <c r="A116" s="3804" t="s">
        <v>1441</v>
      </c>
      <c r="B116" s="3839" t="s">
        <v>1442</v>
      </c>
      <c r="C116" s="3839" t="s">
        <v>1443</v>
      </c>
      <c r="D116" s="3852" t="s">
        <v>1444</v>
      </c>
      <c r="E116" s="3853"/>
      <c r="F116" s="3847" t="s">
        <v>1445</v>
      </c>
      <c r="G116" s="3847"/>
      <c r="H116" s="3804" t="s">
        <v>1446</v>
      </c>
      <c r="I116" s="3804"/>
    </row>
    <row r="117" spans="1:27" ht="18.75" customHeight="1">
      <c r="A117" s="3804"/>
      <c r="B117" s="3840"/>
      <c r="C117" s="3840"/>
      <c r="D117" s="2329" t="s">
        <v>1447</v>
      </c>
      <c r="E117" s="2329" t="s">
        <v>1448</v>
      </c>
      <c r="F117" s="2329" t="s">
        <v>1447</v>
      </c>
      <c r="G117" s="2329" t="s">
        <v>1449</v>
      </c>
      <c r="H117" s="2329" t="s">
        <v>1447</v>
      </c>
      <c r="I117" s="2329" t="s">
        <v>1449</v>
      </c>
    </row>
    <row r="118" spans="1:27" ht="24.75" customHeight="1">
      <c r="A118" s="2597" t="str">
        <f>项目基本情况!S2</f>
        <v>北京市顺义区澳景园四区2号楼房地产</v>
      </c>
      <c r="B118" s="2329">
        <f>M18</f>
        <v>420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804" t="s">
        <v>1450</v>
      </c>
      <c r="B119" s="3804"/>
      <c r="C119" s="3804"/>
      <c r="D119" s="3844" t="e">
        <f ca="1">NUMBERSTRING(INT(D118*10000),2)&amp;"元整"</f>
        <v>#REF!</v>
      </c>
      <c r="E119" s="3846"/>
      <c r="F119" s="3844" t="e">
        <f ca="1">NUMBERSTRING(INT(F118*10000),2)&amp;"元整"</f>
        <v>#REF!</v>
      </c>
      <c r="G119" s="3846"/>
      <c r="H119" s="3844" t="e">
        <f ca="1">NUMBERSTRING(INT(H118*10000),2)&amp;"元整"</f>
        <v>#REF!</v>
      </c>
      <c r="I119" s="3846"/>
    </row>
    <row r="120" spans="1:27" ht="18.75" customHeight="1">
      <c r="A120" s="3868" t="str">
        <f>IF(项目基本情况!B9="房地产市场价值","",MID(E103,3,LEN(E103)-2))</f>
        <v/>
      </c>
      <c r="B120" s="3869"/>
      <c r="C120" s="3870"/>
      <c r="D120" s="3868">
        <f>H103</f>
        <v>0</v>
      </c>
      <c r="E120" s="3869"/>
      <c r="F120" s="3869"/>
      <c r="G120" s="3869"/>
      <c r="H120" s="3869"/>
      <c r="I120" s="387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844" t="s">
        <v>1450</v>
      </c>
      <c r="B121" s="3845"/>
      <c r="C121" s="3846"/>
      <c r="D121" s="3844" t="str">
        <f>IF(D120=0,"零元整",NUMBERSTRING(INT(D120*10000),2)&amp;"元整")</f>
        <v>零元整</v>
      </c>
      <c r="E121" s="3845"/>
      <c r="F121" s="3845"/>
      <c r="G121" s="3845"/>
      <c r="H121" s="3845"/>
      <c r="I121" s="3846"/>
      <c r="AA121" s="725"/>
    </row>
    <row r="122" spans="1:27" ht="18.75" customHeight="1">
      <c r="A122" s="3835" t="str">
        <f>IF(项目基本情况!B9="房地产市场价值","",MID(E107,3,LEN(E107)-2))</f>
        <v/>
      </c>
      <c r="B122" s="3835"/>
      <c r="C122" s="3835"/>
      <c r="D122" s="3868" t="e">
        <f ca="1">H107</f>
        <v>#REF!</v>
      </c>
      <c r="E122" s="3869"/>
      <c r="F122" s="3869"/>
      <c r="G122" s="3869"/>
      <c r="H122" s="3869"/>
      <c r="I122" s="3870"/>
      <c r="AA122" s="725"/>
    </row>
    <row r="123" spans="1:27" ht="18.75" customHeight="1">
      <c r="A123" s="3804" t="s">
        <v>1450</v>
      </c>
      <c r="B123" s="3804"/>
      <c r="C123" s="3804"/>
      <c r="D123" s="3844" t="e">
        <f ca="1">NUMBERSTRING(INT(D122*10000),2)&amp;"元整"</f>
        <v>#REF!</v>
      </c>
      <c r="E123" s="3845"/>
      <c r="F123" s="3845"/>
      <c r="G123" s="3845"/>
      <c r="H123" s="3845"/>
      <c r="I123" s="3846"/>
      <c r="AA123" s="725"/>
    </row>
    <row r="124" spans="1:27" ht="18.75" customHeight="1">
      <c r="A124" s="3835" t="str">
        <f>IF(项目基本情况!B9="房地产市场价值","",MID(E109,3,LEN(E109)-2))</f>
        <v/>
      </c>
      <c r="B124" s="3835"/>
      <c r="C124" s="3835"/>
      <c r="D124" s="3868" t="str">
        <f>H109</f>
        <v>——</v>
      </c>
      <c r="E124" s="3869"/>
      <c r="F124" s="3869"/>
      <c r="G124" s="3869"/>
      <c r="H124" s="3869"/>
      <c r="I124" s="3870"/>
      <c r="AA124" s="725"/>
    </row>
    <row r="125" spans="1:27" ht="18.75" customHeight="1">
      <c r="A125" s="3804" t="s">
        <v>1450</v>
      </c>
      <c r="B125" s="3804"/>
      <c r="C125" s="3804"/>
      <c r="D125" s="3844" t="e">
        <f>NUMBERSTRING(INT(D124*10000),2)&amp;"元整"</f>
        <v>#VALUE!</v>
      </c>
      <c r="E125" s="3845"/>
      <c r="F125" s="3845"/>
      <c r="G125" s="3845"/>
      <c r="H125" s="3845"/>
      <c r="I125" s="3846"/>
      <c r="AA125" s="725"/>
    </row>
    <row r="126" spans="1:27" ht="18.75" customHeight="1">
      <c r="A126" s="3835" t="str">
        <f>IF(项目基本情况!B9="房地产市场价值","",MID(E111,3,LEN(E111)-2))</f>
        <v/>
      </c>
      <c r="B126" s="3835"/>
      <c r="C126" s="3835"/>
      <c r="D126" s="3868" t="str">
        <f>H111</f>
        <v>——</v>
      </c>
      <c r="E126" s="3869"/>
      <c r="F126" s="3869"/>
      <c r="G126" s="3869"/>
      <c r="H126" s="3869"/>
      <c r="I126" s="3870"/>
      <c r="AA126" s="725"/>
    </row>
    <row r="127" spans="1:27" ht="18.75" customHeight="1">
      <c r="A127" s="3804" t="s">
        <v>1450</v>
      </c>
      <c r="B127" s="3804"/>
      <c r="C127" s="3804"/>
      <c r="D127" s="3844" t="e">
        <f>NUMBERSTRING(INT(D126*10000),2)&amp;"元整"</f>
        <v>#VALUE!</v>
      </c>
      <c r="E127" s="3845"/>
      <c r="F127" s="3845"/>
      <c r="G127" s="3845"/>
      <c r="H127" s="3845"/>
      <c r="I127" s="3846"/>
      <c r="AA127" s="725"/>
    </row>
    <row r="128" spans="1:27" ht="21.75" customHeight="1">
      <c r="A128" s="3851" t="s">
        <v>1451</v>
      </c>
      <c r="B128" s="3851"/>
      <c r="C128" s="3851"/>
      <c r="D128" s="3851"/>
      <c r="E128" s="3851"/>
      <c r="F128" s="3851"/>
      <c r="G128" s="3851"/>
      <c r="H128" s="3851"/>
      <c r="I128" s="3851"/>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287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6833</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8.4</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8.4</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8</v>
      </c>
      <c r="D10" s="845">
        <f ca="1">IF(B1="",'数据-汇总表'!E6,IF(INDIRECT("'数据-取费表'!c"&amp;$G$1)="住宅",INDIRECT("'数据-取费表'!s"&amp;$G$1),INDIRECT("'数据-取费表'!k"&amp;$G$1)+INDIRECT("'数据-取费表'!s"&amp;$G$1)))</f>
        <v>420</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8</v>
      </c>
      <c r="D19" s="849">
        <f ca="1">D9+D10</f>
        <v>420</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3</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231</v>
      </c>
      <c r="D34" s="217"/>
      <c r="E34" s="220"/>
      <c r="F34" s="257">
        <f ca="1">IF('数据-取费表'!B24=0,1,IF(B1="",'数据-取费表'!N16,INDIRECT("'数据-取费表'!n"&amp;$G$1)))</f>
        <v>1</v>
      </c>
      <c r="G34" s="219" t="s">
        <v>1524</v>
      </c>
    </row>
    <row r="35" spans="1:7" ht="13.5" customHeight="1">
      <c r="A35" s="780" t="s">
        <v>351</v>
      </c>
      <c r="B35" s="215" t="s">
        <v>1525</v>
      </c>
      <c r="C35" s="220">
        <f ca="1">ROUND(C34*F35,0)</f>
        <v>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v>
      </c>
      <c r="D37" s="217">
        <f ca="1">D19</f>
        <v>420</v>
      </c>
      <c r="E37" s="249">
        <f>'数据-取费表'!B35</f>
        <v>200</v>
      </c>
      <c r="F37" s="259"/>
      <c r="G37" s="261" t="s">
        <v>1530</v>
      </c>
    </row>
    <row r="38" spans="1:7" ht="13.5" customHeight="1">
      <c r="A38" s="780"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9</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9</v>
      </c>
      <c r="D42" s="238"/>
      <c r="E42" s="238"/>
      <c r="F42" s="239"/>
      <c r="G42" s="3884" t="s">
        <v>1542</v>
      </c>
    </row>
    <row r="43" spans="1:7" ht="13.5" customHeight="1">
      <c r="A43" s="780" t="s">
        <v>347</v>
      </c>
      <c r="B43" s="215" t="s">
        <v>1543</v>
      </c>
      <c r="C43" s="238">
        <f ca="1">ROUND(IF('数据-取费表'!B22&lt;=1,C39*F22*'数据-取费表'!B21/2,C39*(POWER((1+F22),'数据-取费表'!B21/2)-1)),0)</f>
        <v>0</v>
      </c>
      <c r="D43" s="238"/>
      <c r="E43" s="238"/>
      <c r="F43" s="239"/>
      <c r="G43" s="3885"/>
    </row>
    <row r="44" spans="1:7" ht="13.5" customHeight="1">
      <c r="A44" s="780" t="s">
        <v>348</v>
      </c>
      <c r="B44" s="215" t="s">
        <v>1544</v>
      </c>
      <c r="C44" s="238">
        <f ca="1">ROUND(IF('数据-取费表'!B22&lt;=1,C40*F22*'数据-取费表'!B21/2,C40*(POWER((1+F22),'数据-取费表'!B21/2)-1)),4)</f>
        <v>6.9999999999999999E-4</v>
      </c>
      <c r="D44" s="238"/>
      <c r="E44" s="238"/>
      <c r="F44" s="239"/>
      <c r="G44" s="3886"/>
    </row>
    <row r="45" spans="1:7" s="214" customFormat="1" ht="13.5" customHeight="1">
      <c r="A45" s="255" t="s">
        <v>1545</v>
      </c>
      <c r="B45" s="244" t="s">
        <v>1511</v>
      </c>
      <c r="C45" s="245">
        <f ca="1">C46</f>
        <v>51</v>
      </c>
      <c r="D45" s="235">
        <f ca="1">C47</f>
        <v>4.0000000000000001E-3</v>
      </c>
      <c r="E45" s="236" t="s">
        <v>1537</v>
      </c>
      <c r="F45" s="246">
        <f ca="1">F27</f>
        <v>0.2</v>
      </c>
      <c r="G45" s="247" t="s">
        <v>1546</v>
      </c>
    </row>
    <row r="46" spans="1:7" s="214" customFormat="1" ht="13.5" customHeight="1">
      <c r="A46" s="780" t="s">
        <v>346</v>
      </c>
      <c r="B46" s="248" t="s">
        <v>1547</v>
      </c>
      <c r="C46" s="249">
        <f ca="1">ROUND((C33+C39)*F27,0)</f>
        <v>51</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340</v>
      </c>
      <c r="D49" s="232"/>
      <c r="E49" s="232"/>
      <c r="F49" s="264"/>
      <c r="G49" s="234" t="s">
        <v>1552</v>
      </c>
    </row>
    <row r="50" spans="1:7" s="258" customFormat="1" ht="24">
      <c r="A50" s="255" t="s">
        <v>1553</v>
      </c>
      <c r="B50" s="210" t="s">
        <v>1554</v>
      </c>
      <c r="C50" s="232"/>
      <c r="D50" s="232"/>
      <c r="E50" s="232"/>
      <c r="F50" s="264">
        <f>IF('数据-取费表'!B24=0,'数据-取费表'!N16,1)</f>
        <v>0.77500000000000002</v>
      </c>
      <c r="G50" s="247" t="s">
        <v>1555</v>
      </c>
    </row>
    <row r="51" spans="1:7" ht="16.5" customHeight="1">
      <c r="A51" s="255" t="s">
        <v>1556</v>
      </c>
      <c r="B51" s="210" t="s">
        <v>1557</v>
      </c>
      <c r="C51" s="232">
        <f ca="1">ROUND(C49*F50,0)</f>
        <v>264</v>
      </c>
      <c r="D51" s="232"/>
      <c r="E51" s="232"/>
      <c r="F51" s="264"/>
      <c r="G51" s="234" t="s">
        <v>1558</v>
      </c>
    </row>
    <row r="52" spans="1:7" s="208" customFormat="1" ht="16.5" thickBot="1">
      <c r="A52" s="265" t="s">
        <v>1559</v>
      </c>
      <c r="B52" s="266"/>
      <c r="C52" s="267">
        <f ca="1">C31+C51</f>
        <v>287</v>
      </c>
      <c r="D52" s="266"/>
      <c r="E52" s="266"/>
      <c r="F52" s="266"/>
      <c r="G52" s="268"/>
    </row>
    <row r="55" spans="1:7" ht="15">
      <c r="B55" s="270" t="s">
        <v>1560</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701" t="str">
        <f>项目基本情况!B1</f>
        <v>北京市顺义区澳景园四区2号楼房地产市场价值预评估</v>
      </c>
      <c r="C37" s="3701"/>
      <c r="D37" s="3701"/>
      <c r="E37" s="3701"/>
      <c r="F37" s="3701"/>
      <c r="G37" s="3701"/>
      <c r="H37" s="3701"/>
      <c r="I37" s="37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B7" zoomScale="80" zoomScaleNormal="70" zoomScaleSheetLayoutView="80" workbookViewId="0">
      <selection activeCell="F50" sqref="F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8.5" style="357" customWidth="1"/>
    <col min="6" max="6" width="12.25" style="357" customWidth="1"/>
    <col min="7" max="7" width="20.875" style="357" customWidth="1"/>
    <col min="8" max="8" width="12.25" style="357" customWidth="1"/>
    <col min="9" max="9" width="17.7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3497</v>
      </c>
      <c r="E1" s="3423" t="s">
        <v>3557</v>
      </c>
      <c r="F1" s="1879" t="s">
        <v>3558</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0.81059999999999999</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19.3</v>
      </c>
      <c r="C3" s="354" t="s">
        <v>1766</v>
      </c>
      <c r="D3" s="353">
        <f>IF(D1="",'数据-汇总表'!E3,SUMIF('数据-汇总表'!$C19:$C33,D1,'数据-汇总表'!$E19:$E33))</f>
        <v>420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1" t="s">
        <v>1770</v>
      </c>
      <c r="AC4" s="3903" t="s">
        <v>1771</v>
      </c>
    </row>
    <row r="5" spans="1:29" ht="15">
      <c r="A5" s="358"/>
      <c r="B5" s="359"/>
      <c r="C5" s="3929" t="s">
        <v>4078</v>
      </c>
      <c r="D5" s="3930"/>
      <c r="E5" s="3924" t="s">
        <v>3973</v>
      </c>
      <c r="F5" s="3925"/>
      <c r="G5" s="3924" t="s">
        <v>3973</v>
      </c>
      <c r="H5" s="3925"/>
      <c r="I5" s="3924" t="s">
        <v>3973</v>
      </c>
      <c r="J5" s="3925"/>
      <c r="K5" s="559"/>
      <c r="L5" s="2712"/>
      <c r="M5" s="2713"/>
      <c r="N5" s="2713"/>
      <c r="O5" s="2713"/>
      <c r="P5" s="3912"/>
      <c r="Q5" s="3913"/>
      <c r="R5" s="3918"/>
      <c r="S5" s="3919"/>
      <c r="T5" s="3918"/>
      <c r="U5" s="3919"/>
      <c r="V5" s="3901"/>
      <c r="W5" s="3901"/>
      <c r="X5" s="1355"/>
      <c r="Y5" s="3918"/>
      <c r="Z5" s="3919"/>
      <c r="AA5" s="3904"/>
      <c r="AB5" s="3901"/>
      <c r="AC5" s="3904"/>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1355"/>
      <c r="Y6" s="3920"/>
      <c r="Z6" s="3921"/>
      <c r="AA6" s="3905"/>
      <c r="AB6" s="3901"/>
      <c r="AC6" s="3905"/>
    </row>
    <row r="7" spans="1:29" s="108" customFormat="1" ht="15.75" thickBot="1">
      <c r="A7" s="362" t="s">
        <v>1677</v>
      </c>
      <c r="B7" s="363"/>
      <c r="C7" s="364">
        <f>'数据-取费表'!B2</f>
        <v>45441</v>
      </c>
      <c r="D7" s="365">
        <v>100</v>
      </c>
      <c r="E7" s="366">
        <f>C7</f>
        <v>45441</v>
      </c>
      <c r="F7" s="367">
        <f>SUMIF(58:58,YEAR(E7)&amp;"-"&amp;MONTH(E7),59:59)</f>
        <v>100</v>
      </c>
      <c r="G7" s="366">
        <f>E7</f>
        <v>45441</v>
      </c>
      <c r="H7" s="365">
        <f>SUMIF(58:58,YEAR(G7)&amp;"-"&amp;MONTH(G7),59:59)</f>
        <v>100</v>
      </c>
      <c r="I7" s="366">
        <f>G7</f>
        <v>45441</v>
      </c>
      <c r="J7" s="365">
        <f>SUMIF(58:58,YEAR(I7)&amp;"-"&amp;MONTH(I7),59:59)</f>
        <v>100</v>
      </c>
      <c r="K7" s="560"/>
      <c r="L7" s="2714"/>
      <c r="M7" s="2715"/>
      <c r="N7" s="2715"/>
      <c r="O7" s="2715"/>
      <c r="P7" s="3926" t="s">
        <v>1678</v>
      </c>
      <c r="Q7" s="3928"/>
      <c r="R7" s="701" t="s">
        <v>14</v>
      </c>
      <c r="S7" s="702">
        <f t="shared" ref="S7:S15" si="0">F7</f>
        <v>100</v>
      </c>
      <c r="T7" s="701" t="s">
        <v>14</v>
      </c>
      <c r="U7" s="702">
        <f t="shared" ref="U7:U15" si="1">H7</f>
        <v>100</v>
      </c>
      <c r="V7" s="701" t="s">
        <v>14</v>
      </c>
      <c r="W7" s="702">
        <f t="shared" ref="W7:W15" si="2">J7</f>
        <v>100</v>
      </c>
      <c r="X7" s="703"/>
      <c r="Y7" s="3926" t="s">
        <v>1678</v>
      </c>
      <c r="Z7" s="3927"/>
      <c r="AA7" s="704">
        <f>D7/F7</f>
        <v>1</v>
      </c>
      <c r="AB7" s="704">
        <f>D7/H7</f>
        <v>1</v>
      </c>
      <c r="AC7" s="704">
        <f>D7/J7</f>
        <v>1</v>
      </c>
    </row>
    <row r="8" spans="1:29" s="108" customFormat="1" ht="15.75" thickBot="1">
      <c r="A8" s="362" t="s">
        <v>1679</v>
      </c>
      <c r="B8" s="363"/>
      <c r="C8" s="368" t="s">
        <v>3548</v>
      </c>
      <c r="D8" s="365">
        <v>100</v>
      </c>
      <c r="E8" s="368" t="s">
        <v>3548</v>
      </c>
      <c r="F8" s="367">
        <f>SUMIF(61:61,E8,62:62)-SUMIF(61:61,C8,62:62)+100</f>
        <v>100</v>
      </c>
      <c r="G8" s="368" t="s">
        <v>3548</v>
      </c>
      <c r="H8" s="365">
        <f>SUMIF(61:61,G8,62:62)-SUMIF(61:61,C8,62:62)+100</f>
        <v>100</v>
      </c>
      <c r="I8" s="368" t="s">
        <v>3548</v>
      </c>
      <c r="J8" s="365">
        <f>SUMIF(61:61,I8,62:62)-SUMIF(61:61,C8,62:62)+100</f>
        <v>100</v>
      </c>
      <c r="K8" s="560"/>
      <c r="L8" s="2714"/>
      <c r="M8" s="2715"/>
      <c r="N8" s="2715"/>
      <c r="O8" s="2715"/>
      <c r="P8" s="3926" t="s">
        <v>1681</v>
      </c>
      <c r="Q8" s="3927"/>
      <c r="R8" s="701" t="s">
        <v>14</v>
      </c>
      <c r="S8" s="702">
        <f t="shared" si="0"/>
        <v>100</v>
      </c>
      <c r="T8" s="701" t="s">
        <v>14</v>
      </c>
      <c r="U8" s="702">
        <f t="shared" si="1"/>
        <v>100</v>
      </c>
      <c r="V8" s="701" t="s">
        <v>14</v>
      </c>
      <c r="W8" s="702">
        <f t="shared" si="2"/>
        <v>100</v>
      </c>
      <c r="X8" s="703"/>
      <c r="Y8" s="3926" t="s">
        <v>1681</v>
      </c>
      <c r="Z8" s="3927"/>
      <c r="AA8" s="704">
        <f t="shared" ref="AA8:AA46" si="3">D8/F8</f>
        <v>1</v>
      </c>
      <c r="AB8" s="704">
        <f t="shared" ref="AB8:AB46" si="4">D8/H8</f>
        <v>1</v>
      </c>
      <c r="AC8" s="704">
        <f t="shared" ref="AC8:AC46" si="5">D8/J8</f>
        <v>1</v>
      </c>
    </row>
    <row r="9" spans="1:29" s="108" customFormat="1">
      <c r="A9" s="369" t="s">
        <v>1682</v>
      </c>
      <c r="B9" s="63" t="s">
        <v>1683</v>
      </c>
      <c r="C9" s="3536" t="s">
        <v>3549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902"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2"/>
      <c r="H10" s="127">
        <f>SUMIF(65:65,G10,66:66)-SUMIF(65:65,C10,66:66)+100</f>
        <v>100</v>
      </c>
      <c r="I10" s="3431"/>
      <c r="J10" s="127">
        <f>SUMIF(65:65,I10,66:66)-SUMIF(65:65,C10,66:66)+100</f>
        <v>100</v>
      </c>
      <c r="K10" s="560"/>
      <c r="L10" s="2716"/>
      <c r="M10" s="2717"/>
      <c r="N10" s="2717"/>
      <c r="O10" s="2717"/>
      <c r="P10" s="3902"/>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902"/>
      <c r="Q11" s="1343" t="str">
        <f t="shared" si="6"/>
        <v>容积率</v>
      </c>
      <c r="R11" s="701" t="s">
        <v>14</v>
      </c>
      <c r="S11" s="702">
        <f t="shared" si="0"/>
        <v>100</v>
      </c>
      <c r="T11" s="701" t="s">
        <v>14</v>
      </c>
      <c r="U11" s="702">
        <f t="shared" si="1"/>
        <v>100</v>
      </c>
      <c r="V11" s="701" t="s">
        <v>14</v>
      </c>
      <c r="W11" s="702">
        <f t="shared" si="2"/>
        <v>100</v>
      </c>
      <c r="X11" s="703"/>
      <c r="Y11" s="3791"/>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902"/>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902"/>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902"/>
      <c r="Q14" s="1343">
        <f t="shared" si="6"/>
        <v>111</v>
      </c>
      <c r="R14" s="701" t="s">
        <v>14</v>
      </c>
      <c r="S14" s="702">
        <f t="shared" si="0"/>
        <v>100</v>
      </c>
      <c r="T14" s="701" t="s">
        <v>14</v>
      </c>
      <c r="U14" s="702">
        <f t="shared" si="1"/>
        <v>100</v>
      </c>
      <c r="V14" s="701" t="s">
        <v>14</v>
      </c>
      <c r="W14" s="702">
        <f t="shared" si="2"/>
        <v>100</v>
      </c>
      <c r="X14" s="703"/>
      <c r="Y14" s="3791"/>
      <c r="Z14" s="52">
        <f t="shared" si="7"/>
        <v>111</v>
      </c>
      <c r="AA14" s="704">
        <f t="shared" si="3"/>
        <v>1</v>
      </c>
      <c r="AB14" s="704">
        <f t="shared" si="4"/>
        <v>1</v>
      </c>
      <c r="AC14" s="704">
        <f t="shared" si="5"/>
        <v>1</v>
      </c>
    </row>
    <row r="15" spans="1:29" ht="18.75" customHeight="1">
      <c r="A15" s="391" t="s">
        <v>1688</v>
      </c>
      <c r="B15" s="61" t="s">
        <v>1775</v>
      </c>
      <c r="C15" s="1896" t="str">
        <f>估价对象房地状况!C4</f>
        <v>较好</v>
      </c>
      <c r="D15" s="392">
        <v>100</v>
      </c>
      <c r="E15" s="403" t="s">
        <v>3495</v>
      </c>
      <c r="F15" s="394">
        <f>SUMIF(76:76,E16,77:77)-SUMIF(76:76,C16,77:77)+100</f>
        <v>100</v>
      </c>
      <c r="G15" s="403" t="s">
        <v>3495</v>
      </c>
      <c r="H15" s="392">
        <f>SUMIF(76:76,G16,77:77)-SUMIF(76:76,C16,77:77)+100</f>
        <v>100</v>
      </c>
      <c r="I15" s="403" t="s">
        <v>3495</v>
      </c>
      <c r="J15" s="392">
        <f>SUMIF(76:76,I16,77:77)-SUMIF(76:76,C16,77:77)+100</f>
        <v>100</v>
      </c>
      <c r="K15" s="563">
        <v>2</v>
      </c>
      <c r="L15" s="2719"/>
      <c r="M15" s="2713"/>
      <c r="N15" s="2713"/>
      <c r="O15" s="2713"/>
      <c r="P15" s="3892" t="s">
        <v>1689</v>
      </c>
      <c r="Q15" s="1352" t="str">
        <f t="shared" si="6"/>
        <v>商业繁华度</v>
      </c>
      <c r="R15" s="705" t="s">
        <v>14</v>
      </c>
      <c r="S15" s="706">
        <f t="shared" si="0"/>
        <v>100</v>
      </c>
      <c r="T15" s="705" t="s">
        <v>14</v>
      </c>
      <c r="U15" s="706">
        <f t="shared" si="1"/>
        <v>100</v>
      </c>
      <c r="V15" s="705" t="s">
        <v>14</v>
      </c>
      <c r="W15" s="706">
        <f t="shared" si="2"/>
        <v>100</v>
      </c>
      <c r="X15" s="1355"/>
      <c r="Y15" s="3894" t="s">
        <v>1689</v>
      </c>
      <c r="Z15" s="1356" t="str">
        <f t="shared" si="7"/>
        <v>商业繁华度</v>
      </c>
      <c r="AA15" s="1353">
        <f t="shared" si="3"/>
        <v>1</v>
      </c>
      <c r="AB15" s="1353">
        <f t="shared" si="4"/>
        <v>1</v>
      </c>
      <c r="AC15" s="1353">
        <f t="shared" si="5"/>
        <v>1</v>
      </c>
    </row>
    <row r="16" spans="1:29" ht="18.75" customHeight="1">
      <c r="A16" s="379"/>
      <c r="B16" s="397"/>
      <c r="C16" s="398" t="s">
        <v>3495</v>
      </c>
      <c r="D16" s="399"/>
      <c r="E16" s="1898" t="s">
        <v>3495</v>
      </c>
      <c r="F16" s="400"/>
      <c r="G16" s="1898" t="s">
        <v>3495</v>
      </c>
      <c r="H16" s="401"/>
      <c r="I16" s="1898" t="s">
        <v>3495</v>
      </c>
      <c r="J16" s="399"/>
      <c r="K16" s="564"/>
      <c r="L16" s="2719"/>
      <c r="M16" s="2713"/>
      <c r="N16" s="2713"/>
      <c r="O16" s="2713"/>
      <c r="P16" s="3893"/>
      <c r="Q16" s="1352"/>
      <c r="R16" s="705"/>
      <c r="S16" s="706"/>
      <c r="T16" s="705"/>
      <c r="U16" s="706"/>
      <c r="V16" s="705"/>
      <c r="W16" s="706"/>
      <c r="X16" s="1355"/>
      <c r="Y16" s="3895"/>
      <c r="Z16" s="1356"/>
      <c r="AA16" s="1353">
        <v>1</v>
      </c>
      <c r="AB16" s="1353">
        <v>1</v>
      </c>
      <c r="AC16" s="1353">
        <v>1</v>
      </c>
    </row>
    <row r="17" spans="1:29" ht="18.75" customHeight="1">
      <c r="A17" s="379"/>
      <c r="B17" s="402" t="s">
        <v>1257</v>
      </c>
      <c r="C17" s="1900" t="str">
        <f>估价对象房地状况!C6</f>
        <v>较好</v>
      </c>
      <c r="D17" s="401">
        <v>100</v>
      </c>
      <c r="E17" s="403" t="s">
        <v>3495</v>
      </c>
      <c r="F17" s="404">
        <f>SUMIF(78:78,E18,79:79)-SUMIF(78:78,C18,79:79)+100</f>
        <v>100</v>
      </c>
      <c r="G17" s="403" t="s">
        <v>3495</v>
      </c>
      <c r="H17" s="406">
        <f>SUMIF(78:78,G18,79:79)-SUMIF(78:78,C18,79:79)+100</f>
        <v>100</v>
      </c>
      <c r="I17" s="403" t="s">
        <v>3495</v>
      </c>
      <c r="J17" s="406">
        <f>SUMIF(78:78,I18,79:79)-SUMIF(78:78,C18,79:79)+100</f>
        <v>100</v>
      </c>
      <c r="K17" s="563">
        <v>2</v>
      </c>
      <c r="L17" s="2719"/>
      <c r="M17" s="2713"/>
      <c r="N17" s="2713"/>
      <c r="O17" s="2713"/>
      <c r="P17" s="3893"/>
      <c r="Q17" s="1352" t="str">
        <f>B17</f>
        <v>交通便捷度</v>
      </c>
      <c r="R17" s="705" t="s">
        <v>14</v>
      </c>
      <c r="S17" s="706">
        <f>F17</f>
        <v>100</v>
      </c>
      <c r="T17" s="705" t="s">
        <v>14</v>
      </c>
      <c r="U17" s="706">
        <f>H17</f>
        <v>100</v>
      </c>
      <c r="V17" s="705" t="s">
        <v>14</v>
      </c>
      <c r="W17" s="706">
        <f>J17</f>
        <v>100</v>
      </c>
      <c r="X17" s="1355"/>
      <c r="Y17" s="3895"/>
      <c r="Z17" s="1356" t="str">
        <f>Q17</f>
        <v>交通便捷度</v>
      </c>
      <c r="AA17" s="1353">
        <f t="shared" si="3"/>
        <v>1</v>
      </c>
      <c r="AB17" s="1353">
        <f t="shared" si="4"/>
        <v>1</v>
      </c>
      <c r="AC17" s="1353">
        <f t="shared" si="5"/>
        <v>1</v>
      </c>
    </row>
    <row r="18" spans="1:29" ht="18.75" customHeight="1">
      <c r="A18" s="379"/>
      <c r="B18" s="407"/>
      <c r="C18" s="1901" t="s">
        <v>3495</v>
      </c>
      <c r="D18" s="401"/>
      <c r="E18" s="1901" t="s">
        <v>3495</v>
      </c>
      <c r="F18" s="404"/>
      <c r="G18" s="1901" t="s">
        <v>3495</v>
      </c>
      <c r="H18" s="399"/>
      <c r="I18" s="1901" t="s">
        <v>3495</v>
      </c>
      <c r="J18" s="399"/>
      <c r="K18" s="564"/>
      <c r="L18" s="2719"/>
      <c r="M18" s="2713"/>
      <c r="N18" s="2713"/>
      <c r="O18" s="2713"/>
      <c r="P18" s="3893"/>
      <c r="Q18" s="1352"/>
      <c r="R18" s="705"/>
      <c r="S18" s="706"/>
      <c r="T18" s="705"/>
      <c r="U18" s="706"/>
      <c r="V18" s="705"/>
      <c r="W18" s="706"/>
      <c r="X18" s="1355"/>
      <c r="Y18" s="3895"/>
      <c r="Z18" s="1356"/>
      <c r="AA18" s="1353">
        <v>1</v>
      </c>
      <c r="AB18" s="1353">
        <v>1</v>
      </c>
      <c r="AC18" s="1353">
        <v>1</v>
      </c>
    </row>
    <row r="19" spans="1:29" ht="18.75" customHeight="1">
      <c r="A19" s="379"/>
      <c r="B19" s="402" t="s">
        <v>1776</v>
      </c>
      <c r="C19" s="1900" t="str">
        <f>估价对象房地状况!C7</f>
        <v>一般</v>
      </c>
      <c r="D19" s="406">
        <v>100</v>
      </c>
      <c r="E19" s="403" t="s">
        <v>3522</v>
      </c>
      <c r="F19" s="409">
        <f>SUMIF(80:80,E20,81:81)-SUMIF(80:80,C20,81:81)+100</f>
        <v>100</v>
      </c>
      <c r="G19" s="403" t="s">
        <v>3522</v>
      </c>
      <c r="H19" s="401">
        <f>SUMIF(80:80,G20,81:81)-SUMIF(80:80,C20,81:81)+100</f>
        <v>100</v>
      </c>
      <c r="I19" s="403" t="s">
        <v>3522</v>
      </c>
      <c r="J19" s="401">
        <f>SUMIF(80:80,I20,81:81)-SUMIF(80:80,C20,81:81)+100</f>
        <v>100</v>
      </c>
      <c r="K19" s="563">
        <v>2</v>
      </c>
      <c r="L19" s="2719"/>
      <c r="M19" s="2713"/>
      <c r="N19" s="2713"/>
      <c r="O19" s="2713"/>
      <c r="P19" s="3893"/>
      <c r="Q19" s="1352" t="str">
        <f>B19</f>
        <v>公共配套设施</v>
      </c>
      <c r="R19" s="705" t="s">
        <v>14</v>
      </c>
      <c r="S19" s="706">
        <f>F19</f>
        <v>100</v>
      </c>
      <c r="T19" s="705" t="s">
        <v>14</v>
      </c>
      <c r="U19" s="706">
        <f>H19</f>
        <v>100</v>
      </c>
      <c r="V19" s="705" t="s">
        <v>14</v>
      </c>
      <c r="W19" s="706">
        <f>J19</f>
        <v>100</v>
      </c>
      <c r="X19" s="1355"/>
      <c r="Y19" s="3895"/>
      <c r="Z19" s="1356" t="str">
        <f>Q19</f>
        <v>公共配套设施</v>
      </c>
      <c r="AA19" s="1353">
        <f t="shared" si="3"/>
        <v>1</v>
      </c>
      <c r="AB19" s="1353">
        <f t="shared" si="4"/>
        <v>1</v>
      </c>
      <c r="AC19" s="1353">
        <f t="shared" si="5"/>
        <v>1</v>
      </c>
    </row>
    <row r="20" spans="1:29" ht="18.75" customHeight="1">
      <c r="A20" s="379"/>
      <c r="B20" s="407"/>
      <c r="C20" s="398" t="s">
        <v>3522</v>
      </c>
      <c r="D20" s="399"/>
      <c r="E20" s="1903" t="s">
        <v>3522</v>
      </c>
      <c r="F20" s="400"/>
      <c r="G20" s="1903" t="s">
        <v>3522</v>
      </c>
      <c r="H20" s="399"/>
      <c r="I20" s="1903" t="s">
        <v>3522</v>
      </c>
      <c r="J20" s="399"/>
      <c r="K20" s="564"/>
      <c r="L20" s="2719"/>
      <c r="M20" s="2713"/>
      <c r="N20" s="2713"/>
      <c r="O20" s="2713"/>
      <c r="P20" s="3893"/>
      <c r="Q20" s="1352"/>
      <c r="R20" s="705"/>
      <c r="S20" s="706"/>
      <c r="T20" s="705"/>
      <c r="U20" s="706"/>
      <c r="V20" s="705"/>
      <c r="W20" s="706"/>
      <c r="X20" s="1355"/>
      <c r="Y20" s="3895"/>
      <c r="Z20" s="1356"/>
      <c r="AA20" s="1353">
        <v>1</v>
      </c>
      <c r="AB20" s="1353">
        <v>1</v>
      </c>
      <c r="AC20" s="1353">
        <v>1</v>
      </c>
    </row>
    <row r="21" spans="1:29" ht="18.75" customHeight="1">
      <c r="A21" s="379"/>
      <c r="B21" s="1131" t="s">
        <v>1777</v>
      </c>
      <c r="C21" s="1900" t="str">
        <f>估价对象房地状况!C8</f>
        <v>六通</v>
      </c>
      <c r="D21" s="406">
        <v>100</v>
      </c>
      <c r="E21" s="408" t="s">
        <v>3970</v>
      </c>
      <c r="F21" s="409">
        <f>SUMIF(82:82,E22,83:83)-SUMIF(82:82,C22,83:83)+100</f>
        <v>100</v>
      </c>
      <c r="G21" s="408" t="s">
        <v>3970</v>
      </c>
      <c r="H21" s="401">
        <f>SUMIF(82:82,G22,83:83)-SUMIF(82:82,C22,83:83)+100</f>
        <v>100</v>
      </c>
      <c r="I21" s="408" t="s">
        <v>3970</v>
      </c>
      <c r="J21" s="401">
        <f>SUMIF(82:82,I22,83:83)-SUMIF(82:82,C22,83:83)+100</f>
        <v>100</v>
      </c>
      <c r="K21" s="563">
        <v>2</v>
      </c>
      <c r="L21" s="2719"/>
      <c r="M21" s="2713"/>
      <c r="N21" s="2713"/>
      <c r="O21" s="2713"/>
      <c r="P21" s="3893"/>
      <c r="Q21" s="1352" t="str">
        <f>B21</f>
        <v>基础设施水平</v>
      </c>
      <c r="R21" s="705" t="s">
        <v>14</v>
      </c>
      <c r="S21" s="706">
        <f>F21</f>
        <v>100</v>
      </c>
      <c r="T21" s="705" t="s">
        <v>14</v>
      </c>
      <c r="U21" s="706">
        <f>H21</f>
        <v>100</v>
      </c>
      <c r="V21" s="705" t="s">
        <v>14</v>
      </c>
      <c r="W21" s="706">
        <f>J21</f>
        <v>100</v>
      </c>
      <c r="X21" s="1355"/>
      <c r="Y21" s="3895"/>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3970</v>
      </c>
      <c r="D22" s="399"/>
      <c r="E22" s="398" t="s">
        <v>3970</v>
      </c>
      <c r="F22" s="400"/>
      <c r="G22" s="398" t="s">
        <v>3970</v>
      </c>
      <c r="H22" s="399"/>
      <c r="I22" s="398" t="s">
        <v>3970</v>
      </c>
      <c r="J22" s="399"/>
      <c r="K22" s="1130"/>
      <c r="L22" s="2719"/>
      <c r="M22" s="2713"/>
      <c r="N22" s="2713"/>
      <c r="O22" s="2713"/>
      <c r="P22" s="3893"/>
      <c r="Q22" s="1352"/>
      <c r="R22" s="705"/>
      <c r="S22" s="706"/>
      <c r="T22" s="705"/>
      <c r="U22" s="706"/>
      <c r="V22" s="705"/>
      <c r="W22" s="706"/>
      <c r="X22" s="1355"/>
      <c r="Y22" s="3895"/>
      <c r="Z22" s="1356"/>
      <c r="AA22" s="1353">
        <v>1</v>
      </c>
      <c r="AB22" s="1353">
        <v>1</v>
      </c>
      <c r="AC22" s="1353">
        <v>1</v>
      </c>
    </row>
    <row r="23" spans="1:29" ht="18.75" customHeight="1">
      <c r="A23" s="379"/>
      <c r="B23" s="402" t="s">
        <v>1259</v>
      </c>
      <c r="C23" s="1955" t="str">
        <f>估价对象房地状况!C9</f>
        <v>较好</v>
      </c>
      <c r="D23" s="401">
        <v>100</v>
      </c>
      <c r="E23" s="403" t="s">
        <v>3495</v>
      </c>
      <c r="F23" s="404">
        <f>SUMIF(84:84,E24,85:85)-SUMIF(84:84,C24,85:85)+100</f>
        <v>100</v>
      </c>
      <c r="G23" s="403" t="s">
        <v>3495</v>
      </c>
      <c r="H23" s="401">
        <f>SUMIF(84:84,G24,85:85)-SUMIF(84:84,C24,85:85)+100</f>
        <v>100</v>
      </c>
      <c r="I23" s="403" t="s">
        <v>3495</v>
      </c>
      <c r="J23" s="401">
        <f>SUMIF(84:84,I24,85:85)-SUMIF(84:84,C24,85:85)+100</f>
        <v>100</v>
      </c>
      <c r="K23" s="563">
        <v>2</v>
      </c>
      <c r="L23" s="2719"/>
      <c r="M23" s="2713"/>
      <c r="N23" s="2713"/>
      <c r="O23" s="2713"/>
      <c r="P23" s="3893"/>
      <c r="Q23" s="1352" t="str">
        <f>B23</f>
        <v>自然及人文环境</v>
      </c>
      <c r="R23" s="705" t="s">
        <v>14</v>
      </c>
      <c r="S23" s="706">
        <f>F23</f>
        <v>100</v>
      </c>
      <c r="T23" s="705" t="s">
        <v>14</v>
      </c>
      <c r="U23" s="706">
        <f>H23</f>
        <v>100</v>
      </c>
      <c r="V23" s="705" t="s">
        <v>14</v>
      </c>
      <c r="W23" s="706">
        <f>J23</f>
        <v>100</v>
      </c>
      <c r="X23" s="1355"/>
      <c r="Y23" s="3895"/>
      <c r="Z23" s="1356" t="str">
        <f>Q23</f>
        <v>自然及人文环境</v>
      </c>
      <c r="AA23" s="1353">
        <f t="shared" si="3"/>
        <v>1</v>
      </c>
      <c r="AB23" s="1353">
        <f t="shared" si="4"/>
        <v>1</v>
      </c>
      <c r="AC23" s="1353">
        <f t="shared" si="5"/>
        <v>1</v>
      </c>
    </row>
    <row r="24" spans="1:29" ht="15">
      <c r="A24" s="379"/>
      <c r="B24" s="407"/>
      <c r="C24" s="398" t="s">
        <v>3495</v>
      </c>
      <c r="D24" s="399"/>
      <c r="E24" s="1898" t="s">
        <v>3495</v>
      </c>
      <c r="F24" s="400"/>
      <c r="G24" s="1898" t="s">
        <v>3495</v>
      </c>
      <c r="H24" s="399"/>
      <c r="I24" s="1898" t="s">
        <v>3495</v>
      </c>
      <c r="J24" s="399"/>
      <c r="K24" s="564"/>
      <c r="L24" s="2719"/>
      <c r="M24" s="2713"/>
      <c r="N24" s="2713"/>
      <c r="O24" s="2713"/>
      <c r="P24" s="3893"/>
      <c r="Q24" s="1352"/>
      <c r="R24" s="705"/>
      <c r="S24" s="706"/>
      <c r="T24" s="705"/>
      <c r="U24" s="706"/>
      <c r="V24" s="705"/>
      <c r="W24" s="706"/>
      <c r="X24" s="1355"/>
      <c r="Y24" s="3895"/>
      <c r="Z24" s="1356"/>
      <c r="AA24" s="1353">
        <v>1</v>
      </c>
      <c r="AB24" s="1353">
        <v>1</v>
      </c>
      <c r="AC24" s="1353">
        <v>1</v>
      </c>
    </row>
    <row r="25" spans="1:29" ht="15">
      <c r="A25" s="379"/>
      <c r="B25" s="375" t="s">
        <v>1778</v>
      </c>
      <c r="C25" s="565" t="s">
        <v>4068</v>
      </c>
      <c r="D25" s="386">
        <v>100</v>
      </c>
      <c r="E25" s="565" t="s">
        <v>4068</v>
      </c>
      <c r="F25" s="412">
        <f>SUMIF(86:86,E25,87:87)-SUMIF(86:86,C25,87:87)+100</f>
        <v>100</v>
      </c>
      <c r="G25" s="565" t="s">
        <v>4070</v>
      </c>
      <c r="H25" s="386">
        <f>SUMIF(86:86,G25,87:87)-SUMIF(86:86,C25,87:87)+100</f>
        <v>85</v>
      </c>
      <c r="I25" s="565" t="s">
        <v>4070</v>
      </c>
      <c r="J25" s="386">
        <f>SUMIF(86:86,I25,87:87)-SUMIF(86:86,C25,87:87)+100</f>
        <v>85</v>
      </c>
      <c r="K25" s="561">
        <v>15</v>
      </c>
      <c r="L25" s="2719"/>
      <c r="M25" s="2713"/>
      <c r="N25" s="2713"/>
      <c r="O25" s="2713"/>
      <c r="P25" s="3893"/>
      <c r="Q25" s="1352" t="str">
        <f t="shared" ref="Q25:Q46" si="11">B25</f>
        <v>临街状况</v>
      </c>
      <c r="R25" s="705" t="s">
        <v>14</v>
      </c>
      <c r="S25" s="706">
        <f>F25</f>
        <v>100</v>
      </c>
      <c r="T25" s="705" t="s">
        <v>14</v>
      </c>
      <c r="U25" s="706">
        <f>H25</f>
        <v>85</v>
      </c>
      <c r="V25" s="705" t="s">
        <v>14</v>
      </c>
      <c r="W25" s="706">
        <f>J25</f>
        <v>85</v>
      </c>
      <c r="X25" s="1355"/>
      <c r="Y25" s="3895"/>
      <c r="Z25" s="1356" t="str">
        <f>Q25</f>
        <v>临街状况</v>
      </c>
      <c r="AA25" s="1353">
        <f t="shared" si="3"/>
        <v>1</v>
      </c>
      <c r="AB25" s="1353">
        <f t="shared" si="4"/>
        <v>1.1764705882352942</v>
      </c>
      <c r="AC25" s="1353">
        <f t="shared" si="5"/>
        <v>1.1764705882352942</v>
      </c>
    </row>
    <row r="26" spans="1:29" ht="15">
      <c r="A26" s="379"/>
      <c r="B26" s="1133" t="s">
        <v>1779</v>
      </c>
      <c r="C26" s="3537" t="s">
        <v>3550</v>
      </c>
      <c r="D26" s="386">
        <v>100</v>
      </c>
      <c r="E26" s="385" t="s">
        <v>3496</v>
      </c>
      <c r="F26" s="412">
        <f>SUMIF(88:88,E26,89:89)-SUMIF(88:88,C26,89:89)+100</f>
        <v>100</v>
      </c>
      <c r="G26" s="385" t="s">
        <v>3496</v>
      </c>
      <c r="H26" s="386">
        <f>SUMIF(88:88,G26,89:89)-SUMIF(88:88,C26,89:89)+100</f>
        <v>100</v>
      </c>
      <c r="I26" s="385" t="s">
        <v>3496</v>
      </c>
      <c r="J26" s="386">
        <f>SUMIF(88:88,I26,89:89)-SUMIF(88:88,C26,89:89)+100</f>
        <v>100</v>
      </c>
      <c r="K26" s="562"/>
      <c r="L26" s="2719"/>
      <c r="M26" s="2713"/>
      <c r="N26" s="2713"/>
      <c r="O26" s="2713"/>
      <c r="P26" s="3893"/>
      <c r="Q26" s="1352" t="str">
        <f t="shared" si="11"/>
        <v>平面位置/可视性</v>
      </c>
      <c r="R26" s="705" t="s">
        <v>14</v>
      </c>
      <c r="S26" s="706">
        <f>F26</f>
        <v>100</v>
      </c>
      <c r="T26" s="705" t="s">
        <v>14</v>
      </c>
      <c r="U26" s="706">
        <f>H26</f>
        <v>100</v>
      </c>
      <c r="V26" s="705" t="s">
        <v>14</v>
      </c>
      <c r="W26" s="706">
        <f>J26</f>
        <v>100</v>
      </c>
      <c r="X26" s="1355"/>
      <c r="Y26" s="3895"/>
      <c r="Z26" s="1356" t="str">
        <f>Q26</f>
        <v>平面位置/可视性</v>
      </c>
      <c r="AA26" s="1353">
        <f t="shared" si="3"/>
        <v>1</v>
      </c>
      <c r="AB26" s="1353">
        <f t="shared" si="4"/>
        <v>1</v>
      </c>
      <c r="AC26" s="1353">
        <f t="shared" si="5"/>
        <v>1</v>
      </c>
    </row>
    <row r="27" spans="1:29" s="108" customFormat="1" ht="15">
      <c r="A27" s="382"/>
      <c r="B27" s="402" t="s">
        <v>1780</v>
      </c>
      <c r="C27" s="1956" t="s">
        <v>3522</v>
      </c>
      <c r="D27" s="413">
        <v>100</v>
      </c>
      <c r="E27" s="1956" t="s">
        <v>3495</v>
      </c>
      <c r="F27" s="415">
        <f>SUMIF(90:90,E27,91:91)-SUMIF(90:90,C27,91:91)+100</f>
        <v>102</v>
      </c>
      <c r="G27" s="1956" t="s">
        <v>3495</v>
      </c>
      <c r="H27" s="413">
        <f>SUMIF(90:90,G27,91:91)-SUMIF(90:90,C27,91:91)+100</f>
        <v>102</v>
      </c>
      <c r="I27" s="1956" t="s">
        <v>3495</v>
      </c>
      <c r="J27" s="413">
        <f>SUMIF(90:90,I27,91:91)-SUMIF(90:90,C27,91:91)+100</f>
        <v>102</v>
      </c>
      <c r="K27" s="561">
        <v>2</v>
      </c>
      <c r="L27" s="2714"/>
      <c r="M27" s="2715"/>
      <c r="N27" s="2715"/>
      <c r="O27" s="2715"/>
      <c r="P27" s="3893"/>
      <c r="Q27" s="1343" t="str">
        <f t="shared" si="11"/>
        <v>人流量</v>
      </c>
      <c r="R27" s="701" t="s">
        <v>14</v>
      </c>
      <c r="S27" s="702">
        <f>F27</f>
        <v>102</v>
      </c>
      <c r="T27" s="701" t="s">
        <v>14</v>
      </c>
      <c r="U27" s="702">
        <f>H27</f>
        <v>102</v>
      </c>
      <c r="V27" s="701" t="s">
        <v>14</v>
      </c>
      <c r="W27" s="702">
        <f>J27</f>
        <v>102</v>
      </c>
      <c r="X27" s="703"/>
      <c r="Y27" s="3895"/>
      <c r="Z27" s="52" t="str">
        <f>Q27</f>
        <v>人流量</v>
      </c>
      <c r="AA27" s="1353">
        <f>D27/F27</f>
        <v>0.98039215686274506</v>
      </c>
      <c r="AB27" s="1353">
        <f>D27/H27</f>
        <v>0.98039215686274506</v>
      </c>
      <c r="AC27" s="1353">
        <f>D27/J27</f>
        <v>0.98039215686274506</v>
      </c>
    </row>
    <row r="28" spans="1:29" ht="15.75" thickBot="1">
      <c r="A28" s="379"/>
      <c r="B28" s="375" t="s">
        <v>1781</v>
      </c>
      <c r="C28" s="565" t="s">
        <v>3497</v>
      </c>
      <c r="D28" s="386">
        <v>100</v>
      </c>
      <c r="E28" s="565" t="s">
        <v>3497</v>
      </c>
      <c r="F28" s="412">
        <f>SUMIF(92:92,E28,93:93)-SUMIF(92:92,C28,93:93)+100</f>
        <v>100</v>
      </c>
      <c r="G28" s="565" t="s">
        <v>3497</v>
      </c>
      <c r="H28" s="386">
        <f>SUMIF(92:92,G28,93:93)-SUMIF(92:92,C28,93:93)+100</f>
        <v>100</v>
      </c>
      <c r="I28" s="565" t="s">
        <v>3497</v>
      </c>
      <c r="J28" s="386">
        <f>SUMIF(92:92,I28,93:93)-SUMIF(92:92,C28,93:93)+100</f>
        <v>100</v>
      </c>
      <c r="K28" s="562"/>
      <c r="L28" s="2719"/>
      <c r="M28" s="2713"/>
      <c r="N28" s="2713"/>
      <c r="O28" s="2713"/>
      <c r="P28" s="38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95"/>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93"/>
      <c r="Q29" s="1352">
        <f t="shared" si="11"/>
        <v>111</v>
      </c>
      <c r="R29" s="705" t="s">
        <v>14</v>
      </c>
      <c r="S29" s="706">
        <f t="shared" si="12"/>
        <v>100</v>
      </c>
      <c r="T29" s="705" t="s">
        <v>14</v>
      </c>
      <c r="U29" s="706">
        <f t="shared" si="13"/>
        <v>100</v>
      </c>
      <c r="V29" s="705" t="s">
        <v>14</v>
      </c>
      <c r="W29" s="706">
        <f t="shared" si="14"/>
        <v>100</v>
      </c>
      <c r="X29" s="1355"/>
      <c r="Y29" s="389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93"/>
      <c r="Q30" s="1352">
        <f t="shared" si="11"/>
        <v>111</v>
      </c>
      <c r="R30" s="705" t="s">
        <v>14</v>
      </c>
      <c r="S30" s="706">
        <f t="shared" si="12"/>
        <v>100</v>
      </c>
      <c r="T30" s="705" t="s">
        <v>14</v>
      </c>
      <c r="U30" s="706">
        <f t="shared" si="13"/>
        <v>100</v>
      </c>
      <c r="V30" s="705" t="s">
        <v>14</v>
      </c>
      <c r="W30" s="706">
        <f t="shared" si="14"/>
        <v>100</v>
      </c>
      <c r="X30" s="1355"/>
      <c r="Y30" s="3895"/>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93"/>
      <c r="Q31" s="1352">
        <f t="shared" si="11"/>
        <v>111</v>
      </c>
      <c r="R31" s="705" t="s">
        <v>14</v>
      </c>
      <c r="S31" s="706">
        <f t="shared" si="12"/>
        <v>100</v>
      </c>
      <c r="T31" s="705" t="s">
        <v>14</v>
      </c>
      <c r="U31" s="706">
        <f t="shared" si="13"/>
        <v>100</v>
      </c>
      <c r="V31" s="705" t="s">
        <v>14</v>
      </c>
      <c r="W31" s="706">
        <f t="shared" si="14"/>
        <v>100</v>
      </c>
      <c r="X31" s="1355"/>
      <c r="Y31" s="3895"/>
      <c r="Z31" s="1356">
        <f t="shared" si="15"/>
        <v>111</v>
      </c>
      <c r="AA31" s="1353">
        <f t="shared" si="3"/>
        <v>1</v>
      </c>
      <c r="AB31" s="1353">
        <f t="shared" si="4"/>
        <v>1</v>
      </c>
      <c r="AC31" s="1353">
        <f t="shared" si="5"/>
        <v>1</v>
      </c>
    </row>
    <row r="32" spans="1:29" ht="15">
      <c r="A32" s="391" t="s">
        <v>1692</v>
      </c>
      <c r="B32" s="63" t="s">
        <v>1782</v>
      </c>
      <c r="C32" s="1910" t="s">
        <v>3976</v>
      </c>
      <c r="D32" s="418">
        <v>100</v>
      </c>
      <c r="E32" s="1910" t="s">
        <v>3974</v>
      </c>
      <c r="F32" s="412">
        <f>SUMIF(100:100,E32,101:101)-SUMIF(100:100,C32,101:101)+100</f>
        <v>102</v>
      </c>
      <c r="G32" s="1910" t="s">
        <v>3974</v>
      </c>
      <c r="H32" s="386">
        <f>SUMIF(100:100,G32,101:101)-SUMIF(100:100,C32,101:101)+100</f>
        <v>102</v>
      </c>
      <c r="I32" s="1910" t="s">
        <v>3974</v>
      </c>
      <c r="J32" s="418">
        <f>SUMIF(100:100,I32,101:101)-SUMIF(100:100,C32,101:101)+100</f>
        <v>102</v>
      </c>
      <c r="K32" s="561">
        <v>2</v>
      </c>
      <c r="L32" s="2718"/>
      <c r="M32" s="2713"/>
      <c r="N32" s="2713"/>
      <c r="O32" s="2713"/>
      <c r="P32" s="3896" t="s">
        <v>1694</v>
      </c>
      <c r="Q32" s="1352" t="str">
        <f t="shared" si="11"/>
        <v>商业类型</v>
      </c>
      <c r="R32" s="705" t="s">
        <v>14</v>
      </c>
      <c r="S32" s="706">
        <f t="shared" si="12"/>
        <v>102</v>
      </c>
      <c r="T32" s="705" t="s">
        <v>14</v>
      </c>
      <c r="U32" s="706">
        <f t="shared" si="13"/>
        <v>102</v>
      </c>
      <c r="V32" s="705" t="s">
        <v>14</v>
      </c>
      <c r="W32" s="706">
        <f t="shared" si="14"/>
        <v>102</v>
      </c>
      <c r="X32" s="1355"/>
      <c r="Y32" s="3899" t="s">
        <v>1694</v>
      </c>
      <c r="Z32" s="1356" t="str">
        <f t="shared" si="15"/>
        <v>商业类型</v>
      </c>
      <c r="AA32" s="1353">
        <f t="shared" si="3"/>
        <v>0.98039215686274506</v>
      </c>
      <c r="AB32" s="1353">
        <f t="shared" si="4"/>
        <v>0.98039215686274506</v>
      </c>
      <c r="AC32" s="1353">
        <f t="shared" si="5"/>
        <v>0.98039215686274506</v>
      </c>
    </row>
    <row r="33" spans="1:29" s="422" customFormat="1" ht="15">
      <c r="A33" s="419"/>
      <c r="B33" s="375" t="s">
        <v>1695</v>
      </c>
      <c r="C33" s="420">
        <f>'数据-汇总表'!F19</f>
        <v>420</v>
      </c>
      <c r="D33" s="127">
        <v>100</v>
      </c>
      <c r="E33" s="3674">
        <f>'欧陆时尚购物中心-租赁台账'!F32</f>
        <v>487.06</v>
      </c>
      <c r="F33" s="376">
        <f>LOOKUP(E33,103:103,104:104)-LOOKUP(C33,103:103,104:104)+100</f>
        <v>100</v>
      </c>
      <c r="G33" s="3675">
        <f>合同租金!D7</f>
        <v>243.5</v>
      </c>
      <c r="H33" s="127">
        <f>LOOKUP(G33,103:103,104:104)-LOOKUP(C33,103:103,104:104)+100</f>
        <v>101</v>
      </c>
      <c r="I33" s="3675">
        <f>'欧陆时尚购物中心-租赁台账'!F20</f>
        <v>37.1</v>
      </c>
      <c r="J33" s="127">
        <f>LOOKUP(I33,103:103,104:104)-LOOKUP(C33,103:103,104:104)+100</f>
        <v>104</v>
      </c>
      <c r="K33" s="562"/>
      <c r="L33" s="2718"/>
      <c r="M33" s="2720"/>
      <c r="N33" s="2720"/>
      <c r="O33" s="2720"/>
      <c r="P33" s="3897"/>
      <c r="Q33" s="707" t="str">
        <f t="shared" si="11"/>
        <v>项目建筑规模</v>
      </c>
      <c r="R33" s="708" t="s">
        <v>14</v>
      </c>
      <c r="S33" s="709">
        <f t="shared" si="12"/>
        <v>100</v>
      </c>
      <c r="T33" s="708" t="s">
        <v>14</v>
      </c>
      <c r="U33" s="709">
        <f t="shared" si="13"/>
        <v>101</v>
      </c>
      <c r="V33" s="708" t="s">
        <v>14</v>
      </c>
      <c r="W33" s="709">
        <f t="shared" si="14"/>
        <v>104</v>
      </c>
      <c r="X33" s="710"/>
      <c r="Y33" s="3899"/>
      <c r="Z33" s="711" t="str">
        <f t="shared" si="15"/>
        <v>项目建筑规模</v>
      </c>
      <c r="AA33" s="1353">
        <f t="shared" si="3"/>
        <v>1</v>
      </c>
      <c r="AB33" s="1353">
        <f t="shared" si="4"/>
        <v>0.99009900990099009</v>
      </c>
      <c r="AC33" s="1353">
        <f t="shared" si="5"/>
        <v>0.96153846153846156</v>
      </c>
    </row>
    <row r="34" spans="1:29" ht="15">
      <c r="A34" s="423"/>
      <c r="B34" s="375" t="s">
        <v>1696</v>
      </c>
      <c r="C34" s="1912" t="s">
        <v>3499</v>
      </c>
      <c r="D34" s="386">
        <v>100</v>
      </c>
      <c r="E34" s="1912" t="s">
        <v>3499</v>
      </c>
      <c r="F34" s="412">
        <f>SUMIF(105:105,E34,106:106)-SUMIF(105:105,C34,106:106)+100</f>
        <v>100</v>
      </c>
      <c r="G34" s="1912" t="s">
        <v>3499</v>
      </c>
      <c r="H34" s="386">
        <f>SUMIF(105:105,G34,106:106)-SUMIF(105:105,C34,106:106)+100</f>
        <v>100</v>
      </c>
      <c r="I34" s="1912" t="s">
        <v>3499</v>
      </c>
      <c r="J34" s="386">
        <f>SUMIF(105:105,I34,106:106)-SUMIF(105:105,C34,106:106)+100</f>
        <v>100</v>
      </c>
      <c r="K34" s="561">
        <v>2</v>
      </c>
      <c r="L34" s="2719"/>
      <c r="M34" s="2713"/>
      <c r="N34" s="2713"/>
      <c r="O34" s="2713"/>
      <c r="P34" s="3897"/>
      <c r="Q34" s="1352" t="str">
        <f t="shared" si="11"/>
        <v>建筑结构</v>
      </c>
      <c r="R34" s="705" t="s">
        <v>14</v>
      </c>
      <c r="S34" s="706">
        <f t="shared" si="12"/>
        <v>100</v>
      </c>
      <c r="T34" s="705" t="s">
        <v>14</v>
      </c>
      <c r="U34" s="706">
        <f t="shared" si="13"/>
        <v>100</v>
      </c>
      <c r="V34" s="705" t="s">
        <v>14</v>
      </c>
      <c r="W34" s="706">
        <f t="shared" si="14"/>
        <v>100</v>
      </c>
      <c r="X34" s="1355"/>
      <c r="Y34" s="3899"/>
      <c r="Z34" s="1356" t="str">
        <f t="shared" si="15"/>
        <v>建筑结构</v>
      </c>
      <c r="AA34" s="1353">
        <f t="shared" si="3"/>
        <v>1</v>
      </c>
      <c r="AB34" s="1353">
        <f t="shared" si="4"/>
        <v>1</v>
      </c>
      <c r="AC34" s="1353">
        <f t="shared" si="5"/>
        <v>1</v>
      </c>
    </row>
    <row r="35" spans="1:29" ht="15">
      <c r="A35" s="423"/>
      <c r="B35" s="375" t="s">
        <v>1783</v>
      </c>
      <c r="C35" s="1906" t="s">
        <v>3500</v>
      </c>
      <c r="D35" s="386">
        <v>100</v>
      </c>
      <c r="E35" s="1906" t="s">
        <v>3500</v>
      </c>
      <c r="F35" s="412">
        <f>SUMIF(107:107,E35,108:108)-SUMIF(107:107,C35,108:108)+100</f>
        <v>100</v>
      </c>
      <c r="G35" s="1906" t="s">
        <v>3500</v>
      </c>
      <c r="H35" s="386">
        <f>SUMIF(107:107,G35,108:108)-SUMIF(107:107,C35,108:108)+100</f>
        <v>100</v>
      </c>
      <c r="I35" s="1906" t="s">
        <v>3500</v>
      </c>
      <c r="J35" s="386">
        <f>SUMIF(107:107,I35,108:108)-SUMIF(107:107,C35,108:108)+100</f>
        <v>100</v>
      </c>
      <c r="K35" s="561">
        <v>2</v>
      </c>
      <c r="L35" s="2719"/>
      <c r="M35" s="2713"/>
      <c r="N35" s="2713"/>
      <c r="O35" s="2713"/>
      <c r="P35" s="3897"/>
      <c r="Q35" s="1352" t="str">
        <f t="shared" si="11"/>
        <v>公共部分装修</v>
      </c>
      <c r="R35" s="705" t="s">
        <v>14</v>
      </c>
      <c r="S35" s="706">
        <f t="shared" si="12"/>
        <v>100</v>
      </c>
      <c r="T35" s="705" t="s">
        <v>14</v>
      </c>
      <c r="U35" s="706">
        <f t="shared" si="13"/>
        <v>100</v>
      </c>
      <c r="V35" s="705" t="s">
        <v>14</v>
      </c>
      <c r="W35" s="706">
        <f t="shared" si="14"/>
        <v>100</v>
      </c>
      <c r="X35" s="1355"/>
      <c r="Y35" s="3899"/>
      <c r="Z35" s="1356" t="str">
        <f t="shared" si="15"/>
        <v>公共部分装修</v>
      </c>
      <c r="AA35" s="1353">
        <f t="shared" si="3"/>
        <v>1</v>
      </c>
      <c r="AB35" s="1353">
        <f t="shared" si="4"/>
        <v>1</v>
      </c>
      <c r="AC35" s="1353">
        <f t="shared" si="5"/>
        <v>1</v>
      </c>
    </row>
    <row r="36" spans="1:29" ht="15" hidden="1">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897"/>
      <c r="Q36" s="1352" t="str">
        <f t="shared" si="11"/>
        <v>成新度</v>
      </c>
      <c r="R36" s="705" t="s">
        <v>14</v>
      </c>
      <c r="S36" s="706">
        <f t="shared" si="12"/>
        <v>100</v>
      </c>
      <c r="T36" s="705" t="s">
        <v>14</v>
      </c>
      <c r="U36" s="706">
        <f t="shared" si="13"/>
        <v>100</v>
      </c>
      <c r="V36" s="705" t="s">
        <v>14</v>
      </c>
      <c r="W36" s="706">
        <f t="shared" si="14"/>
        <v>100</v>
      </c>
      <c r="X36" s="1355"/>
      <c r="Y36" s="3899"/>
      <c r="Z36" s="1356" t="str">
        <f t="shared" si="15"/>
        <v>成新度</v>
      </c>
      <c r="AA36" s="1353">
        <f t="shared" si="3"/>
        <v>1</v>
      </c>
      <c r="AB36" s="1353">
        <f t="shared" si="4"/>
        <v>1</v>
      </c>
      <c r="AC36" s="1353">
        <f t="shared" si="5"/>
        <v>1</v>
      </c>
    </row>
    <row r="37" spans="1:29" s="108" customFormat="1" ht="15">
      <c r="A37" s="424"/>
      <c r="B37" s="375" t="s">
        <v>1785</v>
      </c>
      <c r="C37" s="1906" t="s">
        <v>3970</v>
      </c>
      <c r="D37" s="127">
        <v>100</v>
      </c>
      <c r="E37" s="1906" t="s">
        <v>3970</v>
      </c>
      <c r="F37" s="412">
        <f>SUMIF(112:112,E37,113:113)-SUMIF(112:112,C37,113:113)+100</f>
        <v>100</v>
      </c>
      <c r="G37" s="1906" t="s">
        <v>3970</v>
      </c>
      <c r="H37" s="386">
        <f>SUMIF(112:112,G37,113:113)-SUMIF(112:112,C37,113:113)+100</f>
        <v>100</v>
      </c>
      <c r="I37" s="1906" t="s">
        <v>3970</v>
      </c>
      <c r="J37" s="386">
        <f>SUMIF(112:112,I37,113:113)-SUMIF(112:112,C37,113:113)+100</f>
        <v>100</v>
      </c>
      <c r="K37" s="561">
        <v>1</v>
      </c>
      <c r="L37" s="2714"/>
      <c r="M37" s="2715"/>
      <c r="N37" s="2715"/>
      <c r="O37" s="2715"/>
      <c r="P37" s="3897"/>
      <c r="Q37" s="1343" t="str">
        <f t="shared" si="11"/>
        <v>市政基础设施</v>
      </c>
      <c r="R37" s="701" t="s">
        <v>14</v>
      </c>
      <c r="S37" s="702">
        <f t="shared" si="12"/>
        <v>100</v>
      </c>
      <c r="T37" s="701" t="s">
        <v>14</v>
      </c>
      <c r="U37" s="702">
        <f t="shared" si="13"/>
        <v>100</v>
      </c>
      <c r="V37" s="701" t="s">
        <v>14</v>
      </c>
      <c r="W37" s="702">
        <f t="shared" si="14"/>
        <v>100</v>
      </c>
      <c r="X37" s="703"/>
      <c r="Y37" s="3899"/>
      <c r="Z37" s="52" t="str">
        <f t="shared" si="15"/>
        <v>市政基础设施</v>
      </c>
      <c r="AA37" s="704">
        <f t="shared" si="3"/>
        <v>1</v>
      </c>
      <c r="AB37" s="704">
        <f t="shared" si="4"/>
        <v>1</v>
      </c>
      <c r="AC37" s="704">
        <f t="shared" si="5"/>
        <v>1</v>
      </c>
    </row>
    <row r="38" spans="1:29" ht="15" hidden="1">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97" t="s">
        <v>1694</v>
      </c>
      <c r="Q38" s="1352" t="str">
        <f t="shared" si="11"/>
        <v>业态</v>
      </c>
      <c r="R38" s="705" t="s">
        <v>14</v>
      </c>
      <c r="S38" s="706">
        <f t="shared" si="12"/>
        <v>100</v>
      </c>
      <c r="T38" s="705" t="s">
        <v>14</v>
      </c>
      <c r="U38" s="706">
        <f t="shared" si="13"/>
        <v>100</v>
      </c>
      <c r="V38" s="705" t="s">
        <v>14</v>
      </c>
      <c r="W38" s="706">
        <f t="shared" si="14"/>
        <v>100</v>
      </c>
      <c r="X38" s="1355"/>
      <c r="Y38" s="3899" t="s">
        <v>1694</v>
      </c>
      <c r="Z38" s="1356" t="str">
        <f t="shared" si="15"/>
        <v>业态</v>
      </c>
      <c r="AA38" s="1353">
        <f t="shared" si="3"/>
        <v>1</v>
      </c>
      <c r="AB38" s="1353">
        <f t="shared" si="4"/>
        <v>1</v>
      </c>
      <c r="AC38" s="1353">
        <f t="shared" si="5"/>
        <v>1</v>
      </c>
    </row>
    <row r="39" spans="1:29" ht="15">
      <c r="A39" s="423"/>
      <c r="B39" s="375" t="s">
        <v>1787</v>
      </c>
      <c r="C39" s="1906" t="s">
        <v>3501</v>
      </c>
      <c r="D39" s="386">
        <v>100</v>
      </c>
      <c r="E39" s="1906" t="s">
        <v>3501</v>
      </c>
      <c r="F39" s="412">
        <f>SUMIF(116:116,E39,117:117)-SUMIF(116:116,C39,117:117)+100</f>
        <v>100</v>
      </c>
      <c r="G39" s="1906" t="s">
        <v>3501</v>
      </c>
      <c r="H39" s="386">
        <f>SUMIF(116:116,G39,117:117)-SUMIF(116:116,C39,117:117)+100</f>
        <v>100</v>
      </c>
      <c r="I39" s="1906" t="s">
        <v>3501</v>
      </c>
      <c r="J39" s="386">
        <f>SUMIF(116:116,I39,117:117)-SUMIF(116:116,C39,117:117)+100</f>
        <v>100</v>
      </c>
      <c r="K39" s="561">
        <v>5</v>
      </c>
      <c r="L39" s="2719"/>
      <c r="M39" s="2713"/>
      <c r="N39" s="2713"/>
      <c r="O39" s="2713"/>
      <c r="P39" s="3897"/>
      <c r="Q39" s="1352" t="str">
        <f t="shared" si="11"/>
        <v>层高</v>
      </c>
      <c r="R39" s="705" t="s">
        <v>14</v>
      </c>
      <c r="S39" s="706">
        <f t="shared" si="12"/>
        <v>100</v>
      </c>
      <c r="T39" s="705" t="s">
        <v>14</v>
      </c>
      <c r="U39" s="706">
        <f t="shared" si="13"/>
        <v>100</v>
      </c>
      <c r="V39" s="705" t="s">
        <v>14</v>
      </c>
      <c r="W39" s="706">
        <f t="shared" si="14"/>
        <v>100</v>
      </c>
      <c r="X39" s="1355"/>
      <c r="Y39" s="3899"/>
      <c r="Z39" s="1356" t="str">
        <f t="shared" si="15"/>
        <v>层高</v>
      </c>
      <c r="AA39" s="1353">
        <f t="shared" si="3"/>
        <v>1</v>
      </c>
      <c r="AB39" s="1353">
        <f t="shared" si="4"/>
        <v>1</v>
      </c>
      <c r="AC39" s="1353">
        <f t="shared" si="5"/>
        <v>1</v>
      </c>
    </row>
    <row r="40" spans="1:29" ht="15" hidden="1">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97"/>
      <c r="Q40" s="1352" t="str">
        <f t="shared" si="11"/>
        <v>单套建筑面积</v>
      </c>
      <c r="R40" s="705" t="s">
        <v>14</v>
      </c>
      <c r="S40" s="706">
        <f t="shared" si="12"/>
        <v>100</v>
      </c>
      <c r="T40" s="705" t="s">
        <v>14</v>
      </c>
      <c r="U40" s="706">
        <f t="shared" si="13"/>
        <v>100</v>
      </c>
      <c r="V40" s="705" t="s">
        <v>14</v>
      </c>
      <c r="W40" s="706">
        <f t="shared" si="14"/>
        <v>100</v>
      </c>
      <c r="X40" s="1355"/>
      <c r="Y40" s="3899"/>
      <c r="Z40" s="1356" t="str">
        <f t="shared" si="15"/>
        <v>单套建筑面积</v>
      </c>
      <c r="AA40" s="1353">
        <f t="shared" si="3"/>
        <v>1</v>
      </c>
      <c r="AB40" s="1353">
        <f t="shared" si="4"/>
        <v>1</v>
      </c>
      <c r="AC40" s="1353">
        <f t="shared" si="5"/>
        <v>1</v>
      </c>
    </row>
    <row r="41" spans="1:29" s="422" customFormat="1" ht="15">
      <c r="A41" s="419"/>
      <c r="B41" s="1354" t="s">
        <v>1789</v>
      </c>
      <c r="C41" s="565" t="s">
        <v>3502</v>
      </c>
      <c r="D41" s="386">
        <v>100</v>
      </c>
      <c r="E41" s="565" t="s">
        <v>3502</v>
      </c>
      <c r="F41" s="412">
        <f>SUMIF(120:120,E41,121:121)-SUMIF(120:120,C41,121:121)+100</f>
        <v>100</v>
      </c>
      <c r="G41" s="565" t="s">
        <v>3502</v>
      </c>
      <c r="H41" s="386">
        <f>SUMIF(120:120,G41,121:121)-SUMIF(120:120,C41,121:121)+100</f>
        <v>100</v>
      </c>
      <c r="I41" s="565" t="s">
        <v>3502</v>
      </c>
      <c r="J41" s="386">
        <f>SUMIF(120:120,I41,121:121)-SUMIF(120:120,C41,121:121)+100</f>
        <v>100</v>
      </c>
      <c r="K41" s="561">
        <v>2</v>
      </c>
      <c r="L41" s="2718"/>
      <c r="M41" s="2720"/>
      <c r="N41" s="2720"/>
      <c r="O41" s="2720"/>
      <c r="P41" s="3897"/>
      <c r="Q41" s="707" t="str">
        <f t="shared" si="11"/>
        <v>进深比</v>
      </c>
      <c r="R41" s="708" t="s">
        <v>14</v>
      </c>
      <c r="S41" s="709">
        <f t="shared" si="12"/>
        <v>100</v>
      </c>
      <c r="T41" s="708" t="s">
        <v>14</v>
      </c>
      <c r="U41" s="709">
        <f t="shared" si="13"/>
        <v>100</v>
      </c>
      <c r="V41" s="708" t="s">
        <v>14</v>
      </c>
      <c r="W41" s="709">
        <f t="shared" si="14"/>
        <v>100</v>
      </c>
      <c r="X41" s="710"/>
      <c r="Y41" s="3899"/>
      <c r="Z41" s="711" t="str">
        <f t="shared" si="15"/>
        <v>进深比</v>
      </c>
      <c r="AA41" s="1353">
        <f t="shared" si="3"/>
        <v>1</v>
      </c>
      <c r="AB41" s="1353">
        <f t="shared" si="4"/>
        <v>1</v>
      </c>
      <c r="AC41" s="1353">
        <f t="shared" si="5"/>
        <v>1</v>
      </c>
    </row>
    <row r="42" spans="1:29" ht="15">
      <c r="A42" s="423"/>
      <c r="B42" s="375" t="s">
        <v>1790</v>
      </c>
      <c r="C42" s="1906" t="s">
        <v>3574</v>
      </c>
      <c r="D42" s="386">
        <v>100</v>
      </c>
      <c r="E42" s="1906" t="s">
        <v>3574</v>
      </c>
      <c r="F42" s="412">
        <f>SUMIF(122:122,E42,123:123)-SUMIF(122:122,C42,123:123)+100</f>
        <v>100</v>
      </c>
      <c r="G42" s="1906" t="s">
        <v>3574</v>
      </c>
      <c r="H42" s="386">
        <f>SUMIF(122:122,G42,123:123)-SUMIF(122:122,C42,123:123)+100</f>
        <v>100</v>
      </c>
      <c r="I42" s="1906" t="s">
        <v>3574</v>
      </c>
      <c r="J42" s="386">
        <f>SUMIF(122:122,I42,123:123)-SUMIF(122:122,C42,123:123)+100</f>
        <v>100</v>
      </c>
      <c r="K42" s="561">
        <v>2</v>
      </c>
      <c r="L42" s="2719"/>
      <c r="M42" s="2713"/>
      <c r="N42" s="2713"/>
      <c r="O42" s="2713"/>
      <c r="P42" s="3897"/>
      <c r="Q42" s="1352" t="str">
        <f t="shared" si="11"/>
        <v>内部装修</v>
      </c>
      <c r="R42" s="705" t="s">
        <v>14</v>
      </c>
      <c r="S42" s="706">
        <f t="shared" si="12"/>
        <v>100</v>
      </c>
      <c r="T42" s="705" t="s">
        <v>14</v>
      </c>
      <c r="U42" s="706">
        <f t="shared" si="13"/>
        <v>100</v>
      </c>
      <c r="V42" s="705" t="s">
        <v>14</v>
      </c>
      <c r="W42" s="706">
        <f t="shared" si="14"/>
        <v>100</v>
      </c>
      <c r="X42" s="1355"/>
      <c r="Y42" s="3899"/>
      <c r="Z42" s="1356" t="str">
        <f t="shared" si="15"/>
        <v>内部装修</v>
      </c>
      <c r="AA42" s="1353">
        <f t="shared" si="3"/>
        <v>1</v>
      </c>
      <c r="AB42" s="1353">
        <f t="shared" si="4"/>
        <v>1</v>
      </c>
      <c r="AC42" s="1353">
        <f t="shared" si="5"/>
        <v>1</v>
      </c>
    </row>
    <row r="43" spans="1:29" ht="15">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19"/>
      <c r="M43" s="2713"/>
      <c r="N43" s="2713"/>
      <c r="O43" s="2713"/>
      <c r="P43" s="3897"/>
      <c r="Q43" s="1352" t="str">
        <f t="shared" si="11"/>
        <v>内部装修维护情况</v>
      </c>
      <c r="R43" s="705" t="s">
        <v>14</v>
      </c>
      <c r="S43" s="706">
        <f t="shared" si="12"/>
        <v>100</v>
      </c>
      <c r="T43" s="705" t="s">
        <v>14</v>
      </c>
      <c r="U43" s="706">
        <f t="shared" si="13"/>
        <v>100</v>
      </c>
      <c r="V43" s="705" t="s">
        <v>14</v>
      </c>
      <c r="W43" s="706">
        <f t="shared" si="14"/>
        <v>100</v>
      </c>
      <c r="X43" s="1355"/>
      <c r="Y43" s="3899"/>
      <c r="Z43" s="1356" t="str">
        <f t="shared" si="15"/>
        <v>内部装修维护情况</v>
      </c>
      <c r="AA43" s="1353">
        <f t="shared" si="3"/>
        <v>1</v>
      </c>
      <c r="AB43" s="1353">
        <f t="shared" si="4"/>
        <v>1</v>
      </c>
      <c r="AC43" s="1353">
        <f t="shared" si="5"/>
        <v>1</v>
      </c>
    </row>
    <row r="44" spans="1:29" s="108" customFormat="1" ht="15">
      <c r="A44" s="424"/>
      <c r="B44" s="3552" t="s">
        <v>3569</v>
      </c>
      <c r="C44" s="3553" t="s">
        <v>3570</v>
      </c>
      <c r="D44" s="127">
        <v>100</v>
      </c>
      <c r="E44" s="3553" t="s">
        <v>3570</v>
      </c>
      <c r="F44" s="376">
        <f>SUMIF(126:126,E44,127:127)-SUMIF(126:126,C44,127:127)+100</f>
        <v>100</v>
      </c>
      <c r="G44" s="3537" t="s">
        <v>3978</v>
      </c>
      <c r="H44" s="127">
        <f>SUMIF(126:126,G44,127:127)-SUMIF(126:126,C44,127:127)+100</f>
        <v>100</v>
      </c>
      <c r="I44" s="3537" t="s">
        <v>3978</v>
      </c>
      <c r="J44" s="127">
        <f>SUMIF(126:126,I44,127:127)-SUMIF(126:126,C44,127:127)+100</f>
        <v>100</v>
      </c>
      <c r="K44" s="562"/>
      <c r="L44" s="2714"/>
      <c r="M44" s="2715"/>
      <c r="N44" s="2715"/>
      <c r="O44" s="2715"/>
      <c r="P44" s="3897"/>
      <c r="Q44" s="1343" t="str">
        <f t="shared" si="11"/>
        <v>经营类型</v>
      </c>
      <c r="R44" s="701" t="s">
        <v>14</v>
      </c>
      <c r="S44" s="702">
        <f t="shared" si="12"/>
        <v>100</v>
      </c>
      <c r="T44" s="701" t="s">
        <v>14</v>
      </c>
      <c r="U44" s="702">
        <f t="shared" si="13"/>
        <v>100</v>
      </c>
      <c r="V44" s="701" t="s">
        <v>14</v>
      </c>
      <c r="W44" s="702">
        <f t="shared" si="14"/>
        <v>100</v>
      </c>
      <c r="X44" s="703"/>
      <c r="Y44" s="3899"/>
      <c r="Z44" s="52" t="str">
        <f t="shared" si="15"/>
        <v>经营类型</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97"/>
      <c r="Q45" s="1352">
        <f t="shared" si="11"/>
        <v>111</v>
      </c>
      <c r="R45" s="705" t="s">
        <v>14</v>
      </c>
      <c r="S45" s="706">
        <f t="shared" si="12"/>
        <v>100</v>
      </c>
      <c r="T45" s="705" t="s">
        <v>14</v>
      </c>
      <c r="U45" s="706">
        <f t="shared" si="13"/>
        <v>100</v>
      </c>
      <c r="V45" s="705" t="s">
        <v>14</v>
      </c>
      <c r="W45" s="706">
        <f t="shared" si="14"/>
        <v>100</v>
      </c>
      <c r="X45" s="1355"/>
      <c r="Y45" s="389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98"/>
      <c r="Q46" s="1352">
        <f t="shared" si="11"/>
        <v>111</v>
      </c>
      <c r="R46" s="705" t="s">
        <v>14</v>
      </c>
      <c r="S46" s="706">
        <f t="shared" si="12"/>
        <v>100</v>
      </c>
      <c r="T46" s="705" t="s">
        <v>14</v>
      </c>
      <c r="U46" s="706">
        <f t="shared" si="13"/>
        <v>100</v>
      </c>
      <c r="V46" s="705" t="s">
        <v>14</v>
      </c>
      <c r="W46" s="706">
        <f t="shared" si="14"/>
        <v>100</v>
      </c>
      <c r="X46" s="1355"/>
      <c r="Y46" s="3900"/>
      <c r="Z46" s="1356">
        <f t="shared" si="15"/>
        <v>111</v>
      </c>
      <c r="AA46" s="1353">
        <f t="shared" si="3"/>
        <v>1</v>
      </c>
      <c r="AB46" s="1353">
        <f t="shared" si="4"/>
        <v>1</v>
      </c>
      <c r="AC46" s="1353">
        <f t="shared" si="5"/>
        <v>1</v>
      </c>
    </row>
    <row r="47" spans="1:29" ht="15">
      <c r="A47" s="430" t="s">
        <v>1706</v>
      </c>
      <c r="B47" s="431"/>
      <c r="C47" s="1154" t="s">
        <v>0</v>
      </c>
      <c r="D47" s="1155"/>
      <c r="E47" s="3676">
        <f>'欧陆时尚购物中心-租赁台账'!J32</f>
        <v>21.25</v>
      </c>
      <c r="F47" s="1157"/>
      <c r="G47" s="3677">
        <f>合同租金!E7</f>
        <v>16.420000000000002</v>
      </c>
      <c r="H47" s="1159"/>
      <c r="I47" s="3676">
        <f>'欧陆时尚购物中心-租赁台账'!J20</f>
        <v>17.5</v>
      </c>
      <c r="J47" s="1159"/>
      <c r="K47" s="714"/>
      <c r="L47" s="2721"/>
      <c r="M47" s="2722"/>
      <c r="N47" s="2713"/>
      <c r="O47" s="2722"/>
      <c r="P47" s="3887" t="str">
        <f>A47</f>
        <v>成交单价（元/平方米）</v>
      </c>
      <c r="Q47" s="3887"/>
      <c r="R47" s="3901">
        <f>E47</f>
        <v>21.25</v>
      </c>
      <c r="S47" s="3901"/>
      <c r="T47" s="3901">
        <f>G47</f>
        <v>16.420000000000002</v>
      </c>
      <c r="U47" s="3901"/>
      <c r="V47" s="3901">
        <f>I47</f>
        <v>17.5</v>
      </c>
      <c r="W47" s="3901"/>
      <c r="X47" s="690"/>
      <c r="Y47" s="712"/>
      <c r="Z47" s="690"/>
      <c r="AA47" s="690"/>
      <c r="AB47" s="690"/>
      <c r="AC47" s="690"/>
    </row>
    <row r="48" spans="1:29" ht="15.75" thickBot="1">
      <c r="A48" s="437" t="s">
        <v>1791</v>
      </c>
      <c r="B48" s="438"/>
      <c r="C48" s="1160">
        <f>R49</f>
        <v>19.3</v>
      </c>
      <c r="D48" s="2317" t="s">
        <v>2136</v>
      </c>
      <c r="E48" s="1161">
        <f>R48</f>
        <v>20.399999999999999</v>
      </c>
      <c r="F48" s="2318"/>
      <c r="G48" s="1160">
        <f>T48</f>
        <v>18.399999999999999</v>
      </c>
      <c r="H48" s="2318"/>
      <c r="I48" s="1161">
        <f>V48</f>
        <v>19</v>
      </c>
      <c r="J48" s="2318"/>
      <c r="K48" s="2320">
        <f>F48+H48+J48</f>
        <v>0</v>
      </c>
      <c r="L48" s="2721"/>
      <c r="M48" s="2722"/>
      <c r="N48" s="2713"/>
      <c r="O48" s="2722"/>
      <c r="P48" s="3887" t="str">
        <f>A48</f>
        <v>比较价值（元/平方米）</v>
      </c>
      <c r="Q48" s="3887"/>
      <c r="R48" s="3888">
        <f>IF(F1="售价",ROUND(PRODUCT(R47,AA7:AA46),0),ROUND(PRODUCT(R47,AA7:AA46),1))</f>
        <v>20.399999999999999</v>
      </c>
      <c r="S48" s="3888"/>
      <c r="T48" s="3888">
        <f>IF(F1="售价",ROUND(PRODUCT(T47,AB7:AB46),0),ROUND(PRODUCT(T47,AB7:AB46),1))</f>
        <v>18.399999999999999</v>
      </c>
      <c r="U48" s="3888"/>
      <c r="V48" s="3888">
        <f>IF(F1="售价",ROUND(PRODUCT(V47,AC7:AC46),0),ROUND(PRODUCT(V47,AC7:AC46),1))</f>
        <v>19</v>
      </c>
      <c r="W48" s="3888"/>
      <c r="X48" s="690"/>
      <c r="Y48" s="690"/>
      <c r="Z48" s="690"/>
      <c r="AA48" s="690"/>
      <c r="AB48" s="690"/>
      <c r="AC48" s="690"/>
    </row>
    <row r="49" spans="1:29" ht="15.75" thickBot="1">
      <c r="A49" s="441" t="s">
        <v>1792</v>
      </c>
      <c r="B49" s="442"/>
      <c r="C49" s="1163">
        <f>R49</f>
        <v>19.3</v>
      </c>
      <c r="D49" s="1163"/>
      <c r="E49" s="1163"/>
      <c r="F49" s="1163"/>
      <c r="G49" s="1163"/>
      <c r="H49" s="1163"/>
      <c r="I49" s="1163"/>
      <c r="J49" s="1163"/>
      <c r="K49" s="715"/>
      <c r="L49" s="2721"/>
      <c r="M49" s="2722"/>
      <c r="N49" s="2713"/>
      <c r="O49" s="2722"/>
      <c r="P49" s="3889" t="str">
        <f>A49</f>
        <v>估价对象XX用房的比较价值（楼面单价，元/平方米）</v>
      </c>
      <c r="Q49" s="3890"/>
      <c r="R49" s="3891">
        <f>IF(F1="售价",ROUND(IF(D48="简单平均",AVERAGE(R48:V48),R48*F48+T48*H48+V48*J48),0),ROUND(IF(D48="简单平均",AVERAGE(R48:V48),R48*F48+T48*H48+V48*J48),1))</f>
        <v>19.3</v>
      </c>
      <c r="S49" s="3891"/>
      <c r="T49" s="3891"/>
      <c r="U49" s="3891"/>
      <c r="V49" s="3891"/>
      <c r="W49" s="3891"/>
      <c r="X49" s="690"/>
      <c r="Y49" s="690"/>
      <c r="Z49" s="690"/>
      <c r="AA49" s="690"/>
      <c r="AB49" s="690"/>
      <c r="AC49" s="690"/>
    </row>
    <row r="50" spans="1:29">
      <c r="A50" s="2722"/>
      <c r="B50" s="2722"/>
      <c r="C50" s="2722">
        <f>ROUND(C49*334/420,2)</f>
        <v>15.35</v>
      </c>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4.1666666666666741E-2</v>
      </c>
      <c r="F52" s="449" t="str">
        <f>IF(OR(E52&gt;=0.3,E52&lt;=-0.3),"超过30%","")</f>
        <v/>
      </c>
      <c r="G52" s="448">
        <f>IF(G47&lt;G48,G48/G47-1,G47/G48-1)</f>
        <v>0.12058465286236286</v>
      </c>
      <c r="H52" s="449" t="str">
        <f>IF(OR(G52&gt;=0.3,G52&lt;=-0.3),"超过30%","")</f>
        <v/>
      </c>
      <c r="I52" s="448">
        <f>IF(I47&lt;I48,I48/I47-1,I47/I48-1)</f>
        <v>8.5714285714285632E-2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f>IF(E48&lt;G48,G48/E48-1,E48/G48-1)</f>
        <v>0.10869565217391308</v>
      </c>
      <c r="F53" s="449" t="str">
        <f>IF(OR(E53&gt;=0.2,E53&lt;=-0.2),"超过20%","")</f>
        <v/>
      </c>
      <c r="G53" s="448">
        <f>IF(G48&lt;I48,I48/G48-1,G48/I48-1)</f>
        <v>3.2608695652174058E-2</v>
      </c>
      <c r="H53" s="449" t="str">
        <f>IF(OR(G53&gt;=0.2,G53&lt;=-0.2),"超过20%","")</f>
        <v/>
      </c>
      <c r="I53" s="448">
        <f>IF(I48&lt;E48,E48/I48-1,I48/E48-1)</f>
        <v>7.3684210526315796E-2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f>IF(E47&lt;G47,G47/E47-1,E47/G47-1)</f>
        <v>0.29415347137637005</v>
      </c>
      <c r="F54" s="449" t="str">
        <f>IF(OR(E54&gt;=0.3,E54&lt;=-0.3),"超过30%","")</f>
        <v/>
      </c>
      <c r="G54" s="448">
        <f>IF(G47&lt;I47,I47/G47-1,G47/I47-1)</f>
        <v>6.5773447015834208E-2</v>
      </c>
      <c r="H54" s="449" t="str">
        <f>IF(OR(G54&gt;=0.3,G54&lt;=-0.3),"超过30%","")</f>
        <v/>
      </c>
      <c r="I54" s="448">
        <f>IF(I47&lt;E47,E47/I47-1,I47/E47-1)</f>
        <v>0.21428571428571419</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3531" t="s">
        <v>3527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3532" t="s">
        <v>4069</v>
      </c>
      <c r="D86" s="3532" t="s">
        <v>4071</v>
      </c>
      <c r="E86" s="3532" t="s">
        <v>3530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85</v>
      </c>
      <c r="E87" s="493">
        <f t="shared" si="20"/>
        <v>70</v>
      </c>
      <c r="F87" s="493">
        <f t="shared" si="20"/>
        <v>55</v>
      </c>
      <c r="G87" s="493">
        <f t="shared" si="20"/>
        <v>40</v>
      </c>
      <c r="H87" s="493">
        <f t="shared" si="20"/>
        <v>25</v>
      </c>
      <c r="I87" s="493">
        <f t="shared" si="20"/>
        <v>10</v>
      </c>
      <c r="J87" s="493">
        <f t="shared" si="20"/>
        <v>-5</v>
      </c>
      <c r="K87" s="493">
        <f t="shared" si="20"/>
        <v>-20</v>
      </c>
      <c r="L87" s="493">
        <f t="shared" si="20"/>
        <v>-35</v>
      </c>
      <c r="M87" s="493">
        <f t="shared" si="20"/>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3531</v>
      </c>
      <c r="D88" s="503" t="s">
        <v>3532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3523</v>
      </c>
      <c r="D90" s="503" t="s">
        <v>3495</v>
      </c>
      <c r="E90" s="503" t="s">
        <v>3522</v>
      </c>
      <c r="F90" s="503" t="s">
        <v>3533</v>
      </c>
      <c r="G90" s="503" t="s">
        <v>3526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3534</v>
      </c>
      <c r="D92" s="503" t="s">
        <v>3535</v>
      </c>
      <c r="E92" s="3533" t="s">
        <v>3536</v>
      </c>
      <c r="F92" s="3532" t="s">
        <v>3537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3533" t="s">
        <v>3975</v>
      </c>
      <c r="D100" s="3534" t="s">
        <v>3977</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532" t="s">
        <v>3540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3532" t="s">
        <v>3541</v>
      </c>
      <c r="D107" s="3532" t="s">
        <v>3542</v>
      </c>
      <c r="E107" s="3532" t="s">
        <v>3543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532" t="str">
        <f>C82</f>
        <v>七通</v>
      </c>
      <c r="D112" s="3532" t="str">
        <f t="shared" ref="D112:F112" si="28">D82</f>
        <v>六通</v>
      </c>
      <c r="E112" s="3532" t="str">
        <f t="shared" si="28"/>
        <v>五通</v>
      </c>
      <c r="F112" s="3532" t="str">
        <f t="shared" si="28"/>
        <v>四通</v>
      </c>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3532" t="s">
        <v>3545</v>
      </c>
      <c r="D116" s="3532" t="s">
        <v>3546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3535" t="s">
        <v>3547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532" t="s">
        <v>3541</v>
      </c>
      <c r="D122" s="3532" t="s">
        <v>3542</v>
      </c>
      <c r="E122" s="3532" t="s">
        <v>3543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经营类型</v>
      </c>
      <c r="C126" s="3532" t="s">
        <v>3979</v>
      </c>
      <c r="D126" s="3532" t="s">
        <v>3978</v>
      </c>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3"/>
      <c r="F1" s="2803"/>
      <c r="G1" s="2668"/>
      <c r="H1" s="2803"/>
      <c r="I1" s="2803"/>
      <c r="J1" s="2803"/>
      <c r="K1" s="2804">
        <f>MATCH(C1,'数据-取费表'!A6:A16,0)+5</f>
        <v>7</v>
      </c>
    </row>
    <row r="2" spans="1:33" ht="18" customHeight="1">
      <c r="A2" s="201" t="s">
        <v>1460</v>
      </c>
      <c r="B2" s="204">
        <f ca="1">C32</f>
        <v>0</v>
      </c>
      <c r="C2" s="276" t="s">
        <v>1593</v>
      </c>
      <c r="D2" s="276"/>
      <c r="E2" s="2803"/>
      <c r="F2" s="2803"/>
      <c r="G2" s="2803"/>
      <c r="H2" s="2803"/>
      <c r="I2" s="2803"/>
      <c r="J2" s="2803"/>
      <c r="K2" s="2803"/>
    </row>
    <row r="3" spans="1:33" ht="18" customHeight="1" thickBot="1">
      <c r="A3" s="203" t="s">
        <v>1462</v>
      </c>
      <c r="B3" s="204">
        <f ca="1">ROUND(B2*10000/IF(C1="",'数据-汇总表'!E3,INDIRECT("'数据-取费表'!K"&amp;$K$1)),0)</f>
        <v>0</v>
      </c>
      <c r="C3" s="276" t="s">
        <v>1594</v>
      </c>
      <c r="D3" s="276"/>
      <c r="E3" s="2803"/>
      <c r="F3" s="2803"/>
      <c r="G3" s="2803"/>
      <c r="H3" s="2803"/>
      <c r="I3" s="2803"/>
      <c r="J3" s="2803"/>
      <c r="K3" s="2803"/>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420</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420</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-0.40000000000000036</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8</v>
      </c>
      <c r="D20" s="846">
        <f ca="1">IF(C1="",'数据-汇总表'!E6,IF(INDIRECT("'数据-取费表'!c"&amp;$K$1)="住宅",INDIRECT("'数据-取费表'!s"&amp;$K$1),INDIRECT("'数据-取费表'!k"&amp;$K$1)+INDIRECT("'数据-取费表'!s"&amp;$K$1)))</f>
        <v>420</v>
      </c>
      <c r="E20" s="21">
        <f>'数据-取费表'!B28</f>
        <v>200</v>
      </c>
      <c r="F20" s="804"/>
      <c r="G20" s="12"/>
      <c r="H20" s="809"/>
      <c r="I20" s="809"/>
      <c r="J20" s="809"/>
      <c r="K20" s="810"/>
    </row>
    <row r="21" spans="1:33" s="803" customFormat="1" ht="13.5" customHeight="1">
      <c r="A21" s="790" t="s">
        <v>357</v>
      </c>
      <c r="B21" s="813" t="s">
        <v>1626</v>
      </c>
      <c r="C21" s="814">
        <f ca="1">C16+C17+C18</f>
        <v>-0.40000000000000036</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935" t="s">
        <v>694</v>
      </c>
      <c r="C6" s="1074">
        <f ca="1">ROUND(F6*F8*F7*(1-F9)/10000,0)</f>
        <v>0</v>
      </c>
      <c r="D6" s="155" t="s">
        <v>2107</v>
      </c>
      <c r="E6" s="302" t="s">
        <v>696</v>
      </c>
      <c r="F6" s="303">
        <f ca="1">INDIRECT("'数据-取费表'!u"&amp;$G$1)</f>
        <v>0</v>
      </c>
      <c r="G6" s="1384"/>
      <c r="H6" s="1069" t="s">
        <v>398</v>
      </c>
      <c r="I6" s="3935" t="s">
        <v>694</v>
      </c>
      <c r="J6" s="301">
        <f ca="1">ROUND(M6*M8*M7*(1-M9)/10000,0)</f>
        <v>0</v>
      </c>
      <c r="K6" s="155" t="s">
        <v>2106</v>
      </c>
      <c r="L6" s="302" t="s">
        <v>696</v>
      </c>
      <c r="M6" s="303">
        <f ca="1">INDIRECT("'数据-取费表'!z"&amp;$G$1)</f>
        <v>0</v>
      </c>
    </row>
    <row r="7" spans="1:37" ht="18" customHeight="1">
      <c r="A7" s="1073"/>
      <c r="B7" s="3936"/>
      <c r="C7" s="1075"/>
      <c r="D7" s="307"/>
      <c r="E7" s="1076" t="s">
        <v>697</v>
      </c>
      <c r="F7" s="303">
        <f ca="1">IF(INDIRECT("'数据-取费表'!ah"&amp;$G$1)="",INDIRECT("'数据-取费表'!k"&amp;$G$1),INDIRECT("'数据-取费表'!ah"&amp;$G$1))</f>
        <v>0</v>
      </c>
      <c r="G7" s="1384"/>
      <c r="H7" s="304"/>
      <c r="I7" s="3936"/>
      <c r="J7" s="306"/>
      <c r="K7" s="307"/>
      <c r="L7" s="302" t="s">
        <v>697</v>
      </c>
      <c r="M7" s="303">
        <f ca="1">F7</f>
        <v>0</v>
      </c>
    </row>
    <row r="8" spans="1:37" ht="18" customHeight="1">
      <c r="A8" s="304"/>
      <c r="B8" s="3936"/>
      <c r="C8" s="306"/>
      <c r="D8" s="307"/>
      <c r="E8" s="302" t="s">
        <v>698</v>
      </c>
      <c r="F8" s="303">
        <f ca="1">INDIRECT("'数据-取费表'!ai"&amp;$G$1)</f>
        <v>0</v>
      </c>
      <c r="G8" s="1384"/>
      <c r="H8" s="304"/>
      <c r="I8" s="3936"/>
      <c r="J8" s="306"/>
      <c r="K8" s="307"/>
      <c r="L8" s="302" t="s">
        <v>698</v>
      </c>
      <c r="M8" s="303">
        <f ca="1">INDIRECT("'数据-取费表'!ai"&amp;$G$1)</f>
        <v>0</v>
      </c>
    </row>
    <row r="9" spans="1:37" ht="18" customHeight="1">
      <c r="A9" s="304"/>
      <c r="B9" s="3937"/>
      <c r="C9" s="306"/>
      <c r="D9" s="307"/>
      <c r="E9" s="302" t="s">
        <v>699</v>
      </c>
      <c r="F9" s="312">
        <f ca="1">INDIRECT("'数据-取费表'!w"&amp;$G$1)</f>
        <v>0</v>
      </c>
      <c r="G9" s="1384"/>
      <c r="H9" s="304"/>
      <c r="I9" s="39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2301</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933" t="s">
        <v>837</v>
      </c>
      <c r="L53" s="393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3497</v>
      </c>
      <c r="D1" s="1362" t="s">
        <v>43</v>
      </c>
      <c r="E1" s="1363" t="s">
        <v>678</v>
      </c>
      <c r="F1" s="1062">
        <f ca="1">J53</f>
        <v>19.46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2286.8373999999999</v>
      </c>
      <c r="C2" s="1387" t="s">
        <v>879</v>
      </c>
      <c r="D2" s="1471">
        <f ca="1">C40+J29+L46</f>
        <v>22868374</v>
      </c>
      <c r="E2" s="1388" t="s">
        <v>880</v>
      </c>
      <c r="F2" s="1389"/>
      <c r="G2" s="2703"/>
      <c r="H2" s="2692"/>
      <c r="I2" s="2692"/>
      <c r="J2" s="2692"/>
      <c r="K2" s="2693"/>
      <c r="L2" s="2692"/>
      <c r="M2" s="2692"/>
    </row>
    <row r="3" spans="1:37" ht="18" customHeight="1" thickBot="1">
      <c r="A3" s="1390" t="s">
        <v>881</v>
      </c>
      <c r="B3" s="1391">
        <f ca="1">IF(ISERROR(D2/F43),0,ROUND(D2/F43,0))</f>
        <v>54449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2072137</v>
      </c>
      <c r="D5" s="1364" t="s">
        <v>889</v>
      </c>
      <c r="E5" s="1071"/>
      <c r="F5" s="1072"/>
      <c r="G5" s="1384"/>
      <c r="H5" s="299">
        <v>1</v>
      </c>
      <c r="I5" s="300" t="s">
        <v>888</v>
      </c>
      <c r="J5" s="1070">
        <f ca="1">J6+J10+J12</f>
        <v>0</v>
      </c>
      <c r="K5" s="1364" t="s">
        <v>889</v>
      </c>
      <c r="L5" s="1071"/>
      <c r="M5" s="1072"/>
    </row>
    <row r="6" spans="1:37" ht="18" customHeight="1">
      <c r="A6" s="1069" t="s">
        <v>398</v>
      </c>
      <c r="B6" s="3935" t="s">
        <v>694</v>
      </c>
      <c r="C6" s="1074">
        <f ca="1">ROUND(F6*F8*F7*(1-F9),0)</f>
        <v>2069550</v>
      </c>
      <c r="D6" s="155" t="s">
        <v>2104</v>
      </c>
      <c r="E6" s="302" t="s">
        <v>696</v>
      </c>
      <c r="F6" s="303">
        <f ca="1">INDIRECT("'数据-取费表'!u"&amp;$G$1)</f>
        <v>15</v>
      </c>
      <c r="G6" s="1384"/>
      <c r="H6" s="1069" t="s">
        <v>398</v>
      </c>
      <c r="I6" s="3935" t="s">
        <v>694</v>
      </c>
      <c r="J6" s="301">
        <f ca="1">ROUND(M6*M8*M7*(1-M9),0)</f>
        <v>0</v>
      </c>
      <c r="K6" s="1376" t="s">
        <v>2105</v>
      </c>
      <c r="L6" s="302" t="s">
        <v>696</v>
      </c>
      <c r="M6" s="303">
        <f ca="1">INDIRECT("'数据-取费表'!z"&amp;$G$1)</f>
        <v>0</v>
      </c>
    </row>
    <row r="7" spans="1:37" ht="18" customHeight="1">
      <c r="A7" s="1073"/>
      <c r="B7" s="3936"/>
      <c r="C7" s="1075"/>
      <c r="D7" s="307"/>
      <c r="E7" s="1076" t="s">
        <v>697</v>
      </c>
      <c r="F7" s="303">
        <f ca="1">IF(INDIRECT("'数据-取费表'!ah"&amp;$G$1)="",INDIRECT("'数据-取费表'!k"&amp;$G$1),INDIRECT("'数据-取费表'!ah"&amp;$G$1))</f>
        <v>420</v>
      </c>
      <c r="G7" s="1384"/>
      <c r="H7" s="304"/>
      <c r="I7" s="3936"/>
      <c r="J7" s="306"/>
      <c r="K7" s="307"/>
      <c r="L7" s="302" t="s">
        <v>697</v>
      </c>
      <c r="M7" s="303">
        <f ca="1">F7</f>
        <v>420</v>
      </c>
    </row>
    <row r="8" spans="1:37" ht="18" customHeight="1">
      <c r="A8" s="304"/>
      <c r="B8" s="3936"/>
      <c r="C8" s="306"/>
      <c r="D8" s="307"/>
      <c r="E8" s="302" t="s">
        <v>698</v>
      </c>
      <c r="F8" s="303">
        <f ca="1">INDIRECT("'数据-取费表'!ai"&amp;$G$1)</f>
        <v>365</v>
      </c>
      <c r="G8" s="1384"/>
      <c r="H8" s="304"/>
      <c r="I8" s="3936"/>
      <c r="J8" s="306"/>
      <c r="K8" s="307"/>
      <c r="L8" s="302" t="s">
        <v>698</v>
      </c>
      <c r="M8" s="303">
        <f ca="1">INDIRECT("'数据-取费表'!ai"&amp;$G$1)</f>
        <v>365</v>
      </c>
    </row>
    <row r="9" spans="1:37" ht="18" customHeight="1">
      <c r="A9" s="304"/>
      <c r="B9" s="3937"/>
      <c r="C9" s="306"/>
      <c r="D9" s="307"/>
      <c r="E9" s="302" t="s">
        <v>699</v>
      </c>
      <c r="F9" s="312">
        <f ca="1">INDIRECT("'数据-取费表'!w"&amp;$G$1)</f>
        <v>0.1</v>
      </c>
      <c r="G9" s="1384"/>
      <c r="H9" s="304"/>
      <c r="I9" s="3937"/>
      <c r="J9" s="306"/>
      <c r="K9" s="307"/>
      <c r="L9" s="313" t="s">
        <v>699</v>
      </c>
      <c r="M9" s="314">
        <f ca="1">INDIRECT("'数据-取费表'!ab"&amp;$G$1)</f>
        <v>0</v>
      </c>
    </row>
    <row r="10" spans="1:37" ht="18" customHeight="1">
      <c r="A10" s="1069" t="s">
        <v>402</v>
      </c>
      <c r="B10" s="1365" t="s">
        <v>700</v>
      </c>
      <c r="C10" s="316">
        <f ca="1">ROUND(IF(F10="押一",C6/12*F11,IF(F10="押二",C6/12*2*F11,IF(F10="押三",C6/12*3*F11,C11*F11))),0)</f>
        <v>2587</v>
      </c>
      <c r="D10" s="1366" t="s">
        <v>2114</v>
      </c>
      <c r="E10" s="313" t="s">
        <v>701</v>
      </c>
      <c r="F10" s="1116" t="s">
        <v>3562</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2641326</v>
      </c>
      <c r="D13" s="1081" t="s">
        <v>705</v>
      </c>
      <c r="E13" s="1081" t="s">
        <v>706</v>
      </c>
      <c r="F13" s="1082">
        <f ca="1">INDIRECT("'数据-取费表'!y"&amp;$G$1)</f>
        <v>0.77499999999999991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2310000</v>
      </c>
      <c r="D14" s="1345" t="s">
        <v>708</v>
      </c>
      <c r="E14" s="1342"/>
      <c r="F14" s="319"/>
      <c r="G14" s="1384"/>
      <c r="H14" s="982" t="s">
        <v>398</v>
      </c>
      <c r="I14" s="302" t="s">
        <v>709</v>
      </c>
      <c r="J14" s="21">
        <f ca="1">C29</f>
        <v>3408163</v>
      </c>
      <c r="K14" s="12"/>
      <c r="L14" s="807"/>
      <c r="M14" s="808"/>
    </row>
    <row r="15" spans="1:37" s="1397" customFormat="1" ht="18" customHeight="1" thickBot="1">
      <c r="A15" s="982" t="s">
        <v>399</v>
      </c>
      <c r="B15" s="302" t="s">
        <v>710</v>
      </c>
      <c r="C15" s="21">
        <f ca="1">ROUND(C14*F15,0)</f>
        <v>69300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34082</v>
      </c>
      <c r="K16" s="1087" t="s">
        <v>715</v>
      </c>
      <c r="L16" s="1088"/>
      <c r="M16" s="1072"/>
    </row>
    <row r="17" spans="1:37" s="1397" customFormat="1" ht="18" customHeight="1">
      <c r="A17" s="982" t="s">
        <v>681</v>
      </c>
      <c r="B17" s="302" t="s">
        <v>716</v>
      </c>
      <c r="C17" s="21">
        <f ca="1">ROUND(F17*(F43+INDIRECT("'数据-取费表'!S"&amp;$G$1)),0)</f>
        <v>84000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34650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2497950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49959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34082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87903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-34082</v>
      </c>
      <c r="K25" s="1095" t="s">
        <v>753</v>
      </c>
      <c r="L25" s="1096"/>
      <c r="M25" s="1097"/>
    </row>
    <row r="26" spans="1:37" ht="18" customHeight="1">
      <c r="A26" s="982" t="s">
        <v>397</v>
      </c>
      <c r="B26" s="302" t="s">
        <v>754</v>
      </c>
      <c r="C26" s="21">
        <f ca="1">ROUND((C19+C20)*F26,0)</f>
        <v>509582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3408163</v>
      </c>
      <c r="D29" s="1092"/>
      <c r="E29" s="1090"/>
      <c r="F29" s="1093"/>
      <c r="G29" s="1396"/>
      <c r="H29" s="334" t="s">
        <v>396</v>
      </c>
      <c r="I29" s="335" t="s">
        <v>768</v>
      </c>
      <c r="J29" s="336">
        <f ca="1">ROUND(J26/(1+F40)^F41,0)</f>
        <v>0</v>
      </c>
      <c r="K29" s="337" t="s">
        <v>769</v>
      </c>
      <c r="L29" s="338"/>
      <c r="M29" s="339">
        <f ca="1">INDIRECT("'数据-取费表'!k"&amp;$G$1)</f>
        <v>420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403690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344925</v>
      </c>
      <c r="D31" s="1345" t="s">
        <v>720</v>
      </c>
      <c r="E31" s="1344" t="s">
        <v>770</v>
      </c>
      <c r="F31" s="2315" t="str">
        <f>IF(项目基本情况!B11="企业","——",IF(M47="住宅",IF(F6*F7*F8/12/(1+'数据-取费表'!F30)&gt;100000,4%,2.5%),IF(F6*F7*F8/12/(1+'数据-取费表'!F30)&gt;100000,12%,7%)))</f>
        <v>——</v>
      </c>
      <c r="G31" s="1384"/>
      <c r="H31" s="2805" t="s">
        <v>2301</v>
      </c>
      <c r="I31" s="1398"/>
      <c r="J31" s="1399"/>
      <c r="K31" s="2472"/>
      <c r="L31" s="2695"/>
      <c r="M31" s="2696"/>
    </row>
    <row r="32" spans="1:37" ht="18" customHeight="1">
      <c r="A32" s="982" t="s">
        <v>397</v>
      </c>
      <c r="B32" s="302" t="s">
        <v>723</v>
      </c>
      <c r="C32" s="21">
        <f ca="1">IF(项目基本情况!B11="自然人","——",ROUND(C6*F32/(1+'数据-取费表'!C42),0))</f>
        <v>108405</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236520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34082</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ROUND(C13*F37,0)</f>
        <v>3962</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20721</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1668447</v>
      </c>
      <c r="D39" s="1095" t="s">
        <v>773</v>
      </c>
      <c r="E39" s="1096"/>
      <c r="F39" s="1097"/>
      <c r="G39" s="1384"/>
      <c r="H39" s="2697"/>
      <c r="I39" s="1398"/>
      <c r="J39" s="1399"/>
      <c r="K39" s="2701"/>
      <c r="L39" s="2697"/>
      <c r="M39" s="2697"/>
    </row>
    <row r="40" spans="1:18" ht="18" customHeight="1">
      <c r="A40" s="299" t="s">
        <v>395</v>
      </c>
      <c r="B40" s="300" t="s">
        <v>774</v>
      </c>
      <c r="C40" s="301">
        <f ca="1">ROUND(C39*(1-((1+F42)/(1+F40))^F41)/(F40-F42),0)</f>
        <v>22868374</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19.46</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54449</v>
      </c>
      <c r="D43" s="337" t="s">
        <v>777</v>
      </c>
      <c r="E43" s="338" t="s">
        <v>778</v>
      </c>
      <c r="F43" s="339">
        <f ca="1">INDIRECT("'数据-取费表'!k"&amp;$G$1)</f>
        <v>420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3348</v>
      </c>
      <c r="B45" s="1400"/>
      <c r="C45" s="1472">
        <f ca="1">ROUND((C68-C40)/10000,4)</f>
        <v>-2329.8416000000002</v>
      </c>
      <c r="D45" s="3429" t="s">
        <v>3349</v>
      </c>
      <c r="E45" s="1400"/>
      <c r="F45" s="1400"/>
      <c r="O45" s="1403" t="s">
        <v>808</v>
      </c>
      <c r="P45" s="1461"/>
      <c r="Q45" s="1461"/>
      <c r="R45" s="1461"/>
    </row>
    <row r="46" spans="1:18" s="1384" customFormat="1" ht="13.5" thickBot="1">
      <c r="A46" s="1404" t="s">
        <v>809</v>
      </c>
      <c r="C46" s="1405">
        <f ca="1">ROUND(C45,0)</f>
        <v>-2330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3499</v>
      </c>
      <c r="K47" s="1416" t="s">
        <v>816</v>
      </c>
      <c r="L47" s="1417">
        <f ca="1">INDIRECT("'数据-取费表'!d"&amp;$G$1)</f>
        <v>40</v>
      </c>
      <c r="M47" s="1380" t="str">
        <f>IF(ISNUMBER(FIND("住宅",C1)),"住宅","非住宅")</f>
        <v>非住宅</v>
      </c>
      <c r="O47" s="1418" t="s">
        <v>403</v>
      </c>
      <c r="P47" s="1419" t="s">
        <v>817</v>
      </c>
      <c r="Q47" s="1420">
        <f ca="1">C40+J29</f>
        <v>22868374</v>
      </c>
      <c r="R47" s="1420" t="s">
        <v>818</v>
      </c>
    </row>
    <row r="48" spans="1:18" s="1384" customFormat="1" ht="28.5" thickBot="1">
      <c r="A48" s="1110" t="s">
        <v>438</v>
      </c>
      <c r="B48" s="300" t="s">
        <v>692</v>
      </c>
      <c r="C48" s="1359">
        <f ca="1">C49+C53+C55</f>
        <v>0</v>
      </c>
      <c r="D48" s="1112"/>
      <c r="E48" s="1113"/>
      <c r="F48" s="962"/>
      <c r="G48" s="722"/>
      <c r="H48" s="723"/>
      <c r="I48" s="1421" t="s">
        <v>819</v>
      </c>
      <c r="J48" s="1422" t="s">
        <v>3563</v>
      </c>
      <c r="K48" s="1423" t="s">
        <v>820</v>
      </c>
      <c r="L48" s="1424">
        <f ca="1">INDIRECT("'数据-取费表'!f"&amp;$G$1)</f>
        <v>19.46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3408163</v>
      </c>
      <c r="R49" s="1420" t="s">
        <v>818</v>
      </c>
    </row>
    <row r="50" spans="1:18" s="1384" customFormat="1" ht="13.5" thickBot="1">
      <c r="A50" s="976"/>
      <c r="B50" s="979"/>
      <c r="C50" s="980"/>
      <c r="D50" s="953"/>
      <c r="E50" s="1056" t="s">
        <v>697</v>
      </c>
      <c r="F50" s="1057">
        <f ca="1">F7</f>
        <v>420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25698594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19.46</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19.46</v>
      </c>
      <c r="K53" s="3933" t="s">
        <v>837</v>
      </c>
      <c r="L53" s="3934"/>
      <c r="O53" s="1418" t="s">
        <v>409</v>
      </c>
      <c r="P53" s="1419" t="s">
        <v>838</v>
      </c>
      <c r="Q53" s="1420">
        <f ca="1">Q47+Q48</f>
        <v>22868374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2641326</v>
      </c>
      <c r="D56" s="1447"/>
      <c r="E56" s="1448"/>
      <c r="F56" s="1440"/>
      <c r="I56" s="1449" t="s">
        <v>842</v>
      </c>
      <c r="J56" s="1450" t="s">
        <v>3513</v>
      </c>
      <c r="K56" s="1421" t="s">
        <v>843</v>
      </c>
      <c r="L56" s="1424" t="str">
        <f ca="1">IF(L48&lt;J51,"——",L48-J51)</f>
        <v>——</v>
      </c>
      <c r="O56" s="1418" t="s">
        <v>403</v>
      </c>
      <c r="P56" s="1419" t="s">
        <v>817</v>
      </c>
      <c r="Q56" s="1420">
        <f ca="1">C40+J29</f>
        <v>22868374</v>
      </c>
      <c r="R56" s="1420" t="s">
        <v>818</v>
      </c>
    </row>
    <row r="57" spans="1:18" s="1384" customFormat="1" ht="24.75" thickBot="1">
      <c r="A57" s="1451"/>
      <c r="B57" s="950" t="s">
        <v>767</v>
      </c>
      <c r="C57" s="238">
        <f ca="1">C29</f>
        <v>3408163</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38044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22868374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34082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3962</v>
      </c>
      <c r="D65" s="964" t="s">
        <v>743</v>
      </c>
      <c r="E65" s="950" t="s">
        <v>744</v>
      </c>
      <c r="F65" s="330">
        <f t="shared" ca="1" si="0"/>
        <v>1.5E-3</v>
      </c>
      <c r="I65" s="1462" t="s">
        <v>867</v>
      </c>
      <c r="J65" s="1463">
        <v>40</v>
      </c>
      <c r="K65" s="1463">
        <v>30</v>
      </c>
      <c r="L65" s="1463">
        <v>50</v>
      </c>
      <c r="M65" s="1465">
        <v>0.02</v>
      </c>
      <c r="O65" s="1418" t="s">
        <v>403</v>
      </c>
      <c r="P65" s="1419" t="s">
        <v>868</v>
      </c>
      <c r="Q65" s="1420">
        <f ca="1">C40+J29</f>
        <v>22868374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-38044</v>
      </c>
      <c r="D67" s="963" t="s">
        <v>753</v>
      </c>
      <c r="E67" s="968"/>
      <c r="F67" s="969"/>
      <c r="O67" s="1428" t="s">
        <v>405</v>
      </c>
      <c r="P67" s="1419" t="s">
        <v>850</v>
      </c>
      <c r="Q67" s="1466">
        <f ca="1">L51</f>
        <v>25698594</v>
      </c>
      <c r="R67" s="1420" t="s">
        <v>870</v>
      </c>
    </row>
    <row r="68" spans="1:18" s="1384" customFormat="1" ht="16.5" thickBot="1">
      <c r="A68" s="947" t="s">
        <v>395</v>
      </c>
      <c r="B68" s="948" t="s">
        <v>774</v>
      </c>
      <c r="C68" s="301">
        <f ca="1">ROUND(C67*(1-((1+F70)/(1+F68))^F69)/(F68-F70),0)</f>
        <v>-430042</v>
      </c>
      <c r="D68" s="965" t="s">
        <v>758</v>
      </c>
      <c r="E68" s="950" t="s">
        <v>759</v>
      </c>
      <c r="F68" s="312">
        <f ca="1">F40</f>
        <v>0.06</v>
      </c>
      <c r="O68" s="1428" t="s">
        <v>406</v>
      </c>
      <c r="P68" s="1467" t="s">
        <v>871</v>
      </c>
      <c r="Q68" s="1420">
        <f ca="1">ROUND(Q69-Q70*Q71,0)</f>
        <v>1483554</v>
      </c>
      <c r="R68" s="1420" t="s">
        <v>414</v>
      </c>
    </row>
    <row r="69" spans="1:18" s="1384" customFormat="1" ht="13.5" thickBot="1">
      <c r="A69" s="951"/>
      <c r="B69" s="952"/>
      <c r="C69" s="306"/>
      <c r="D69" s="970" t="s">
        <v>762</v>
      </c>
      <c r="E69" s="950" t="s">
        <v>763</v>
      </c>
      <c r="F69" s="333">
        <f ca="1">F41</f>
        <v>19.46</v>
      </c>
      <c r="O69" s="1428" t="s">
        <v>411</v>
      </c>
      <c r="P69" s="1467" t="s">
        <v>872</v>
      </c>
      <c r="Q69" s="1420">
        <f ca="1">C39</f>
        <v>1668447</v>
      </c>
      <c r="R69" s="1420" t="s">
        <v>818</v>
      </c>
    </row>
    <row r="70" spans="1:18" s="1384" customFormat="1" ht="13.5" thickBot="1">
      <c r="A70" s="954"/>
      <c r="B70" s="955"/>
      <c r="C70" s="310"/>
      <c r="D70" s="966"/>
      <c r="E70" s="950" t="s">
        <v>766</v>
      </c>
      <c r="F70" s="1054"/>
      <c r="O70" s="1428" t="s">
        <v>412</v>
      </c>
      <c r="P70" s="1467" t="s">
        <v>873</v>
      </c>
      <c r="Q70" s="1420">
        <f ca="1">C13</f>
        <v>2641326</v>
      </c>
      <c r="R70" s="1420" t="s">
        <v>818</v>
      </c>
    </row>
    <row r="71" spans="1:18" s="1384" customFormat="1" ht="13.5" thickBot="1">
      <c r="A71" s="971" t="s">
        <v>396</v>
      </c>
      <c r="B71" s="972" t="s">
        <v>776</v>
      </c>
      <c r="C71" s="336">
        <f ca="1">ROUND(C68/F71,0)</f>
        <v>-1024</v>
      </c>
      <c r="D71" s="973" t="s">
        <v>777</v>
      </c>
      <c r="E71" s="974" t="s">
        <v>778</v>
      </c>
      <c r="F71" s="339">
        <f ca="1">F43</f>
        <v>420</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184893</v>
      </c>
      <c r="D75" s="1384"/>
      <c r="E75" s="1384"/>
      <c r="F75" s="1384"/>
      <c r="K75" s="1402"/>
      <c r="L75" s="1384"/>
      <c r="O75" s="1418" t="s">
        <v>409</v>
      </c>
      <c r="P75" s="1419" t="s">
        <v>838</v>
      </c>
      <c r="Q75" s="1420">
        <f ca="1">Q65+Q66</f>
        <v>22868374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5" t="s">
        <v>2309</v>
      </c>
      <c r="B2" s="2840" t="e">
        <f>IF(D2="——",C40,C40+E2)</f>
        <v>#DIV/0!</v>
      </c>
      <c r="C2" s="2841" t="s">
        <v>2310</v>
      </c>
      <c r="D2" s="3439" t="s">
        <v>3355</v>
      </c>
      <c r="E2" s="3440"/>
      <c r="F2" s="2843"/>
      <c r="G2" s="2844"/>
      <c r="H2" s="2845"/>
      <c r="I2" s="2846"/>
      <c r="J2" s="3944" t="s">
        <v>2311</v>
      </c>
      <c r="K2" s="3945"/>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946" t="s">
        <v>2321</v>
      </c>
      <c r="K3" s="3947"/>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946" t="s">
        <v>2323</v>
      </c>
      <c r="K4" s="3947"/>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952" t="s">
        <v>2327</v>
      </c>
      <c r="B6" s="3953"/>
      <c r="C6" s="3954"/>
      <c r="D6" s="2867"/>
      <c r="E6" s="2868"/>
      <c r="F6" s="2869"/>
      <c r="G6" s="2870"/>
      <c r="H6" s="2845"/>
      <c r="I6" s="2846"/>
      <c r="J6" s="3938">
        <v>1</v>
      </c>
      <c r="K6" s="3939"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938"/>
      <c r="K7" s="3940"/>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955" t="s">
        <v>2341</v>
      </c>
      <c r="C8" s="3956"/>
      <c r="D8" s="2886" t="s">
        <v>2342</v>
      </c>
      <c r="E8" s="2887" t="s">
        <v>2343</v>
      </c>
      <c r="F8" s="2888" t="s">
        <v>2344</v>
      </c>
      <c r="G8" s="2889"/>
      <c r="H8" s="2845"/>
      <c r="I8" s="2846"/>
      <c r="J8" s="3938"/>
      <c r="K8" s="3940"/>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955" t="s">
        <v>2347</v>
      </c>
      <c r="C9" s="3956"/>
      <c r="D9" s="2886">
        <f>ROUND(D6*E9,0)</f>
        <v>0</v>
      </c>
      <c r="E9" s="2890"/>
      <c r="F9" s="2891" t="s">
        <v>2348</v>
      </c>
      <c r="G9" s="2870"/>
      <c r="H9" s="2845"/>
      <c r="I9" s="2846"/>
      <c r="J9" s="3938"/>
      <c r="K9" s="3940"/>
      <c r="L9" s="2880" t="s">
        <v>2349</v>
      </c>
      <c r="M9" s="2881"/>
      <c r="N9" s="2857"/>
      <c r="O9" s="2882"/>
      <c r="P9" s="2882"/>
      <c r="Q9" s="2883">
        <v>365</v>
      </c>
      <c r="R9" s="2884">
        <f t="shared" si="0"/>
        <v>0</v>
      </c>
      <c r="S9" s="2838"/>
      <c r="T9" s="2838"/>
      <c r="U9" s="2838"/>
      <c r="V9" s="2846"/>
    </row>
    <row r="10" spans="1:22" s="2850" customFormat="1" ht="13.15" customHeight="1">
      <c r="A10" s="2885">
        <v>2</v>
      </c>
      <c r="B10" s="3955" t="s">
        <v>2350</v>
      </c>
      <c r="C10" s="3956"/>
      <c r="D10" s="2886">
        <f>ROUND(D6*E10,0)</f>
        <v>0</v>
      </c>
      <c r="E10" s="2890"/>
      <c r="F10" s="2891" t="s">
        <v>2351</v>
      </c>
      <c r="G10" s="2870"/>
      <c r="H10" s="2845"/>
      <c r="I10" s="2846"/>
      <c r="J10" s="3938"/>
      <c r="K10" s="3940"/>
      <c r="L10" s="2880" t="s">
        <v>2352</v>
      </c>
      <c r="M10" s="2881"/>
      <c r="N10" s="2857"/>
      <c r="O10" s="2882"/>
      <c r="P10" s="2882"/>
      <c r="Q10" s="2883">
        <v>365</v>
      </c>
      <c r="R10" s="2884">
        <f t="shared" si="0"/>
        <v>0</v>
      </c>
      <c r="S10" s="2838"/>
      <c r="T10" s="2838"/>
      <c r="U10" s="2838"/>
      <c r="V10" s="2846"/>
    </row>
    <row r="11" spans="1:22" s="2850" customFormat="1" ht="13.15" customHeight="1">
      <c r="A11" s="2885">
        <v>3</v>
      </c>
      <c r="B11" s="3955" t="s">
        <v>2353</v>
      </c>
      <c r="C11" s="3956"/>
      <c r="D11" s="2886">
        <f>D12+D14+D15+D16</f>
        <v>0</v>
      </c>
      <c r="E11" s="2892" t="e">
        <f>D11/D6</f>
        <v>#DIV/0!</v>
      </c>
      <c r="F11" s="2888"/>
      <c r="G11" s="2889"/>
      <c r="H11" s="2845"/>
      <c r="I11" s="2846"/>
      <c r="J11" s="3938"/>
      <c r="K11" s="3940"/>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948" t="s">
        <v>2356</v>
      </c>
      <c r="C12" s="3949"/>
      <c r="D12" s="2894">
        <f>ROUND(D13*1.2%*(1-30%),0)</f>
        <v>0</v>
      </c>
      <c r="E12" s="2895">
        <v>1.2E-2</v>
      </c>
      <c r="F12" s="2888" t="s">
        <v>2357</v>
      </c>
      <c r="G12" s="2889"/>
      <c r="H12" s="2845"/>
      <c r="I12" s="2846"/>
      <c r="J12" s="3938"/>
      <c r="K12" s="3940"/>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938"/>
      <c r="K13" s="3940"/>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948" t="s">
        <v>2362</v>
      </c>
      <c r="C14" s="3949"/>
      <c r="D14" s="2894">
        <f>ROUND(E14*B5/10000,0)</f>
        <v>0</v>
      </c>
      <c r="E14" s="2883"/>
      <c r="F14" s="2888" t="s">
        <v>2363</v>
      </c>
      <c r="G14" s="2889"/>
      <c r="H14" s="2845"/>
      <c r="I14" s="2846"/>
      <c r="J14" s="3938"/>
      <c r="K14" s="3941"/>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948" t="s">
        <v>2366</v>
      </c>
      <c r="C15" s="3949"/>
      <c r="D15" s="2894">
        <f>ROUND(D6*E15,0)</f>
        <v>0</v>
      </c>
      <c r="E15" s="2895">
        <v>5.5E-2</v>
      </c>
      <c r="F15" s="2888" t="s">
        <v>2367</v>
      </c>
      <c r="G15" s="2870"/>
      <c r="H15" s="2845"/>
      <c r="I15" s="2846"/>
      <c r="J15" s="3938">
        <v>2</v>
      </c>
      <c r="K15" s="3939"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948" t="s">
        <v>2375</v>
      </c>
      <c r="C16" s="3949"/>
      <c r="D16" s="2905">
        <f>D6*E16</f>
        <v>0</v>
      </c>
      <c r="E16" s="2906"/>
      <c r="F16" s="2891" t="s">
        <v>2376</v>
      </c>
      <c r="G16" s="2870"/>
      <c r="H16" s="2845"/>
      <c r="I16" s="2846"/>
      <c r="J16" s="3938"/>
      <c r="K16" s="3940"/>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950" t="s">
        <v>2378</v>
      </c>
      <c r="C17" s="3951"/>
      <c r="D17" s="2908">
        <f>ROUND(D6*E17,0)</f>
        <v>0</v>
      </c>
      <c r="E17" s="2909"/>
      <c r="F17" s="2910" t="s">
        <v>2379</v>
      </c>
      <c r="G17" s="2870"/>
      <c r="H17" s="2845"/>
      <c r="I17" s="2846"/>
      <c r="J17" s="3938"/>
      <c r="K17" s="3940"/>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938"/>
      <c r="K18" s="3940"/>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938"/>
      <c r="K19" s="3941"/>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938">
        <v>3</v>
      </c>
      <c r="K20" s="3939"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938"/>
      <c r="K21" s="3940"/>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938"/>
      <c r="K22" s="3940"/>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938"/>
      <c r="K23" s="3940"/>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938"/>
      <c r="K24" s="3941"/>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942">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94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944" t="s">
        <v>2311</v>
      </c>
      <c r="K32" s="3945"/>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946" t="s">
        <v>2321</v>
      </c>
      <c r="K33" s="3947"/>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946" t="s">
        <v>2323</v>
      </c>
      <c r="K34" s="394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938">
        <v>1</v>
      </c>
      <c r="K36" s="3939"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938"/>
      <c r="K37" s="3940"/>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938"/>
      <c r="K38" s="3940"/>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938"/>
      <c r="K39" s="3940"/>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938"/>
      <c r="K40" s="3941"/>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942">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94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4"/>
      <c r="G1" s="1489"/>
      <c r="H1" s="1489"/>
      <c r="I1" s="1489"/>
      <c r="J1" s="1489"/>
      <c r="K1" s="1489"/>
      <c r="L1" s="1489"/>
      <c r="M1" s="1489"/>
      <c r="N1" s="1489"/>
      <c r="O1" s="1489"/>
      <c r="P1" s="1489"/>
      <c r="Q1" s="1489"/>
      <c r="R1" s="1489"/>
      <c r="S1" s="1489"/>
    </row>
    <row r="2" spans="1:22" ht="15.75">
      <c r="A2" s="1870" t="s">
        <v>1460</v>
      </c>
      <c r="B2" s="1871">
        <f ca="1">SUMIF(B6:B13,"&lt;&gt;#ref!",B6:B13)</f>
        <v>2286.8373999999999</v>
      </c>
      <c r="C2" s="1872" t="s">
        <v>1649</v>
      </c>
      <c r="D2" s="1873" t="s">
        <v>1650</v>
      </c>
      <c r="E2" s="2604">
        <f>SUM(E6:E13)</f>
        <v>420</v>
      </c>
      <c r="F2" s="2704"/>
      <c r="G2" s="1489"/>
      <c r="H2" s="1489"/>
      <c r="I2" s="1489"/>
      <c r="J2" s="1489"/>
      <c r="K2" s="1489"/>
      <c r="L2" s="1489"/>
      <c r="M2" s="1489"/>
      <c r="N2" s="1489"/>
      <c r="O2" s="1489"/>
      <c r="P2" s="1489"/>
      <c r="Q2" s="1489"/>
      <c r="R2" s="1489"/>
      <c r="S2" s="1489"/>
    </row>
    <row r="3" spans="1:22" ht="15.75">
      <c r="A3" s="1870" t="s">
        <v>686</v>
      </c>
      <c r="B3" s="2598">
        <f ca="1">ROUND(B2*10000/E2,0)</f>
        <v>54449</v>
      </c>
      <c r="C3" s="1872" t="s">
        <v>1657</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1651</v>
      </c>
      <c r="B5" s="3957" t="s">
        <v>1652</v>
      </c>
      <c r="C5" s="3958"/>
      <c r="D5" s="2705"/>
      <c r="E5" s="1874" t="s">
        <v>1653</v>
      </c>
      <c r="F5" s="1875" t="s">
        <v>1654</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2286.8373999999999</v>
      </c>
      <c r="C6" s="1872" t="s">
        <v>1649</v>
      </c>
      <c r="D6" s="2706"/>
      <c r="E6" s="2603">
        <f>IF(OR(A6=0,F6="否"),0,'数据-取费表'!K6+'数据-取费表'!S6)</f>
        <v>420</v>
      </c>
      <c r="F6" s="1876" t="s">
        <v>1655</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1649</v>
      </c>
      <c r="D7" s="2706"/>
      <c r="E7" s="2603">
        <f>IF(OR(A7=0,F7="否"),0,'数据-取费表'!K7+'数据-取费表'!S7)</f>
        <v>0</v>
      </c>
      <c r="F7" s="1876" t="s">
        <v>1655</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1649</v>
      </c>
      <c r="D8" s="2706"/>
      <c r="E8" s="2603">
        <f>IF(OR(A8=0,F8="否"),0,'数据-取费表'!K8+'数据-取费表'!S8)</f>
        <v>0</v>
      </c>
      <c r="F8" s="1876" t="s">
        <v>1655</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1649</v>
      </c>
      <c r="D9" s="2706"/>
      <c r="E9" s="2603">
        <f>IF(OR(A9=0,F9="否"),0,'数据-取费表'!K9+'数据-取费表'!S9)</f>
        <v>0</v>
      </c>
      <c r="F9" s="1876" t="s">
        <v>1655</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1649</v>
      </c>
      <c r="D10" s="2706"/>
      <c r="E10" s="2603">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1649</v>
      </c>
      <c r="D11" s="2706"/>
      <c r="E11" s="2603">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1649</v>
      </c>
      <c r="D12" s="2706"/>
      <c r="E12" s="2603">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1649</v>
      </c>
      <c r="D13" s="2707"/>
      <c r="E13" s="2603">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3"/>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420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1664</v>
      </c>
      <c r="B4" s="356"/>
      <c r="C4" s="3906" t="s">
        <v>1665</v>
      </c>
      <c r="D4" s="3907"/>
      <c r="E4" s="3908" t="s">
        <v>1666</v>
      </c>
      <c r="F4" s="3909"/>
      <c r="G4" s="3906" t="s">
        <v>1667</v>
      </c>
      <c r="H4" s="3907"/>
      <c r="I4" s="3906" t="s">
        <v>1668</v>
      </c>
      <c r="J4" s="3907"/>
      <c r="K4" s="1889" t="s">
        <v>1669</v>
      </c>
      <c r="L4" s="2712"/>
      <c r="M4" s="2713"/>
      <c r="N4" s="2713"/>
      <c r="O4" s="2713"/>
      <c r="P4" s="3910" t="s">
        <v>1670</v>
      </c>
      <c r="Q4" s="3911"/>
      <c r="R4" s="3916" t="s">
        <v>1666</v>
      </c>
      <c r="S4" s="3917"/>
      <c r="T4" s="3916" t="s">
        <v>1667</v>
      </c>
      <c r="U4" s="3917"/>
      <c r="V4" s="3901" t="s">
        <v>1668</v>
      </c>
      <c r="W4" s="3901"/>
      <c r="X4" s="1355"/>
      <c r="Y4" s="3916" t="s">
        <v>1670</v>
      </c>
      <c r="Z4" s="3917"/>
      <c r="AA4" s="3903" t="s">
        <v>1666</v>
      </c>
      <c r="AB4" s="3903" t="s">
        <v>1667</v>
      </c>
      <c r="AC4" s="3903" t="s">
        <v>1668</v>
      </c>
    </row>
    <row r="5" spans="1:29" ht="15">
      <c r="A5" s="358"/>
      <c r="B5" s="359"/>
      <c r="C5" s="3959" t="s">
        <v>1671</v>
      </c>
      <c r="D5" s="3930"/>
      <c r="E5" s="3960" t="s">
        <v>1672</v>
      </c>
      <c r="F5" s="3925"/>
      <c r="G5" s="3959" t="s">
        <v>1673</v>
      </c>
      <c r="H5" s="3930"/>
      <c r="I5" s="3959" t="s">
        <v>1674</v>
      </c>
      <c r="J5" s="3930"/>
      <c r="K5" s="1890"/>
      <c r="L5" s="2712"/>
      <c r="M5" s="2713"/>
      <c r="N5" s="2713"/>
      <c r="O5" s="2713"/>
      <c r="P5" s="3912"/>
      <c r="Q5" s="3913"/>
      <c r="R5" s="3918"/>
      <c r="S5" s="3919"/>
      <c r="T5" s="3918"/>
      <c r="U5" s="3919"/>
      <c r="V5" s="3901"/>
      <c r="W5" s="3901"/>
      <c r="X5" s="1355"/>
      <c r="Y5" s="3918"/>
      <c r="Z5" s="3919"/>
      <c r="AA5" s="3904"/>
      <c r="AB5" s="3904"/>
      <c r="AC5" s="3904"/>
    </row>
    <row r="6" spans="1:29" ht="15.75" thickBot="1">
      <c r="A6" s="360"/>
      <c r="B6" s="361"/>
      <c r="C6" s="3922" t="s">
        <v>1675</v>
      </c>
      <c r="D6" s="3923"/>
      <c r="E6" s="3931" t="s">
        <v>1675</v>
      </c>
      <c r="F6" s="3932"/>
      <c r="G6" s="3922" t="s">
        <v>1675</v>
      </c>
      <c r="H6" s="3923"/>
      <c r="I6" s="3922" t="s">
        <v>1675</v>
      </c>
      <c r="J6" s="3923"/>
      <c r="K6" s="1890" t="s">
        <v>1676</v>
      </c>
      <c r="L6" s="2712"/>
      <c r="M6" s="2713"/>
      <c r="N6" s="2713"/>
      <c r="O6" s="2713"/>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926" t="s">
        <v>1678</v>
      </c>
      <c r="Q7" s="3928"/>
      <c r="R7" s="701" t="s">
        <v>20</v>
      </c>
      <c r="S7" s="702">
        <f t="shared" ref="S7:S15" si="0">F7</f>
        <v>0</v>
      </c>
      <c r="T7" s="701" t="s">
        <v>20</v>
      </c>
      <c r="U7" s="702">
        <f t="shared" ref="U7:U15" si="1">H7</f>
        <v>0</v>
      </c>
      <c r="V7" s="701" t="s">
        <v>20</v>
      </c>
      <c r="W7" s="702">
        <f t="shared" ref="W7:W15" si="2">J7</f>
        <v>0</v>
      </c>
      <c r="X7" s="703"/>
      <c r="Y7" s="3926" t="s">
        <v>1678</v>
      </c>
      <c r="Z7" s="3927"/>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926" t="s">
        <v>1681</v>
      </c>
      <c r="Q8" s="3927"/>
      <c r="R8" s="701" t="s">
        <v>20</v>
      </c>
      <c r="S8" s="702">
        <f t="shared" si="0"/>
        <v>100</v>
      </c>
      <c r="T8" s="701" t="s">
        <v>20</v>
      </c>
      <c r="U8" s="702">
        <f t="shared" si="1"/>
        <v>100</v>
      </c>
      <c r="V8" s="701" t="s">
        <v>20</v>
      </c>
      <c r="W8" s="702">
        <f t="shared" si="2"/>
        <v>100</v>
      </c>
      <c r="X8" s="703"/>
      <c r="Y8" s="3926" t="s">
        <v>1681</v>
      </c>
      <c r="Z8" s="3927"/>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902"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902"/>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902"/>
      <c r="Q11" s="1343" t="str">
        <f t="shared" si="6"/>
        <v>容积率</v>
      </c>
      <c r="R11" s="701" t="s">
        <v>18</v>
      </c>
      <c r="S11" s="702" t="e">
        <f t="shared" si="0"/>
        <v>#N/A</v>
      </c>
      <c r="T11" s="701" t="s">
        <v>18</v>
      </c>
      <c r="U11" s="702" t="e">
        <f t="shared" si="1"/>
        <v>#N/A</v>
      </c>
      <c r="V11" s="701" t="s">
        <v>18</v>
      </c>
      <c r="W11" s="702" t="e">
        <f t="shared" si="2"/>
        <v>#N/A</v>
      </c>
      <c r="X11" s="703"/>
      <c r="Y11" s="379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902"/>
      <c r="Q12" s="1343">
        <f t="shared" si="6"/>
        <v>111</v>
      </c>
      <c r="R12" s="701" t="s">
        <v>18</v>
      </c>
      <c r="S12" s="702">
        <f t="shared" si="0"/>
        <v>100</v>
      </c>
      <c r="T12" s="701" t="s">
        <v>18</v>
      </c>
      <c r="U12" s="702">
        <f t="shared" si="1"/>
        <v>100</v>
      </c>
      <c r="V12" s="701" t="s">
        <v>18</v>
      </c>
      <c r="W12" s="702">
        <f t="shared" si="2"/>
        <v>100</v>
      </c>
      <c r="X12" s="703"/>
      <c r="Y12" s="379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902"/>
      <c r="Q13" s="1343">
        <f t="shared" si="6"/>
        <v>111</v>
      </c>
      <c r="R13" s="701" t="s">
        <v>18</v>
      </c>
      <c r="S13" s="702">
        <f t="shared" si="0"/>
        <v>100</v>
      </c>
      <c r="T13" s="701" t="s">
        <v>18</v>
      </c>
      <c r="U13" s="702">
        <f t="shared" si="1"/>
        <v>100</v>
      </c>
      <c r="V13" s="701" t="s">
        <v>18</v>
      </c>
      <c r="W13" s="702">
        <f t="shared" si="2"/>
        <v>100</v>
      </c>
      <c r="X13" s="703"/>
      <c r="Y13" s="379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902"/>
      <c r="Q14" s="1343">
        <f t="shared" si="6"/>
        <v>111</v>
      </c>
      <c r="R14" s="701" t="s">
        <v>18</v>
      </c>
      <c r="S14" s="702">
        <f t="shared" si="0"/>
        <v>100</v>
      </c>
      <c r="T14" s="701" t="s">
        <v>18</v>
      </c>
      <c r="U14" s="702">
        <f t="shared" si="1"/>
        <v>100</v>
      </c>
      <c r="V14" s="701" t="s">
        <v>18</v>
      </c>
      <c r="W14" s="702">
        <f t="shared" si="2"/>
        <v>100</v>
      </c>
      <c r="X14" s="703"/>
      <c r="Y14" s="3791"/>
      <c r="Z14" s="52">
        <f t="shared" si="7"/>
        <v>111</v>
      </c>
      <c r="AA14" s="704">
        <f t="shared" si="3"/>
        <v>1</v>
      </c>
      <c r="AB14" s="704">
        <f t="shared" si="4"/>
        <v>1</v>
      </c>
      <c r="AC14" s="704">
        <f t="shared" si="5"/>
        <v>1</v>
      </c>
    </row>
    <row r="15" spans="1:29" ht="15">
      <c r="A15" s="391" t="s">
        <v>1688</v>
      </c>
      <c r="B15" s="61" t="s">
        <v>1255</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92" t="s">
        <v>1689</v>
      </c>
      <c r="Q15" s="1352" t="str">
        <f t="shared" si="6"/>
        <v>居住社区成熟度</v>
      </c>
      <c r="R15" s="705" t="s">
        <v>18</v>
      </c>
      <c r="S15" s="706">
        <f t="shared" si="0"/>
        <v>100</v>
      </c>
      <c r="T15" s="705" t="s">
        <v>18</v>
      </c>
      <c r="U15" s="706">
        <f t="shared" si="1"/>
        <v>100</v>
      </c>
      <c r="V15" s="705" t="s">
        <v>18</v>
      </c>
      <c r="W15" s="706">
        <f t="shared" si="2"/>
        <v>100</v>
      </c>
      <c r="X15" s="1355"/>
      <c r="Y15" s="3894"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893"/>
      <c r="Q16" s="1352"/>
      <c r="R16" s="705"/>
      <c r="S16" s="706"/>
      <c r="T16" s="705"/>
      <c r="U16" s="706"/>
      <c r="V16" s="705"/>
      <c r="W16" s="706"/>
      <c r="X16" s="1355"/>
      <c r="Y16" s="3895"/>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93"/>
      <c r="Q17" s="1352" t="str">
        <f>B17</f>
        <v>交通便捷度</v>
      </c>
      <c r="R17" s="705" t="s">
        <v>18</v>
      </c>
      <c r="S17" s="706">
        <f>F17</f>
        <v>100</v>
      </c>
      <c r="T17" s="705" t="s">
        <v>18</v>
      </c>
      <c r="U17" s="706">
        <f>H17</f>
        <v>100</v>
      </c>
      <c r="V17" s="705" t="s">
        <v>18</v>
      </c>
      <c r="W17" s="706">
        <f>J17</f>
        <v>100</v>
      </c>
      <c r="X17" s="1355"/>
      <c r="Y17" s="38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893"/>
      <c r="Q18" s="1352"/>
      <c r="R18" s="705"/>
      <c r="S18" s="706"/>
      <c r="T18" s="705"/>
      <c r="U18" s="706"/>
      <c r="V18" s="705"/>
      <c r="W18" s="706"/>
      <c r="X18" s="1355"/>
      <c r="Y18" s="3895"/>
      <c r="Z18" s="1356"/>
      <c r="AA18" s="1353">
        <v>1</v>
      </c>
      <c r="AB18" s="1353">
        <v>1</v>
      </c>
      <c r="AC18" s="1353">
        <v>1</v>
      </c>
    </row>
    <row r="19" spans="1:29" ht="15">
      <c r="A19" s="379"/>
      <c r="B19" s="402" t="s">
        <v>1256</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93"/>
      <c r="Q19" s="1352" t="str">
        <f>B19</f>
        <v>公共配套设施</v>
      </c>
      <c r="R19" s="705" t="s">
        <v>18</v>
      </c>
      <c r="S19" s="706">
        <f>F19</f>
        <v>100</v>
      </c>
      <c r="T19" s="705" t="s">
        <v>18</v>
      </c>
      <c r="U19" s="706">
        <f>H19</f>
        <v>100</v>
      </c>
      <c r="V19" s="705" t="s">
        <v>18</v>
      </c>
      <c r="W19" s="706">
        <f>J19</f>
        <v>100</v>
      </c>
      <c r="X19" s="1355"/>
      <c r="Y19" s="38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893"/>
      <c r="Q20" s="1352"/>
      <c r="R20" s="705"/>
      <c r="S20" s="706"/>
      <c r="T20" s="705"/>
      <c r="U20" s="706"/>
      <c r="V20" s="705"/>
      <c r="W20" s="706"/>
      <c r="X20" s="1355"/>
      <c r="Y20" s="3895"/>
      <c r="Z20" s="1356"/>
      <c r="AA20" s="1353">
        <v>1</v>
      </c>
      <c r="AB20" s="1353">
        <v>1</v>
      </c>
      <c r="AC20" s="1353">
        <v>1</v>
      </c>
    </row>
    <row r="21" spans="1:29" ht="15">
      <c r="A21" s="379"/>
      <c r="B21" s="1131" t="s">
        <v>1258</v>
      </c>
      <c r="C21" s="1900" t="str">
        <f>估价对象房地状况!C8</f>
        <v>六通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93"/>
      <c r="Q21" s="1352" t="str">
        <f>B21</f>
        <v>基础设施水平</v>
      </c>
      <c r="R21" s="705" t="s">
        <v>14</v>
      </c>
      <c r="S21" s="706">
        <f>F21</f>
        <v>100</v>
      </c>
      <c r="T21" s="705" t="s">
        <v>14</v>
      </c>
      <c r="U21" s="706">
        <f>H21</f>
        <v>100</v>
      </c>
      <c r="V21" s="705" t="s">
        <v>14</v>
      </c>
      <c r="W21" s="706">
        <f>J21</f>
        <v>100</v>
      </c>
      <c r="X21" s="1355"/>
      <c r="Y21" s="38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893"/>
      <c r="Q22" s="1352"/>
      <c r="R22" s="705"/>
      <c r="S22" s="706"/>
      <c r="T22" s="705"/>
      <c r="U22" s="706"/>
      <c r="V22" s="705"/>
      <c r="W22" s="706"/>
      <c r="X22" s="1355"/>
      <c r="Y22" s="3895"/>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93"/>
      <c r="Q23" s="1352" t="str">
        <f>B23</f>
        <v>自然及人文环境</v>
      </c>
      <c r="R23" s="705" t="s">
        <v>18</v>
      </c>
      <c r="S23" s="706">
        <f>F23</f>
        <v>100</v>
      </c>
      <c r="T23" s="705" t="s">
        <v>18</v>
      </c>
      <c r="U23" s="706">
        <f>H23</f>
        <v>100</v>
      </c>
      <c r="V23" s="705" t="s">
        <v>18</v>
      </c>
      <c r="W23" s="706">
        <f>J23</f>
        <v>100</v>
      </c>
      <c r="X23" s="1355"/>
      <c r="Y23" s="38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893"/>
      <c r="Q24" s="1352"/>
      <c r="R24" s="705"/>
      <c r="S24" s="706"/>
      <c r="T24" s="705"/>
      <c r="U24" s="706"/>
      <c r="V24" s="705"/>
      <c r="W24" s="706"/>
      <c r="X24" s="1355"/>
      <c r="Y24" s="3895"/>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95"/>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893"/>
      <c r="Q26" s="1352" t="str">
        <f t="shared" si="11"/>
        <v>朝向</v>
      </c>
      <c r="R26" s="705" t="s">
        <v>18</v>
      </c>
      <c r="S26" s="706">
        <f t="shared" si="12"/>
        <v>100</v>
      </c>
      <c r="T26" s="705" t="s">
        <v>18</v>
      </c>
      <c r="U26" s="706">
        <f t="shared" si="13"/>
        <v>100</v>
      </c>
      <c r="V26" s="705" t="s">
        <v>18</v>
      </c>
      <c r="W26" s="706">
        <f t="shared" si="14"/>
        <v>100</v>
      </c>
      <c r="X26" s="1355"/>
      <c r="Y26" s="38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893"/>
      <c r="Q27" s="1343">
        <f t="shared" si="11"/>
        <v>111</v>
      </c>
      <c r="R27" s="701" t="s">
        <v>18</v>
      </c>
      <c r="S27" s="702">
        <f t="shared" si="12"/>
        <v>100</v>
      </c>
      <c r="T27" s="701" t="s">
        <v>18</v>
      </c>
      <c r="U27" s="702">
        <f t="shared" si="13"/>
        <v>100</v>
      </c>
      <c r="V27" s="701" t="s">
        <v>18</v>
      </c>
      <c r="W27" s="702">
        <f t="shared" si="14"/>
        <v>100</v>
      </c>
      <c r="X27" s="703"/>
      <c r="Y27" s="38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93"/>
      <c r="Q28" s="1352">
        <f t="shared" si="11"/>
        <v>111</v>
      </c>
      <c r="R28" s="705" t="s">
        <v>18</v>
      </c>
      <c r="S28" s="706">
        <f t="shared" si="12"/>
        <v>100</v>
      </c>
      <c r="T28" s="705" t="s">
        <v>18</v>
      </c>
      <c r="U28" s="706">
        <f t="shared" si="13"/>
        <v>100</v>
      </c>
      <c r="V28" s="705" t="s">
        <v>18</v>
      </c>
      <c r="W28" s="706">
        <f t="shared" si="14"/>
        <v>100</v>
      </c>
      <c r="X28" s="1355"/>
      <c r="Y28" s="38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93"/>
      <c r="Q29" s="1352">
        <f t="shared" si="11"/>
        <v>111</v>
      </c>
      <c r="R29" s="705" t="s">
        <v>18</v>
      </c>
      <c r="S29" s="706">
        <f t="shared" si="12"/>
        <v>100</v>
      </c>
      <c r="T29" s="705" t="s">
        <v>18</v>
      </c>
      <c r="U29" s="706">
        <f t="shared" si="13"/>
        <v>100</v>
      </c>
      <c r="V29" s="705" t="s">
        <v>18</v>
      </c>
      <c r="W29" s="706">
        <f t="shared" si="14"/>
        <v>100</v>
      </c>
      <c r="X29" s="1355"/>
      <c r="Y29" s="38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93"/>
      <c r="Q30" s="1352">
        <f t="shared" si="11"/>
        <v>111</v>
      </c>
      <c r="R30" s="705" t="s">
        <v>18</v>
      </c>
      <c r="S30" s="706">
        <f t="shared" si="12"/>
        <v>100</v>
      </c>
      <c r="T30" s="705" t="s">
        <v>18</v>
      </c>
      <c r="U30" s="706">
        <f t="shared" si="13"/>
        <v>100</v>
      </c>
      <c r="V30" s="705" t="s">
        <v>18</v>
      </c>
      <c r="W30" s="706">
        <f t="shared" si="14"/>
        <v>100</v>
      </c>
      <c r="X30" s="1355"/>
      <c r="Y30" s="38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93"/>
      <c r="Q31" s="1352">
        <f t="shared" si="11"/>
        <v>111</v>
      </c>
      <c r="R31" s="705" t="s">
        <v>18</v>
      </c>
      <c r="S31" s="706">
        <f t="shared" si="12"/>
        <v>100</v>
      </c>
      <c r="T31" s="705" t="s">
        <v>18</v>
      </c>
      <c r="U31" s="706">
        <f t="shared" si="13"/>
        <v>100</v>
      </c>
      <c r="V31" s="705" t="s">
        <v>18</v>
      </c>
      <c r="W31" s="706">
        <f t="shared" si="14"/>
        <v>100</v>
      </c>
      <c r="X31" s="1355"/>
      <c r="Y31" s="3895"/>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896" t="s">
        <v>1694</v>
      </c>
      <c r="Q32" s="1352" t="str">
        <f t="shared" si="11"/>
        <v>建筑类型</v>
      </c>
      <c r="R32" s="705" t="s">
        <v>18</v>
      </c>
      <c r="S32" s="706">
        <f t="shared" si="12"/>
        <v>100</v>
      </c>
      <c r="T32" s="705" t="s">
        <v>18</v>
      </c>
      <c r="U32" s="706">
        <f t="shared" si="13"/>
        <v>100</v>
      </c>
      <c r="V32" s="705" t="s">
        <v>18</v>
      </c>
      <c r="W32" s="706">
        <f t="shared" si="14"/>
        <v>100</v>
      </c>
      <c r="X32" s="1355"/>
      <c r="Y32" s="3899"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897"/>
      <c r="Q33" s="707" t="str">
        <f t="shared" si="11"/>
        <v>项目建筑规模</v>
      </c>
      <c r="R33" s="708" t="s">
        <v>18</v>
      </c>
      <c r="S33" s="709" t="e">
        <f t="shared" si="12"/>
        <v>#N/A</v>
      </c>
      <c r="T33" s="708" t="s">
        <v>18</v>
      </c>
      <c r="U33" s="709" t="e">
        <f t="shared" si="13"/>
        <v>#N/A</v>
      </c>
      <c r="V33" s="708" t="s">
        <v>18</v>
      </c>
      <c r="W33" s="709" t="e">
        <f t="shared" si="14"/>
        <v>#N/A</v>
      </c>
      <c r="X33" s="710"/>
      <c r="Y33" s="3899"/>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897"/>
      <c r="Q34" s="1352" t="str">
        <f t="shared" si="11"/>
        <v>建筑结构</v>
      </c>
      <c r="R34" s="705" t="s">
        <v>18</v>
      </c>
      <c r="S34" s="706">
        <f t="shared" si="12"/>
        <v>100</v>
      </c>
      <c r="T34" s="705" t="s">
        <v>18</v>
      </c>
      <c r="U34" s="706">
        <f t="shared" si="13"/>
        <v>100</v>
      </c>
      <c r="V34" s="705" t="s">
        <v>18</v>
      </c>
      <c r="W34" s="706">
        <f t="shared" si="14"/>
        <v>100</v>
      </c>
      <c r="X34" s="1355"/>
      <c r="Y34" s="3899"/>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97"/>
      <c r="Q35" s="1352" t="str">
        <f t="shared" si="11"/>
        <v>建筑品质</v>
      </c>
      <c r="R35" s="705" t="s">
        <v>18</v>
      </c>
      <c r="S35" s="706">
        <f t="shared" si="12"/>
        <v>100</v>
      </c>
      <c r="T35" s="705" t="s">
        <v>18</v>
      </c>
      <c r="U35" s="706">
        <f t="shared" si="13"/>
        <v>100</v>
      </c>
      <c r="V35" s="705" t="s">
        <v>18</v>
      </c>
      <c r="W35" s="706">
        <f t="shared" si="14"/>
        <v>100</v>
      </c>
      <c r="X35" s="1355"/>
      <c r="Y35" s="3899"/>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897"/>
      <c r="Q36" s="1352" t="str">
        <f t="shared" si="11"/>
        <v>公共部分装修</v>
      </c>
      <c r="R36" s="705" t="s">
        <v>18</v>
      </c>
      <c r="S36" s="706">
        <f t="shared" si="12"/>
        <v>100</v>
      </c>
      <c r="T36" s="705" t="s">
        <v>18</v>
      </c>
      <c r="U36" s="706">
        <f t="shared" si="13"/>
        <v>100</v>
      </c>
      <c r="V36" s="705" t="s">
        <v>18</v>
      </c>
      <c r="W36" s="706">
        <f t="shared" si="14"/>
        <v>100</v>
      </c>
      <c r="X36" s="1355"/>
      <c r="Y36" s="3899"/>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97"/>
      <c r="Q37" s="1343" t="str">
        <f t="shared" si="11"/>
        <v>成新度</v>
      </c>
      <c r="R37" s="701" t="s">
        <v>18</v>
      </c>
      <c r="S37" s="702" t="e">
        <f t="shared" si="12"/>
        <v>#N/A</v>
      </c>
      <c r="T37" s="701" t="s">
        <v>18</v>
      </c>
      <c r="U37" s="702" t="e">
        <f t="shared" si="13"/>
        <v>#N/A</v>
      </c>
      <c r="V37" s="701" t="s">
        <v>18</v>
      </c>
      <c r="W37" s="702" t="e">
        <f t="shared" si="14"/>
        <v>#N/A</v>
      </c>
      <c r="X37" s="703"/>
      <c r="Y37" s="3899"/>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897" t="s">
        <v>1694</v>
      </c>
      <c r="Q38" s="1352" t="str">
        <f t="shared" si="11"/>
        <v>物业管理</v>
      </c>
      <c r="R38" s="705" t="s">
        <v>18</v>
      </c>
      <c r="S38" s="706">
        <f t="shared" si="12"/>
        <v>100</v>
      </c>
      <c r="T38" s="705" t="s">
        <v>18</v>
      </c>
      <c r="U38" s="706">
        <f t="shared" si="13"/>
        <v>100</v>
      </c>
      <c r="V38" s="705" t="s">
        <v>18</v>
      </c>
      <c r="W38" s="706">
        <f t="shared" si="14"/>
        <v>100</v>
      </c>
      <c r="X38" s="1355"/>
      <c r="Y38" s="3899"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897"/>
      <c r="Q39" s="1352" t="str">
        <f t="shared" si="11"/>
        <v>市政基础设施</v>
      </c>
      <c r="R39" s="705" t="s">
        <v>18</v>
      </c>
      <c r="S39" s="706">
        <f t="shared" si="12"/>
        <v>100</v>
      </c>
      <c r="T39" s="705" t="s">
        <v>18</v>
      </c>
      <c r="U39" s="706">
        <f t="shared" si="13"/>
        <v>100</v>
      </c>
      <c r="V39" s="705" t="s">
        <v>18</v>
      </c>
      <c r="W39" s="706">
        <f t="shared" si="14"/>
        <v>100</v>
      </c>
      <c r="X39" s="1355"/>
      <c r="Y39" s="3899"/>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897"/>
      <c r="Q40" s="1352" t="str">
        <f t="shared" si="11"/>
        <v>房型</v>
      </c>
      <c r="R40" s="705" t="s">
        <v>18</v>
      </c>
      <c r="S40" s="706">
        <f t="shared" si="12"/>
        <v>100</v>
      </c>
      <c r="T40" s="705" t="s">
        <v>18</v>
      </c>
      <c r="U40" s="706">
        <f t="shared" si="13"/>
        <v>100</v>
      </c>
      <c r="V40" s="705" t="s">
        <v>18</v>
      </c>
      <c r="W40" s="706">
        <f t="shared" si="14"/>
        <v>100</v>
      </c>
      <c r="X40" s="1355"/>
      <c r="Y40" s="3899"/>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97"/>
      <c r="Q41" s="707" t="str">
        <f t="shared" si="11"/>
        <v>单套/主力户型建筑面积</v>
      </c>
      <c r="R41" s="708" t="s">
        <v>18</v>
      </c>
      <c r="S41" s="709">
        <f t="shared" si="12"/>
        <v>100</v>
      </c>
      <c r="T41" s="708" t="s">
        <v>18</v>
      </c>
      <c r="U41" s="709">
        <f t="shared" si="13"/>
        <v>100</v>
      </c>
      <c r="V41" s="708" t="s">
        <v>18</v>
      </c>
      <c r="W41" s="709">
        <f t="shared" si="14"/>
        <v>100</v>
      </c>
      <c r="X41" s="710"/>
      <c r="Y41" s="3899"/>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897"/>
      <c r="Q42" s="1352" t="str">
        <f t="shared" si="11"/>
        <v>内部装修</v>
      </c>
      <c r="R42" s="705" t="s">
        <v>18</v>
      </c>
      <c r="S42" s="706">
        <f t="shared" si="12"/>
        <v>100</v>
      </c>
      <c r="T42" s="705" t="s">
        <v>18</v>
      </c>
      <c r="U42" s="706">
        <f t="shared" si="13"/>
        <v>100</v>
      </c>
      <c r="V42" s="705" t="s">
        <v>18</v>
      </c>
      <c r="W42" s="706">
        <f t="shared" si="14"/>
        <v>100</v>
      </c>
      <c r="X42" s="1355"/>
      <c r="Y42" s="3899"/>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897"/>
      <c r="Q43" s="1352" t="str">
        <f t="shared" si="11"/>
        <v>内部装修维护情况</v>
      </c>
      <c r="R43" s="705" t="s">
        <v>18</v>
      </c>
      <c r="S43" s="706">
        <f t="shared" si="12"/>
        <v>100</v>
      </c>
      <c r="T43" s="705" t="s">
        <v>18</v>
      </c>
      <c r="U43" s="706">
        <f t="shared" si="13"/>
        <v>100</v>
      </c>
      <c r="V43" s="705" t="s">
        <v>18</v>
      </c>
      <c r="W43" s="706">
        <f t="shared" si="14"/>
        <v>100</v>
      </c>
      <c r="X43" s="1355"/>
      <c r="Y43" s="38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97"/>
      <c r="Q44" s="1343">
        <f t="shared" si="11"/>
        <v>111</v>
      </c>
      <c r="R44" s="701" t="s">
        <v>18</v>
      </c>
      <c r="S44" s="702">
        <f t="shared" si="12"/>
        <v>100</v>
      </c>
      <c r="T44" s="701" t="s">
        <v>18</v>
      </c>
      <c r="U44" s="702">
        <f t="shared" si="13"/>
        <v>100</v>
      </c>
      <c r="V44" s="701" t="s">
        <v>18</v>
      </c>
      <c r="W44" s="702">
        <f t="shared" si="14"/>
        <v>100</v>
      </c>
      <c r="X44" s="703"/>
      <c r="Y44" s="38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97"/>
      <c r="Q45" s="1352">
        <f t="shared" si="11"/>
        <v>111</v>
      </c>
      <c r="R45" s="705" t="s">
        <v>18</v>
      </c>
      <c r="S45" s="706">
        <f t="shared" si="12"/>
        <v>100</v>
      </c>
      <c r="T45" s="705" t="s">
        <v>18</v>
      </c>
      <c r="U45" s="706">
        <f t="shared" si="13"/>
        <v>100</v>
      </c>
      <c r="V45" s="705" t="s">
        <v>18</v>
      </c>
      <c r="W45" s="706">
        <f t="shared" si="14"/>
        <v>100</v>
      </c>
      <c r="X45" s="1355"/>
      <c r="Y45" s="389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98"/>
      <c r="Q46" s="1352">
        <f t="shared" si="11"/>
        <v>111</v>
      </c>
      <c r="R46" s="705" t="s">
        <v>17</v>
      </c>
      <c r="S46" s="706">
        <f t="shared" si="12"/>
        <v>100</v>
      </c>
      <c r="T46" s="705" t="s">
        <v>17</v>
      </c>
      <c r="U46" s="706">
        <f t="shared" si="13"/>
        <v>100</v>
      </c>
      <c r="V46" s="705" t="s">
        <v>17</v>
      </c>
      <c r="W46" s="706">
        <f t="shared" si="14"/>
        <v>100</v>
      </c>
      <c r="X46" s="1355"/>
      <c r="Y46" s="3900"/>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1"/>
      <c r="M47" s="2722"/>
      <c r="N47" s="2713"/>
      <c r="O47" s="2722"/>
      <c r="P47" s="3887" t="str">
        <f>A47</f>
        <v>成交单价（元/平方米）</v>
      </c>
      <c r="Q47" s="3887"/>
      <c r="R47" s="3888">
        <f>E47</f>
        <v>0</v>
      </c>
      <c r="S47" s="3888"/>
      <c r="T47" s="3888">
        <f>G47</f>
        <v>0</v>
      </c>
      <c r="U47" s="3888"/>
      <c r="V47" s="3888">
        <f>I47</f>
        <v>0</v>
      </c>
      <c r="W47" s="3888"/>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887" t="str">
        <f>A48</f>
        <v>比较价值（元/平方米）</v>
      </c>
      <c r="Q48" s="3887"/>
      <c r="R48" s="3888" t="e">
        <f>IF(F1="售价",ROUND(PRODUCT(R47,AA7:AA46),0),ROUND(PRODUCT(R47,AA7:AA46),1))</f>
        <v>#DIV/0!</v>
      </c>
      <c r="S48" s="3888"/>
      <c r="T48" s="3888" t="e">
        <f>IF(F1="售价",ROUND(PRODUCT(T47,AB7:AB46),0),ROUND(PRODUCT(T47,AB7:AB46),1))</f>
        <v>#DIV/0!</v>
      </c>
      <c r="U48" s="3888"/>
      <c r="V48" s="3888" t="e">
        <f>IF(F1="售价",ROUND(PRODUCT(V47,AC7:AC46),0),ROUND(PRODUCT(V47,AC7:AC46),1))</f>
        <v>#DIV/0!</v>
      </c>
      <c r="W48" s="3888"/>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1"/>
      <c r="M49" s="2722"/>
      <c r="N49" s="2722"/>
      <c r="O49" s="2722"/>
      <c r="P49" s="3889" t="str">
        <f>A49</f>
        <v>估价对象XX用房的比较价值（楼面单价，元/平方米）</v>
      </c>
      <c r="Q49" s="3890"/>
      <c r="R49" s="3891" t="e">
        <f>IF(F1="售价",ROUND(IF(D48="简单平均",AVERAGE(R48:V48),R48*F48+T48*H48+V48*J48),0),ROUND(IF(D48="简单平均",AVERAGE(R48:V48),R48*F48+T48*H48+V48*J48),1))</f>
        <v>#DIV/0!</v>
      </c>
      <c r="S49" s="3891"/>
      <c r="T49" s="3891"/>
      <c r="U49" s="3891"/>
      <c r="V49" s="3891"/>
      <c r="W49" s="389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420</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67" t="s">
        <v>1773</v>
      </c>
      <c r="Q4" s="3968"/>
      <c r="R4" s="3971" t="s">
        <v>1769</v>
      </c>
      <c r="S4" s="3972"/>
      <c r="T4" s="3971" t="s">
        <v>1770</v>
      </c>
      <c r="U4" s="3972"/>
      <c r="V4" s="3973" t="s">
        <v>1771</v>
      </c>
      <c r="W4" s="3973"/>
      <c r="X4" s="1958"/>
      <c r="Y4" s="3971" t="s">
        <v>1773</v>
      </c>
      <c r="Z4" s="3972"/>
      <c r="AA4" s="3975" t="s">
        <v>1769</v>
      </c>
      <c r="AB4" s="3975" t="s">
        <v>1770</v>
      </c>
      <c r="AC4" s="3964" t="s">
        <v>1771</v>
      </c>
    </row>
    <row r="5" spans="1:29" ht="15">
      <c r="A5" s="358"/>
      <c r="B5" s="359"/>
      <c r="C5" s="3959" t="s">
        <v>1671</v>
      </c>
      <c r="D5" s="3930"/>
      <c r="E5" s="3960" t="s">
        <v>1672</v>
      </c>
      <c r="F5" s="3925"/>
      <c r="G5" s="3959" t="s">
        <v>1673</v>
      </c>
      <c r="H5" s="3930"/>
      <c r="I5" s="3959" t="s">
        <v>1674</v>
      </c>
      <c r="J5" s="3930"/>
      <c r="K5" s="559"/>
      <c r="L5" s="2712"/>
      <c r="M5" s="2713"/>
      <c r="N5" s="2713"/>
      <c r="O5" s="2713"/>
      <c r="P5" s="3969"/>
      <c r="Q5" s="3913"/>
      <c r="R5" s="3918"/>
      <c r="S5" s="3919"/>
      <c r="T5" s="3918"/>
      <c r="U5" s="3919"/>
      <c r="V5" s="3901"/>
      <c r="W5" s="3901"/>
      <c r="X5" s="1355"/>
      <c r="Y5" s="3918"/>
      <c r="Z5" s="3919"/>
      <c r="AA5" s="3904"/>
      <c r="AB5" s="3904"/>
      <c r="AC5" s="3965"/>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70"/>
      <c r="Q6" s="3915"/>
      <c r="R6" s="3918"/>
      <c r="S6" s="3919"/>
      <c r="T6" s="3920"/>
      <c r="U6" s="3921"/>
      <c r="V6" s="3901"/>
      <c r="W6" s="3901"/>
      <c r="X6" s="1355"/>
      <c r="Y6" s="3920"/>
      <c r="Z6" s="3921"/>
      <c r="AA6" s="3905"/>
      <c r="AB6" s="3905"/>
      <c r="AC6" s="3966"/>
    </row>
    <row r="7" spans="1:29" s="108" customFormat="1" ht="15.75" thickBot="1">
      <c r="A7" s="362" t="s">
        <v>1677</v>
      </c>
      <c r="B7" s="363"/>
      <c r="C7" s="364">
        <f>'数据-取费表'!B2</f>
        <v>45441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974" t="s">
        <v>1678</v>
      </c>
      <c r="Q7" s="3928"/>
      <c r="R7" s="701" t="s">
        <v>14</v>
      </c>
      <c r="S7" s="702">
        <f t="shared" ref="S7:S15" si="0">F7</f>
        <v>0</v>
      </c>
      <c r="T7" s="701" t="s">
        <v>14</v>
      </c>
      <c r="U7" s="702">
        <f t="shared" ref="U7:U15" si="1">H7</f>
        <v>0</v>
      </c>
      <c r="V7" s="701" t="s">
        <v>14</v>
      </c>
      <c r="W7" s="702">
        <f t="shared" ref="W7:W15" si="2">J7</f>
        <v>0</v>
      </c>
      <c r="X7" s="703"/>
      <c r="Y7" s="3926" t="s">
        <v>1678</v>
      </c>
      <c r="Z7" s="3927"/>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974" t="s">
        <v>1681</v>
      </c>
      <c r="Q8" s="3927"/>
      <c r="R8" s="701" t="s">
        <v>14</v>
      </c>
      <c r="S8" s="702">
        <f t="shared" si="0"/>
        <v>100</v>
      </c>
      <c r="T8" s="701" t="s">
        <v>14</v>
      </c>
      <c r="U8" s="702">
        <f t="shared" si="1"/>
        <v>100</v>
      </c>
      <c r="V8" s="701" t="s">
        <v>14</v>
      </c>
      <c r="W8" s="702">
        <f t="shared" si="2"/>
        <v>100</v>
      </c>
      <c r="X8" s="703"/>
      <c r="Y8" s="3926" t="s">
        <v>1681</v>
      </c>
      <c r="Z8" s="3927"/>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902"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1959">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902"/>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902"/>
      <c r="Q11" s="1343" t="str">
        <f t="shared" si="6"/>
        <v>容积率</v>
      </c>
      <c r="R11" s="701" t="s">
        <v>14</v>
      </c>
      <c r="S11" s="702">
        <f t="shared" si="0"/>
        <v>100</v>
      </c>
      <c r="T11" s="701" t="s">
        <v>14</v>
      </c>
      <c r="U11" s="702">
        <f t="shared" si="1"/>
        <v>100</v>
      </c>
      <c r="V11" s="701" t="s">
        <v>14</v>
      </c>
      <c r="W11" s="702">
        <f t="shared" si="2"/>
        <v>100</v>
      </c>
      <c r="X11" s="703"/>
      <c r="Y11" s="379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902"/>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902"/>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902"/>
      <c r="Q14" s="1343">
        <f t="shared" si="6"/>
        <v>111</v>
      </c>
      <c r="R14" s="701" t="s">
        <v>14</v>
      </c>
      <c r="S14" s="702">
        <f t="shared" si="0"/>
        <v>100</v>
      </c>
      <c r="T14" s="701" t="s">
        <v>14</v>
      </c>
      <c r="U14" s="702">
        <f t="shared" si="1"/>
        <v>100</v>
      </c>
      <c r="V14" s="701" t="s">
        <v>14</v>
      </c>
      <c r="W14" s="702">
        <f t="shared" si="2"/>
        <v>100</v>
      </c>
      <c r="X14" s="703"/>
      <c r="Y14" s="3791"/>
      <c r="Z14" s="52">
        <f t="shared" si="7"/>
        <v>111</v>
      </c>
      <c r="AA14" s="704">
        <f t="shared" si="3"/>
        <v>1</v>
      </c>
      <c r="AB14" s="704">
        <f t="shared" si="4"/>
        <v>1</v>
      </c>
      <c r="AC14" s="1959">
        <f t="shared" si="5"/>
        <v>1</v>
      </c>
    </row>
    <row r="15" spans="1:29" ht="15">
      <c r="A15" s="391" t="s">
        <v>1688</v>
      </c>
      <c r="B15" s="577" t="s">
        <v>1809</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92" t="s">
        <v>1689</v>
      </c>
      <c r="Q15" s="1352" t="str">
        <f t="shared" si="6"/>
        <v>办公集聚程度</v>
      </c>
      <c r="R15" s="705" t="s">
        <v>14</v>
      </c>
      <c r="S15" s="706">
        <f t="shared" si="0"/>
        <v>100</v>
      </c>
      <c r="T15" s="705" t="s">
        <v>14</v>
      </c>
      <c r="U15" s="706">
        <f t="shared" si="1"/>
        <v>100</v>
      </c>
      <c r="V15" s="705" t="s">
        <v>14</v>
      </c>
      <c r="W15" s="706">
        <f t="shared" si="2"/>
        <v>100</v>
      </c>
      <c r="X15" s="1355"/>
      <c r="Y15" s="3894"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893"/>
      <c r="Q16" s="1352"/>
      <c r="R16" s="705"/>
      <c r="S16" s="706"/>
      <c r="T16" s="705"/>
      <c r="U16" s="706"/>
      <c r="V16" s="705"/>
      <c r="W16" s="706"/>
      <c r="X16" s="1355"/>
      <c r="Y16" s="3895"/>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93"/>
      <c r="Q17" s="1352" t="str">
        <f>B17</f>
        <v>交通便捷度</v>
      </c>
      <c r="R17" s="705" t="s">
        <v>14</v>
      </c>
      <c r="S17" s="706">
        <f>F17</f>
        <v>100</v>
      </c>
      <c r="T17" s="705" t="s">
        <v>14</v>
      </c>
      <c r="U17" s="706">
        <f>H17</f>
        <v>100</v>
      </c>
      <c r="V17" s="705" t="s">
        <v>14</v>
      </c>
      <c r="W17" s="706">
        <f>J17</f>
        <v>100</v>
      </c>
      <c r="X17" s="1355"/>
      <c r="Y17" s="389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893"/>
      <c r="Q18" s="1352"/>
      <c r="R18" s="705"/>
      <c r="S18" s="706"/>
      <c r="T18" s="705"/>
      <c r="U18" s="706"/>
      <c r="V18" s="705"/>
      <c r="W18" s="706"/>
      <c r="X18" s="1355"/>
      <c r="Y18" s="3895"/>
      <c r="Z18" s="1356"/>
      <c r="AA18" s="1353">
        <v>1</v>
      </c>
      <c r="AB18" s="1353">
        <v>1</v>
      </c>
      <c r="AC18" s="1962">
        <v>1</v>
      </c>
    </row>
    <row r="19" spans="1:29" ht="15">
      <c r="A19" s="379"/>
      <c r="B19" s="579" t="s">
        <v>1810</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93"/>
      <c r="Q19" s="1352" t="str">
        <f>B19</f>
        <v>公共配套设施</v>
      </c>
      <c r="R19" s="705" t="s">
        <v>14</v>
      </c>
      <c r="S19" s="706">
        <f>F19</f>
        <v>100</v>
      </c>
      <c r="T19" s="705" t="s">
        <v>14</v>
      </c>
      <c r="U19" s="706">
        <f>H19</f>
        <v>100</v>
      </c>
      <c r="V19" s="705" t="s">
        <v>14</v>
      </c>
      <c r="W19" s="706">
        <f>J19</f>
        <v>100</v>
      </c>
      <c r="X19" s="1355"/>
      <c r="Y19" s="389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893"/>
      <c r="Q20" s="1352"/>
      <c r="R20" s="705"/>
      <c r="S20" s="706"/>
      <c r="T20" s="705"/>
      <c r="U20" s="706"/>
      <c r="V20" s="705"/>
      <c r="W20" s="706"/>
      <c r="X20" s="1355"/>
      <c r="Y20" s="3895"/>
      <c r="Z20" s="1356"/>
      <c r="AA20" s="1353">
        <v>1</v>
      </c>
      <c r="AB20" s="1353">
        <v>1</v>
      </c>
      <c r="AC20" s="1962">
        <v>1</v>
      </c>
    </row>
    <row r="21" spans="1:29" ht="15">
      <c r="A21" s="379"/>
      <c r="B21" s="581" t="s">
        <v>1811</v>
      </c>
      <c r="C21" s="1963" t="str">
        <f>估价对象房地状况!C8</f>
        <v>六通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93"/>
      <c r="Q21" s="1352" t="str">
        <f>B21</f>
        <v>基础设施水平</v>
      </c>
      <c r="R21" s="705" t="s">
        <v>14</v>
      </c>
      <c r="S21" s="706">
        <f>F21</f>
        <v>100</v>
      </c>
      <c r="T21" s="705" t="s">
        <v>14</v>
      </c>
      <c r="U21" s="706">
        <f>H21</f>
        <v>100</v>
      </c>
      <c r="V21" s="705" t="s">
        <v>14</v>
      </c>
      <c r="W21" s="706">
        <f>J21</f>
        <v>100</v>
      </c>
      <c r="X21" s="1355"/>
      <c r="Y21" s="389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893"/>
      <c r="Q22" s="1352"/>
      <c r="R22" s="705"/>
      <c r="S22" s="706"/>
      <c r="T22" s="705"/>
      <c r="U22" s="706"/>
      <c r="V22" s="705"/>
      <c r="W22" s="706"/>
      <c r="X22" s="1355"/>
      <c r="Y22" s="3895"/>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93"/>
      <c r="Q23" s="1352" t="str">
        <f>B23</f>
        <v>环境质量</v>
      </c>
      <c r="R23" s="705" t="s">
        <v>14</v>
      </c>
      <c r="S23" s="706">
        <f>F23</f>
        <v>100</v>
      </c>
      <c r="T23" s="705" t="s">
        <v>14</v>
      </c>
      <c r="U23" s="706">
        <f>H23</f>
        <v>100</v>
      </c>
      <c r="V23" s="705" t="s">
        <v>14</v>
      </c>
      <c r="W23" s="706">
        <f>J23</f>
        <v>100</v>
      </c>
      <c r="X23" s="1355"/>
      <c r="Y23" s="389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893"/>
      <c r="Q24" s="1352"/>
      <c r="R24" s="705"/>
      <c r="S24" s="706"/>
      <c r="T24" s="705"/>
      <c r="U24" s="706"/>
      <c r="V24" s="705"/>
      <c r="W24" s="706"/>
      <c r="X24" s="1355"/>
      <c r="Y24" s="3895"/>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93"/>
      <c r="Q25" s="1352" t="str">
        <f>B25</f>
        <v>毗邻道路的类型与等级</v>
      </c>
      <c r="R25" s="705" t="s">
        <v>14</v>
      </c>
      <c r="S25" s="706">
        <f>F25</f>
        <v>100</v>
      </c>
      <c r="T25" s="705" t="s">
        <v>14</v>
      </c>
      <c r="U25" s="706">
        <f>H25</f>
        <v>100</v>
      </c>
      <c r="V25" s="705" t="s">
        <v>14</v>
      </c>
      <c r="W25" s="706">
        <f>J25</f>
        <v>100</v>
      </c>
      <c r="X25" s="1355"/>
      <c r="Y25" s="389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893"/>
      <c r="Q26" s="1352"/>
      <c r="R26" s="705"/>
      <c r="S26" s="706"/>
      <c r="T26" s="705"/>
      <c r="U26" s="706"/>
      <c r="V26" s="705"/>
      <c r="W26" s="706"/>
      <c r="X26" s="1355"/>
      <c r="Y26" s="3895"/>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93"/>
      <c r="Q27" s="1352" t="str">
        <f t="shared" ref="Q27:Q47" si="11">B27</f>
        <v>楼层</v>
      </c>
      <c r="R27" s="705" t="s">
        <v>14</v>
      </c>
      <c r="S27" s="706">
        <f>F27</f>
        <v>100</v>
      </c>
      <c r="T27" s="705" t="s">
        <v>14</v>
      </c>
      <c r="U27" s="706">
        <f>H27</f>
        <v>100</v>
      </c>
      <c r="V27" s="705" t="s">
        <v>14</v>
      </c>
      <c r="W27" s="706">
        <f>J27</f>
        <v>100</v>
      </c>
      <c r="X27" s="1355"/>
      <c r="Y27" s="3895"/>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893"/>
      <c r="Q28" s="1343" t="str">
        <f t="shared" si="11"/>
        <v>朝向</v>
      </c>
      <c r="R28" s="701" t="s">
        <v>14</v>
      </c>
      <c r="S28" s="702">
        <f>F28</f>
        <v>100</v>
      </c>
      <c r="T28" s="701" t="s">
        <v>14</v>
      </c>
      <c r="U28" s="702">
        <f>H28</f>
        <v>100</v>
      </c>
      <c r="V28" s="701" t="s">
        <v>14</v>
      </c>
      <c r="W28" s="702">
        <f>J28</f>
        <v>100</v>
      </c>
      <c r="X28" s="703"/>
      <c r="Y28" s="389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893"/>
      <c r="Q29" s="1352">
        <f t="shared" si="11"/>
        <v>111</v>
      </c>
      <c r="R29" s="705" t="s">
        <v>14</v>
      </c>
      <c r="S29" s="706">
        <f t="shared" ref="S29:S47" si="12">F29</f>
        <v>100</v>
      </c>
      <c r="T29" s="705" t="s">
        <v>14</v>
      </c>
      <c r="U29" s="706">
        <f t="shared" ref="U29:U47" si="13">H29</f>
        <v>100</v>
      </c>
      <c r="V29" s="705" t="s">
        <v>14</v>
      </c>
      <c r="W29" s="706">
        <f t="shared" ref="W29:W47" si="14">J29</f>
        <v>100</v>
      </c>
      <c r="X29" s="1355"/>
      <c r="Y29" s="389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893"/>
      <c r="Q30" s="1352">
        <f t="shared" si="11"/>
        <v>111</v>
      </c>
      <c r="R30" s="705" t="s">
        <v>14</v>
      </c>
      <c r="S30" s="706">
        <f t="shared" si="12"/>
        <v>100</v>
      </c>
      <c r="T30" s="705" t="s">
        <v>14</v>
      </c>
      <c r="U30" s="706">
        <f t="shared" si="13"/>
        <v>100</v>
      </c>
      <c r="V30" s="705" t="s">
        <v>14</v>
      </c>
      <c r="W30" s="706">
        <f t="shared" si="14"/>
        <v>100</v>
      </c>
      <c r="X30" s="1355"/>
      <c r="Y30" s="389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893"/>
      <c r="Q31" s="1352">
        <f t="shared" si="11"/>
        <v>111</v>
      </c>
      <c r="R31" s="705" t="s">
        <v>14</v>
      </c>
      <c r="S31" s="706">
        <f t="shared" si="12"/>
        <v>100</v>
      </c>
      <c r="T31" s="705" t="s">
        <v>14</v>
      </c>
      <c r="U31" s="706">
        <f t="shared" si="13"/>
        <v>100</v>
      </c>
      <c r="V31" s="705" t="s">
        <v>14</v>
      </c>
      <c r="W31" s="706">
        <f t="shared" si="14"/>
        <v>100</v>
      </c>
      <c r="X31" s="1355"/>
      <c r="Y31" s="389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893"/>
      <c r="Q32" s="1352">
        <f t="shared" si="11"/>
        <v>111</v>
      </c>
      <c r="R32" s="705" t="s">
        <v>14</v>
      </c>
      <c r="S32" s="706">
        <f t="shared" si="12"/>
        <v>100</v>
      </c>
      <c r="T32" s="705" t="s">
        <v>14</v>
      </c>
      <c r="U32" s="706">
        <f t="shared" si="13"/>
        <v>100</v>
      </c>
      <c r="V32" s="705" t="s">
        <v>14</v>
      </c>
      <c r="W32" s="706">
        <f t="shared" si="14"/>
        <v>100</v>
      </c>
      <c r="X32" s="1355"/>
      <c r="Y32" s="3895"/>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896" t="s">
        <v>1694</v>
      </c>
      <c r="Q33" s="1352" t="str">
        <f t="shared" si="11"/>
        <v>建筑类型</v>
      </c>
      <c r="R33" s="705" t="s">
        <v>14</v>
      </c>
      <c r="S33" s="706">
        <f t="shared" si="12"/>
        <v>100</v>
      </c>
      <c r="T33" s="705" t="s">
        <v>14</v>
      </c>
      <c r="U33" s="706">
        <f t="shared" si="13"/>
        <v>100</v>
      </c>
      <c r="V33" s="705" t="s">
        <v>14</v>
      </c>
      <c r="W33" s="706">
        <f t="shared" si="14"/>
        <v>100</v>
      </c>
      <c r="X33" s="1355"/>
      <c r="Y33" s="3899"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97"/>
      <c r="Q34" s="707" t="str">
        <f t="shared" si="11"/>
        <v>项目建筑规模</v>
      </c>
      <c r="R34" s="708" t="s">
        <v>14</v>
      </c>
      <c r="S34" s="709" t="e">
        <f t="shared" si="12"/>
        <v>#N/A</v>
      </c>
      <c r="T34" s="708" t="s">
        <v>14</v>
      </c>
      <c r="U34" s="709" t="e">
        <f t="shared" si="13"/>
        <v>#N/A</v>
      </c>
      <c r="V34" s="708" t="s">
        <v>14</v>
      </c>
      <c r="W34" s="709" t="e">
        <f t="shared" si="14"/>
        <v>#N/A</v>
      </c>
      <c r="X34" s="710"/>
      <c r="Y34" s="3899"/>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97"/>
      <c r="Q35" s="1352" t="str">
        <f t="shared" si="11"/>
        <v>建筑结构</v>
      </c>
      <c r="R35" s="705" t="s">
        <v>14</v>
      </c>
      <c r="S35" s="706">
        <f t="shared" si="12"/>
        <v>100</v>
      </c>
      <c r="T35" s="705" t="s">
        <v>14</v>
      </c>
      <c r="U35" s="706">
        <f t="shared" si="13"/>
        <v>100</v>
      </c>
      <c r="V35" s="705" t="s">
        <v>14</v>
      </c>
      <c r="W35" s="706">
        <f t="shared" si="14"/>
        <v>100</v>
      </c>
      <c r="X35" s="1355"/>
      <c r="Y35" s="3899"/>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97"/>
      <c r="Q36" s="1352" t="str">
        <f t="shared" si="11"/>
        <v>公共部分装修</v>
      </c>
      <c r="R36" s="705" t="s">
        <v>14</v>
      </c>
      <c r="S36" s="706">
        <f t="shared" si="12"/>
        <v>100</v>
      </c>
      <c r="T36" s="705" t="s">
        <v>14</v>
      </c>
      <c r="U36" s="706">
        <f t="shared" si="13"/>
        <v>100</v>
      </c>
      <c r="V36" s="705" t="s">
        <v>14</v>
      </c>
      <c r="W36" s="706">
        <f t="shared" si="14"/>
        <v>100</v>
      </c>
      <c r="X36" s="1355"/>
      <c r="Y36" s="3899"/>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97"/>
      <c r="Q37" s="1352" t="str">
        <f t="shared" si="11"/>
        <v>成新度</v>
      </c>
      <c r="R37" s="705" t="s">
        <v>14</v>
      </c>
      <c r="S37" s="706" t="e">
        <f t="shared" si="12"/>
        <v>#N/A</v>
      </c>
      <c r="T37" s="705" t="s">
        <v>14</v>
      </c>
      <c r="U37" s="706" t="e">
        <f t="shared" si="13"/>
        <v>#N/A</v>
      </c>
      <c r="V37" s="705" t="s">
        <v>14</v>
      </c>
      <c r="W37" s="706" t="e">
        <f t="shared" si="14"/>
        <v>#N/A</v>
      </c>
      <c r="X37" s="1355"/>
      <c r="Y37" s="3899"/>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97"/>
      <c r="Q38" s="1343" t="str">
        <f t="shared" si="11"/>
        <v>写字楼等级</v>
      </c>
      <c r="R38" s="701" t="s">
        <v>14</v>
      </c>
      <c r="S38" s="702">
        <f t="shared" si="12"/>
        <v>100</v>
      </c>
      <c r="T38" s="701" t="s">
        <v>14</v>
      </c>
      <c r="U38" s="702">
        <f t="shared" si="13"/>
        <v>100</v>
      </c>
      <c r="V38" s="701" t="s">
        <v>14</v>
      </c>
      <c r="W38" s="702">
        <f t="shared" si="14"/>
        <v>100</v>
      </c>
      <c r="X38" s="703"/>
      <c r="Y38" s="3899"/>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97" t="s">
        <v>1694</v>
      </c>
      <c r="Q39" s="1352" t="str">
        <f t="shared" si="11"/>
        <v>物业管理</v>
      </c>
      <c r="R39" s="705" t="s">
        <v>14</v>
      </c>
      <c r="S39" s="706">
        <f t="shared" si="12"/>
        <v>100</v>
      </c>
      <c r="T39" s="705" t="s">
        <v>14</v>
      </c>
      <c r="U39" s="706">
        <f t="shared" si="13"/>
        <v>100</v>
      </c>
      <c r="V39" s="705" t="s">
        <v>14</v>
      </c>
      <c r="W39" s="706">
        <f t="shared" si="14"/>
        <v>100</v>
      </c>
      <c r="X39" s="1355"/>
      <c r="Y39" s="3899"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97"/>
      <c r="Q40" s="1352" t="str">
        <f t="shared" si="11"/>
        <v>市政基础设施</v>
      </c>
      <c r="R40" s="705" t="s">
        <v>14</v>
      </c>
      <c r="S40" s="706">
        <f t="shared" si="12"/>
        <v>100</v>
      </c>
      <c r="T40" s="705" t="s">
        <v>14</v>
      </c>
      <c r="U40" s="706">
        <f t="shared" si="13"/>
        <v>100</v>
      </c>
      <c r="V40" s="705" t="s">
        <v>14</v>
      </c>
      <c r="W40" s="706">
        <f t="shared" si="14"/>
        <v>100</v>
      </c>
      <c r="X40" s="1355"/>
      <c r="Y40" s="3899"/>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97"/>
      <c r="Q41" s="1352" t="str">
        <f t="shared" si="11"/>
        <v>层高</v>
      </c>
      <c r="R41" s="705" t="s">
        <v>14</v>
      </c>
      <c r="S41" s="706">
        <f t="shared" si="12"/>
        <v>100</v>
      </c>
      <c r="T41" s="705" t="s">
        <v>14</v>
      </c>
      <c r="U41" s="706">
        <f t="shared" si="13"/>
        <v>100</v>
      </c>
      <c r="V41" s="705" t="s">
        <v>14</v>
      </c>
      <c r="W41" s="706">
        <f t="shared" si="14"/>
        <v>100</v>
      </c>
      <c r="X41" s="1355"/>
      <c r="Y41" s="3899"/>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97"/>
      <c r="Q42" s="707" t="str">
        <f t="shared" si="11"/>
        <v>单套建筑面积</v>
      </c>
      <c r="R42" s="708" t="s">
        <v>14</v>
      </c>
      <c r="S42" s="709">
        <f t="shared" si="12"/>
        <v>100</v>
      </c>
      <c r="T42" s="708" t="s">
        <v>14</v>
      </c>
      <c r="U42" s="709">
        <f t="shared" si="13"/>
        <v>100</v>
      </c>
      <c r="V42" s="708" t="s">
        <v>14</v>
      </c>
      <c r="W42" s="709">
        <f t="shared" si="14"/>
        <v>100</v>
      </c>
      <c r="X42" s="710"/>
      <c r="Y42" s="3899"/>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97"/>
      <c r="Q43" s="1352" t="str">
        <f t="shared" si="11"/>
        <v>内部装修</v>
      </c>
      <c r="R43" s="705" t="s">
        <v>14</v>
      </c>
      <c r="S43" s="706">
        <f t="shared" si="12"/>
        <v>100</v>
      </c>
      <c r="T43" s="705" t="s">
        <v>14</v>
      </c>
      <c r="U43" s="706">
        <f t="shared" si="13"/>
        <v>100</v>
      </c>
      <c r="V43" s="705" t="s">
        <v>14</v>
      </c>
      <c r="W43" s="706">
        <f t="shared" si="14"/>
        <v>100</v>
      </c>
      <c r="X43" s="1355"/>
      <c r="Y43" s="3899"/>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97"/>
      <c r="Q44" s="1352" t="str">
        <f t="shared" si="11"/>
        <v>内部装修维护情况</v>
      </c>
      <c r="R44" s="705" t="s">
        <v>14</v>
      </c>
      <c r="S44" s="706">
        <f t="shared" si="12"/>
        <v>100</v>
      </c>
      <c r="T44" s="705" t="s">
        <v>14</v>
      </c>
      <c r="U44" s="706">
        <f t="shared" si="13"/>
        <v>100</v>
      </c>
      <c r="V44" s="705" t="s">
        <v>14</v>
      </c>
      <c r="W44" s="706">
        <f t="shared" si="14"/>
        <v>100</v>
      </c>
      <c r="X44" s="1355"/>
      <c r="Y44" s="389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97"/>
      <c r="Q45" s="1343">
        <f t="shared" si="11"/>
        <v>111</v>
      </c>
      <c r="R45" s="701" t="s">
        <v>14</v>
      </c>
      <c r="S45" s="702">
        <f t="shared" si="12"/>
        <v>100</v>
      </c>
      <c r="T45" s="701" t="s">
        <v>14</v>
      </c>
      <c r="U45" s="702">
        <f t="shared" si="13"/>
        <v>100</v>
      </c>
      <c r="V45" s="701" t="s">
        <v>14</v>
      </c>
      <c r="W45" s="702">
        <f t="shared" si="14"/>
        <v>100</v>
      </c>
      <c r="X45" s="703"/>
      <c r="Y45" s="389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97"/>
      <c r="Q46" s="1352">
        <f t="shared" si="11"/>
        <v>111</v>
      </c>
      <c r="R46" s="705" t="s">
        <v>14</v>
      </c>
      <c r="S46" s="706">
        <f t="shared" si="12"/>
        <v>100</v>
      </c>
      <c r="T46" s="705" t="s">
        <v>14</v>
      </c>
      <c r="U46" s="706">
        <f t="shared" si="13"/>
        <v>100</v>
      </c>
      <c r="V46" s="705" t="s">
        <v>14</v>
      </c>
      <c r="W46" s="706">
        <f t="shared" si="14"/>
        <v>100</v>
      </c>
      <c r="X46" s="1355"/>
      <c r="Y46" s="389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98"/>
      <c r="Q47" s="1352">
        <f t="shared" si="11"/>
        <v>111</v>
      </c>
      <c r="R47" s="705" t="s">
        <v>14</v>
      </c>
      <c r="S47" s="706">
        <f t="shared" si="12"/>
        <v>100</v>
      </c>
      <c r="T47" s="705" t="s">
        <v>14</v>
      </c>
      <c r="U47" s="706">
        <f t="shared" si="13"/>
        <v>100</v>
      </c>
      <c r="V47" s="705" t="s">
        <v>14</v>
      </c>
      <c r="W47" s="706">
        <f t="shared" si="14"/>
        <v>100</v>
      </c>
      <c r="X47" s="1355"/>
      <c r="Y47" s="3900"/>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1"/>
      <c r="M48" s="2713"/>
      <c r="N48" s="2713"/>
      <c r="O48" s="2713"/>
      <c r="P48" s="3902" t="str">
        <f>A48</f>
        <v>成交单价（元/平方米）</v>
      </c>
      <c r="Q48" s="3887"/>
      <c r="R48" s="3888">
        <f>E48</f>
        <v>0</v>
      </c>
      <c r="S48" s="3888"/>
      <c r="T48" s="3888">
        <f>G48</f>
        <v>0</v>
      </c>
      <c r="U48" s="3888"/>
      <c r="V48" s="3888">
        <f>I48</f>
        <v>0</v>
      </c>
      <c r="W48" s="3888"/>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1"/>
      <c r="M49" s="2713"/>
      <c r="N49" s="2713"/>
      <c r="O49" s="2713"/>
      <c r="P49" s="3902" t="str">
        <f>A49</f>
        <v>比较价值（元/平方米）</v>
      </c>
      <c r="Q49" s="3887"/>
      <c r="R49" s="3888" t="e">
        <f>IF(F1="售价",ROUND(PRODUCT(R48,AA7:AA47),0),ROUND(PRODUCT(R48,AA7:AA47),1))</f>
        <v>#DIV/0!</v>
      </c>
      <c r="S49" s="3888"/>
      <c r="T49" s="3888" t="e">
        <f>IF(F1="售价",ROUND(PRODUCT(T48,AB7:AB47),0),ROUND(PRODUCT(T48,AB7:AB47),1))</f>
        <v>#DIV/0!</v>
      </c>
      <c r="U49" s="3888"/>
      <c r="V49" s="3888" t="e">
        <f>IF(F1="售价",ROUND(PRODUCT(V48,AC7:AC47),0),ROUND(PRODUCT(V48,AC7:AC47),1))</f>
        <v>#DIV/0!</v>
      </c>
      <c r="W49" s="3888"/>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1"/>
      <c r="M50" s="2713"/>
      <c r="N50" s="2713"/>
      <c r="O50" s="2713"/>
      <c r="P50" s="3961" t="str">
        <f>A50</f>
        <v>估价对象XX用房的比较价值（楼面单价，元/平方米）</v>
      </c>
      <c r="Q50" s="3962"/>
      <c r="R50" s="3963" t="e">
        <f>IF(F1="售价",ROUND(IF(D49="简单平均",AVERAGE(R49:V49),R49*F49+T49*H49+V49*J49),0),ROUND(IF(D49="简单平均",AVERAGE(R49:V49),R49*F49+T49*H49+V49*J49),1))</f>
        <v>#DIV/0!</v>
      </c>
      <c r="S50" s="3963"/>
      <c r="T50" s="3963"/>
      <c r="U50" s="3963"/>
      <c r="V50" s="3963"/>
      <c r="W50" s="3963"/>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420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913"/>
      <c r="M4" s="914"/>
      <c r="N4" s="914"/>
      <c r="O4" s="914"/>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29" ht="15">
      <c r="A5" s="358"/>
      <c r="B5" s="359"/>
      <c r="C5" s="3959" t="s">
        <v>1671</v>
      </c>
      <c r="D5" s="3930"/>
      <c r="E5" s="3960" t="s">
        <v>1672</v>
      </c>
      <c r="F5" s="3925"/>
      <c r="G5" s="3959" t="s">
        <v>1673</v>
      </c>
      <c r="H5" s="3930"/>
      <c r="I5" s="3959" t="s">
        <v>1674</v>
      </c>
      <c r="J5" s="3930"/>
      <c r="K5" s="559"/>
      <c r="L5" s="913"/>
      <c r="M5" s="914"/>
      <c r="N5" s="914"/>
      <c r="O5" s="914"/>
      <c r="P5" s="3912"/>
      <c r="Q5" s="3913"/>
      <c r="R5" s="3918"/>
      <c r="S5" s="3919"/>
      <c r="T5" s="3918"/>
      <c r="U5" s="3919"/>
      <c r="V5" s="3901"/>
      <c r="W5" s="3901"/>
      <c r="X5" s="1355"/>
      <c r="Y5" s="3918"/>
      <c r="Z5" s="3919"/>
      <c r="AA5" s="3904"/>
      <c r="AB5" s="3904"/>
      <c r="AC5" s="3904"/>
    </row>
    <row r="6" spans="1:29" ht="15.75" thickBot="1">
      <c r="A6" s="360"/>
      <c r="B6" s="361"/>
      <c r="C6" s="3922" t="s">
        <v>1675</v>
      </c>
      <c r="D6" s="3923"/>
      <c r="E6" s="3931" t="s">
        <v>1675</v>
      </c>
      <c r="F6" s="3932"/>
      <c r="G6" s="3922" t="s">
        <v>1675</v>
      </c>
      <c r="H6" s="3923"/>
      <c r="I6" s="3922" t="s">
        <v>1675</v>
      </c>
      <c r="J6" s="3923"/>
      <c r="K6" s="559" t="s">
        <v>1676</v>
      </c>
      <c r="L6" s="913"/>
      <c r="M6" s="914"/>
      <c r="N6" s="914"/>
      <c r="O6" s="914"/>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SUMIF(52:52,YEAR(E7)&amp;"-"&amp;MONTH(E7),53:53)</f>
        <v>0</v>
      </c>
      <c r="G7" s="366"/>
      <c r="H7" s="365">
        <f>SUMIF(52:52,YEAR(G7)&amp;"-"&amp;MONTH(G7),53:53)</f>
        <v>0</v>
      </c>
      <c r="I7" s="366"/>
      <c r="J7" s="365">
        <f>SUMIF(52:52,YEAR(I7)&amp;"-"&amp;MONTH(I7),53:53)</f>
        <v>0</v>
      </c>
      <c r="K7" s="560"/>
      <c r="L7" s="915"/>
      <c r="M7" s="916"/>
      <c r="N7" s="916"/>
      <c r="O7" s="916"/>
      <c r="P7" s="3926" t="s">
        <v>1678</v>
      </c>
      <c r="Q7" s="3928"/>
      <c r="R7" s="701" t="s">
        <v>14</v>
      </c>
      <c r="S7" s="702">
        <f t="shared" ref="S7:S15" si="0">F7</f>
        <v>0</v>
      </c>
      <c r="T7" s="701" t="s">
        <v>14</v>
      </c>
      <c r="U7" s="702">
        <f t="shared" ref="U7:U15" si="1">H7</f>
        <v>0</v>
      </c>
      <c r="V7" s="701" t="s">
        <v>14</v>
      </c>
      <c r="W7" s="702">
        <f t="shared" ref="W7:W15" si="2">J7</f>
        <v>0</v>
      </c>
      <c r="X7" s="703"/>
      <c r="Y7" s="3926" t="s">
        <v>1678</v>
      </c>
      <c r="Z7" s="3927"/>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926" t="s">
        <v>1681</v>
      </c>
      <c r="Q8" s="3927"/>
      <c r="R8" s="701" t="s">
        <v>14</v>
      </c>
      <c r="S8" s="702">
        <f t="shared" si="0"/>
        <v>100</v>
      </c>
      <c r="T8" s="701" t="s">
        <v>14</v>
      </c>
      <c r="U8" s="702">
        <f t="shared" si="1"/>
        <v>100</v>
      </c>
      <c r="V8" s="701" t="s">
        <v>14</v>
      </c>
      <c r="W8" s="702">
        <f t="shared" si="2"/>
        <v>100</v>
      </c>
      <c r="X8" s="703"/>
      <c r="Y8" s="3926" t="s">
        <v>1681</v>
      </c>
      <c r="Z8" s="3927"/>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87"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87"/>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87"/>
      <c r="Q11" s="1343" t="str">
        <f t="shared" si="6"/>
        <v>容积率</v>
      </c>
      <c r="R11" s="701" t="s">
        <v>14</v>
      </c>
      <c r="S11" s="702">
        <f t="shared" si="0"/>
        <v>100</v>
      </c>
      <c r="T11" s="701" t="s">
        <v>14</v>
      </c>
      <c r="U11" s="702">
        <f t="shared" si="1"/>
        <v>100</v>
      </c>
      <c r="V11" s="701" t="s">
        <v>14</v>
      </c>
      <c r="W11" s="702">
        <f t="shared" si="2"/>
        <v>100</v>
      </c>
      <c r="X11" s="703"/>
      <c r="Y11" s="379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87"/>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87"/>
      <c r="Q14" s="1343">
        <f t="shared" si="6"/>
        <v>111</v>
      </c>
      <c r="R14" s="701" t="s">
        <v>14</v>
      </c>
      <c r="S14" s="702">
        <f t="shared" si="0"/>
        <v>100</v>
      </c>
      <c r="T14" s="701" t="s">
        <v>14</v>
      </c>
      <c r="U14" s="702">
        <f t="shared" si="1"/>
        <v>100</v>
      </c>
      <c r="V14" s="701" t="s">
        <v>14</v>
      </c>
      <c r="W14" s="702">
        <f t="shared" si="2"/>
        <v>100</v>
      </c>
      <c r="X14" s="703"/>
      <c r="Y14" s="3791"/>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94" t="s">
        <v>1689</v>
      </c>
      <c r="Q15" s="1352" t="str">
        <f t="shared" si="6"/>
        <v>产业集聚程度</v>
      </c>
      <c r="R15" s="705" t="s">
        <v>14</v>
      </c>
      <c r="S15" s="706">
        <f t="shared" si="0"/>
        <v>100</v>
      </c>
      <c r="T15" s="705" t="s">
        <v>14</v>
      </c>
      <c r="U15" s="706">
        <f t="shared" si="1"/>
        <v>100</v>
      </c>
      <c r="V15" s="705" t="s">
        <v>14</v>
      </c>
      <c r="W15" s="706">
        <f t="shared" si="2"/>
        <v>100</v>
      </c>
      <c r="X15" s="1355"/>
      <c r="Y15" s="3894"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95"/>
      <c r="Q16" s="1352"/>
      <c r="R16" s="705"/>
      <c r="S16" s="706"/>
      <c r="T16" s="705"/>
      <c r="U16" s="706"/>
      <c r="V16" s="705"/>
      <c r="W16" s="706"/>
      <c r="X16" s="1355"/>
      <c r="Y16" s="3895"/>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95"/>
      <c r="Q17" s="1352" t="str">
        <f>B17</f>
        <v>交通便捷度</v>
      </c>
      <c r="R17" s="705" t="s">
        <v>14</v>
      </c>
      <c r="S17" s="706">
        <f>F17</f>
        <v>100</v>
      </c>
      <c r="T17" s="705" t="s">
        <v>14</v>
      </c>
      <c r="U17" s="706">
        <f>H17</f>
        <v>100</v>
      </c>
      <c r="V17" s="705" t="s">
        <v>14</v>
      </c>
      <c r="W17" s="706">
        <f>J17</f>
        <v>100</v>
      </c>
      <c r="X17" s="1355"/>
      <c r="Y17" s="38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95"/>
      <c r="Q18" s="1352"/>
      <c r="R18" s="705"/>
      <c r="S18" s="706"/>
      <c r="T18" s="705"/>
      <c r="U18" s="706"/>
      <c r="V18" s="705"/>
      <c r="W18" s="706"/>
      <c r="X18" s="1355"/>
      <c r="Y18" s="3895"/>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95"/>
      <c r="Q19" s="1352" t="str">
        <f>B19</f>
        <v>公共配套设施</v>
      </c>
      <c r="R19" s="705" t="s">
        <v>14</v>
      </c>
      <c r="S19" s="706">
        <f>F19</f>
        <v>100</v>
      </c>
      <c r="T19" s="705" t="s">
        <v>14</v>
      </c>
      <c r="U19" s="706">
        <f>H19</f>
        <v>100</v>
      </c>
      <c r="V19" s="705" t="s">
        <v>14</v>
      </c>
      <c r="W19" s="706">
        <f>J19</f>
        <v>100</v>
      </c>
      <c r="X19" s="1355"/>
      <c r="Y19" s="38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95"/>
      <c r="Q20" s="1352"/>
      <c r="R20" s="705"/>
      <c r="S20" s="706"/>
      <c r="T20" s="705"/>
      <c r="U20" s="706"/>
      <c r="V20" s="705"/>
      <c r="W20" s="706"/>
      <c r="X20" s="1355"/>
      <c r="Y20" s="3895"/>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95"/>
      <c r="Q21" s="1352" t="str">
        <f>B21</f>
        <v>基础设施水平</v>
      </c>
      <c r="R21" s="705" t="s">
        <v>14</v>
      </c>
      <c r="S21" s="706">
        <f>F21</f>
        <v>100</v>
      </c>
      <c r="T21" s="705" t="s">
        <v>14</v>
      </c>
      <c r="U21" s="706">
        <f>H21</f>
        <v>100</v>
      </c>
      <c r="V21" s="705" t="s">
        <v>14</v>
      </c>
      <c r="W21" s="706">
        <f>J21</f>
        <v>100</v>
      </c>
      <c r="X21" s="1355"/>
      <c r="Y21" s="38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95"/>
      <c r="Q22" s="1352"/>
      <c r="R22" s="705"/>
      <c r="S22" s="706"/>
      <c r="T22" s="705"/>
      <c r="U22" s="706"/>
      <c r="V22" s="705"/>
      <c r="W22" s="706"/>
      <c r="X22" s="1355"/>
      <c r="Y22" s="3895"/>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95"/>
      <c r="Q23" s="1352" t="str">
        <f>B23</f>
        <v>环境质量</v>
      </c>
      <c r="R23" s="705" t="s">
        <v>14</v>
      </c>
      <c r="S23" s="706">
        <f>F23</f>
        <v>100</v>
      </c>
      <c r="T23" s="705" t="s">
        <v>14</v>
      </c>
      <c r="U23" s="706">
        <f>H23</f>
        <v>100</v>
      </c>
      <c r="V23" s="705" t="s">
        <v>14</v>
      </c>
      <c r="W23" s="706">
        <f>J23</f>
        <v>100</v>
      </c>
      <c r="X23" s="1355"/>
      <c r="Y23" s="38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95"/>
      <c r="Q24" s="1352"/>
      <c r="R24" s="705"/>
      <c r="S24" s="706"/>
      <c r="T24" s="705"/>
      <c r="U24" s="706"/>
      <c r="V24" s="705"/>
      <c r="W24" s="706"/>
      <c r="X24" s="1355"/>
      <c r="Y24" s="38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95"/>
      <c r="Q25" s="1352">
        <f>B25</f>
        <v>111</v>
      </c>
      <c r="R25" s="705" t="s">
        <v>14</v>
      </c>
      <c r="S25" s="706">
        <f>F25</f>
        <v>100</v>
      </c>
      <c r="T25" s="705" t="s">
        <v>14</v>
      </c>
      <c r="U25" s="706">
        <f>H25</f>
        <v>100</v>
      </c>
      <c r="V25" s="705" t="s">
        <v>14</v>
      </c>
      <c r="W25" s="706">
        <f>J25</f>
        <v>100</v>
      </c>
      <c r="X25" s="1355"/>
      <c r="Y25" s="38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95"/>
      <c r="Q26" s="1352">
        <f t="shared" ref="Q26:Q40" si="11">B26</f>
        <v>111</v>
      </c>
      <c r="R26" s="705" t="s">
        <v>14</v>
      </c>
      <c r="S26" s="706">
        <f>F26</f>
        <v>100</v>
      </c>
      <c r="T26" s="705" t="s">
        <v>14</v>
      </c>
      <c r="U26" s="706">
        <f>H26</f>
        <v>100</v>
      </c>
      <c r="V26" s="705" t="s">
        <v>14</v>
      </c>
      <c r="W26" s="706">
        <f>J26</f>
        <v>100</v>
      </c>
      <c r="X26" s="1355"/>
      <c r="Y26" s="38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95"/>
      <c r="Q27" s="1343">
        <f t="shared" si="11"/>
        <v>111</v>
      </c>
      <c r="R27" s="701" t="s">
        <v>14</v>
      </c>
      <c r="S27" s="702">
        <f>F27</f>
        <v>100</v>
      </c>
      <c r="T27" s="701" t="s">
        <v>14</v>
      </c>
      <c r="U27" s="702">
        <f>H27</f>
        <v>100</v>
      </c>
      <c r="V27" s="701" t="s">
        <v>14</v>
      </c>
      <c r="W27" s="702">
        <f>J27</f>
        <v>100</v>
      </c>
      <c r="X27" s="703"/>
      <c r="Y27" s="38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95"/>
      <c r="Q28" s="1352">
        <f t="shared" si="11"/>
        <v>111</v>
      </c>
      <c r="R28" s="705" t="s">
        <v>14</v>
      </c>
      <c r="S28" s="706">
        <f t="shared" ref="S28:S40" si="12">F28</f>
        <v>100</v>
      </c>
      <c r="T28" s="705" t="s">
        <v>14</v>
      </c>
      <c r="U28" s="706">
        <f t="shared" ref="U28:U40" si="13">H28</f>
        <v>100</v>
      </c>
      <c r="V28" s="705" t="s">
        <v>14</v>
      </c>
      <c r="W28" s="706">
        <f t="shared" ref="W28:W40" si="14">J28</f>
        <v>100</v>
      </c>
      <c r="X28" s="1355"/>
      <c r="Y28" s="3895"/>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76" t="s">
        <v>1694</v>
      </c>
      <c r="Q29" s="1352" t="str">
        <f t="shared" si="11"/>
        <v>建筑类型</v>
      </c>
      <c r="R29" s="705" t="s">
        <v>14</v>
      </c>
      <c r="S29" s="706">
        <f t="shared" si="12"/>
        <v>100</v>
      </c>
      <c r="T29" s="705" t="s">
        <v>14</v>
      </c>
      <c r="U29" s="706">
        <f t="shared" si="13"/>
        <v>100</v>
      </c>
      <c r="V29" s="705" t="s">
        <v>14</v>
      </c>
      <c r="W29" s="706">
        <f t="shared" si="14"/>
        <v>100</v>
      </c>
      <c r="X29" s="1355"/>
      <c r="Y29" s="3899"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99"/>
      <c r="Q30" s="707" t="str">
        <f t="shared" si="11"/>
        <v>项目建筑规模</v>
      </c>
      <c r="R30" s="708" t="s">
        <v>14</v>
      </c>
      <c r="S30" s="709" t="e">
        <f t="shared" si="12"/>
        <v>#N/A</v>
      </c>
      <c r="T30" s="708" t="s">
        <v>14</v>
      </c>
      <c r="U30" s="709" t="e">
        <f t="shared" si="13"/>
        <v>#N/A</v>
      </c>
      <c r="V30" s="708" t="s">
        <v>14</v>
      </c>
      <c r="W30" s="709" t="e">
        <f t="shared" si="14"/>
        <v>#N/A</v>
      </c>
      <c r="X30" s="710"/>
      <c r="Y30" s="3899"/>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99"/>
      <c r="Q31" s="1352" t="str">
        <f t="shared" si="11"/>
        <v>建筑结构</v>
      </c>
      <c r="R31" s="705" t="s">
        <v>14</v>
      </c>
      <c r="S31" s="706">
        <f t="shared" si="12"/>
        <v>100</v>
      </c>
      <c r="T31" s="705" t="s">
        <v>14</v>
      </c>
      <c r="U31" s="706">
        <f t="shared" si="13"/>
        <v>100</v>
      </c>
      <c r="V31" s="705" t="s">
        <v>14</v>
      </c>
      <c r="W31" s="706">
        <f t="shared" si="14"/>
        <v>100</v>
      </c>
      <c r="X31" s="1355"/>
      <c r="Y31" s="3899"/>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99"/>
      <c r="Q32" s="1352" t="str">
        <f t="shared" si="11"/>
        <v>公共部分装修</v>
      </c>
      <c r="R32" s="705" t="s">
        <v>14</v>
      </c>
      <c r="S32" s="706">
        <f t="shared" si="12"/>
        <v>100</v>
      </c>
      <c r="T32" s="705" t="s">
        <v>14</v>
      </c>
      <c r="U32" s="706">
        <f t="shared" si="13"/>
        <v>100</v>
      </c>
      <c r="V32" s="705" t="s">
        <v>14</v>
      </c>
      <c r="W32" s="706">
        <f t="shared" si="14"/>
        <v>100</v>
      </c>
      <c r="X32" s="1355"/>
      <c r="Y32" s="3899"/>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99"/>
      <c r="Q33" s="1352" t="str">
        <f t="shared" si="11"/>
        <v>成新度</v>
      </c>
      <c r="R33" s="705" t="s">
        <v>14</v>
      </c>
      <c r="S33" s="706" t="e">
        <f t="shared" si="12"/>
        <v>#N/A</v>
      </c>
      <c r="T33" s="705" t="s">
        <v>14</v>
      </c>
      <c r="U33" s="706" t="e">
        <f t="shared" si="13"/>
        <v>#N/A</v>
      </c>
      <c r="V33" s="705" t="s">
        <v>14</v>
      </c>
      <c r="W33" s="706" t="e">
        <f t="shared" si="14"/>
        <v>#N/A</v>
      </c>
      <c r="X33" s="1355"/>
      <c r="Y33" s="3899"/>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99"/>
      <c r="Q34" s="1343" t="str">
        <f t="shared" si="11"/>
        <v>物业管理</v>
      </c>
      <c r="R34" s="701" t="s">
        <v>14</v>
      </c>
      <c r="S34" s="702">
        <f t="shared" si="12"/>
        <v>100</v>
      </c>
      <c r="T34" s="701" t="s">
        <v>14</v>
      </c>
      <c r="U34" s="702">
        <f t="shared" si="13"/>
        <v>100</v>
      </c>
      <c r="V34" s="701" t="s">
        <v>14</v>
      </c>
      <c r="W34" s="702">
        <f t="shared" si="14"/>
        <v>100</v>
      </c>
      <c r="X34" s="703"/>
      <c r="Y34" s="3899"/>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99" t="s">
        <v>1694</v>
      </c>
      <c r="Q35" s="1352" t="str">
        <f t="shared" si="11"/>
        <v>市政基础设施</v>
      </c>
      <c r="R35" s="705" t="s">
        <v>14</v>
      </c>
      <c r="S35" s="706">
        <f t="shared" si="12"/>
        <v>100</v>
      </c>
      <c r="T35" s="705" t="s">
        <v>14</v>
      </c>
      <c r="U35" s="706">
        <f t="shared" si="13"/>
        <v>100</v>
      </c>
      <c r="V35" s="705" t="s">
        <v>14</v>
      </c>
      <c r="W35" s="706">
        <f t="shared" si="14"/>
        <v>100</v>
      </c>
      <c r="X35" s="1355"/>
      <c r="Y35" s="3899"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99"/>
      <c r="Q36" s="1352" t="str">
        <f t="shared" si="11"/>
        <v>内部装修</v>
      </c>
      <c r="R36" s="705" t="s">
        <v>14</v>
      </c>
      <c r="S36" s="706">
        <f t="shared" si="12"/>
        <v>100</v>
      </c>
      <c r="T36" s="705" t="s">
        <v>14</v>
      </c>
      <c r="U36" s="706">
        <f t="shared" si="13"/>
        <v>100</v>
      </c>
      <c r="V36" s="705" t="s">
        <v>14</v>
      </c>
      <c r="W36" s="706">
        <f t="shared" si="14"/>
        <v>100</v>
      </c>
      <c r="X36" s="1355"/>
      <c r="Y36" s="3899"/>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99"/>
      <c r="Q37" s="1352" t="str">
        <f t="shared" si="11"/>
        <v>内部装修状况</v>
      </c>
      <c r="R37" s="705" t="s">
        <v>14</v>
      </c>
      <c r="S37" s="706">
        <f t="shared" si="12"/>
        <v>100</v>
      </c>
      <c r="T37" s="705" t="s">
        <v>14</v>
      </c>
      <c r="U37" s="706">
        <f t="shared" si="13"/>
        <v>100</v>
      </c>
      <c r="V37" s="705" t="s">
        <v>14</v>
      </c>
      <c r="W37" s="706">
        <f t="shared" si="14"/>
        <v>100</v>
      </c>
      <c r="X37" s="1355"/>
      <c r="Y37" s="38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99"/>
      <c r="Q38" s="707">
        <f t="shared" si="11"/>
        <v>111</v>
      </c>
      <c r="R38" s="708" t="s">
        <v>14</v>
      </c>
      <c r="S38" s="709">
        <f t="shared" si="12"/>
        <v>100</v>
      </c>
      <c r="T38" s="708" t="s">
        <v>14</v>
      </c>
      <c r="U38" s="709">
        <f t="shared" si="13"/>
        <v>100</v>
      </c>
      <c r="V38" s="708" t="s">
        <v>14</v>
      </c>
      <c r="W38" s="709">
        <f t="shared" si="14"/>
        <v>100</v>
      </c>
      <c r="X38" s="710"/>
      <c r="Y38" s="38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99"/>
      <c r="Q39" s="1352">
        <f t="shared" si="11"/>
        <v>111</v>
      </c>
      <c r="R39" s="705" t="s">
        <v>14</v>
      </c>
      <c r="S39" s="706">
        <f t="shared" si="12"/>
        <v>100</v>
      </c>
      <c r="T39" s="705" t="s">
        <v>14</v>
      </c>
      <c r="U39" s="706">
        <f t="shared" si="13"/>
        <v>100</v>
      </c>
      <c r="V39" s="705" t="s">
        <v>14</v>
      </c>
      <c r="W39" s="706">
        <f t="shared" si="14"/>
        <v>100</v>
      </c>
      <c r="X39" s="1355"/>
      <c r="Y39" s="389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00"/>
      <c r="Q40" s="1352">
        <f t="shared" si="11"/>
        <v>111</v>
      </c>
      <c r="R40" s="705" t="s">
        <v>14</v>
      </c>
      <c r="S40" s="706">
        <f t="shared" si="12"/>
        <v>100</v>
      </c>
      <c r="T40" s="705" t="s">
        <v>14</v>
      </c>
      <c r="U40" s="706">
        <f t="shared" si="13"/>
        <v>100</v>
      </c>
      <c r="V40" s="705" t="s">
        <v>14</v>
      </c>
      <c r="W40" s="706">
        <f t="shared" si="14"/>
        <v>100</v>
      </c>
      <c r="X40" s="1355"/>
      <c r="Y40" s="3900"/>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887" t="str">
        <f>A41</f>
        <v>成交单价（元/平方米）</v>
      </c>
      <c r="Q41" s="3887"/>
      <c r="R41" s="3888">
        <f>E41</f>
        <v>0</v>
      </c>
      <c r="S41" s="3888"/>
      <c r="T41" s="3888">
        <f>G41</f>
        <v>0</v>
      </c>
      <c r="U41" s="3888"/>
      <c r="V41" s="3888">
        <f>I41</f>
        <v>0</v>
      </c>
      <c r="W41" s="3888"/>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887" t="str">
        <f>A42</f>
        <v>比较价值（元/平方米）</v>
      </c>
      <c r="Q42" s="3887"/>
      <c r="R42" s="3888" t="e">
        <f>IF(F1="售价",ROUND(PRODUCT(R41,AA7:AA40),0),ROUND(PRODUCT(R41,AA7:AA40),1))</f>
        <v>#DIV/0!</v>
      </c>
      <c r="S42" s="3888"/>
      <c r="T42" s="3888" t="e">
        <f>IF(F1="售价",ROUND(PRODUCT(T41,AB7:AB40),0),ROUND(PRODUCT(T41,AB7:AB40),1))</f>
        <v>#DIV/0!</v>
      </c>
      <c r="U42" s="3888"/>
      <c r="V42" s="3888" t="e">
        <f>IF(F1="售价",ROUND(PRODUCT(V41,AC7:AC40),0),ROUND(PRODUCT(V41,AC7:AC40),1))</f>
        <v>#DIV/0!</v>
      </c>
      <c r="W42" s="3888"/>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889" t="str">
        <f>A43</f>
        <v>估价对象XX用房的比较价值（楼面单价，元/平方米）</v>
      </c>
      <c r="Q43" s="3890"/>
      <c r="R43" s="3891" t="e">
        <f>IF(F1="售价",ROUND(IF(D42="简单平均",AVERAGE(R42:V42),R42*F42+T42*H42+V42*J42),0),ROUND(IF(D42="简单平均",AVERAGE(R42:V42),R42*F42+T42*H42+V42*J42),1))</f>
        <v>#DIV/0!</v>
      </c>
      <c r="S43" s="3891"/>
      <c r="T43" s="3891"/>
      <c r="U43" s="3891"/>
      <c r="V43" s="3891"/>
      <c r="W43" s="389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30"/>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29" ht="15">
      <c r="A5" s="358"/>
      <c r="B5" s="359"/>
      <c r="C5" s="3959" t="s">
        <v>1671</v>
      </c>
      <c r="D5" s="3930"/>
      <c r="E5" s="3960" t="s">
        <v>1672</v>
      </c>
      <c r="F5" s="3925"/>
      <c r="G5" s="3959" t="s">
        <v>1673</v>
      </c>
      <c r="H5" s="3930"/>
      <c r="I5" s="3959" t="s">
        <v>1674</v>
      </c>
      <c r="J5" s="3930"/>
      <c r="K5" s="559"/>
      <c r="L5" s="2712"/>
      <c r="M5" s="2713"/>
      <c r="N5" s="2713"/>
      <c r="O5" s="2713"/>
      <c r="P5" s="3912"/>
      <c r="Q5" s="3913"/>
      <c r="R5" s="3918"/>
      <c r="S5" s="3919"/>
      <c r="T5" s="3918"/>
      <c r="U5" s="3919"/>
      <c r="V5" s="3901"/>
      <c r="W5" s="3901"/>
      <c r="X5" s="1355"/>
      <c r="Y5" s="3918"/>
      <c r="Z5" s="3919"/>
      <c r="AA5" s="3904"/>
      <c r="AB5" s="3904"/>
      <c r="AC5" s="3904"/>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926" t="s">
        <v>1678</v>
      </c>
      <c r="Q7" s="3928"/>
      <c r="R7" s="701" t="s">
        <v>14</v>
      </c>
      <c r="S7" s="702">
        <f t="shared" ref="S7:S14" si="0">F7</f>
        <v>0</v>
      </c>
      <c r="T7" s="701" t="s">
        <v>14</v>
      </c>
      <c r="U7" s="702">
        <f t="shared" ref="U7:U14" si="1">H7</f>
        <v>0</v>
      </c>
      <c r="V7" s="701" t="s">
        <v>14</v>
      </c>
      <c r="W7" s="702">
        <f t="shared" ref="W7:W14" si="2">J7</f>
        <v>0</v>
      </c>
      <c r="X7" s="703"/>
      <c r="Y7" s="3926" t="s">
        <v>1678</v>
      </c>
      <c r="Z7" s="3927"/>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926" t="s">
        <v>1681</v>
      </c>
      <c r="Q8" s="3927"/>
      <c r="R8" s="701" t="s">
        <v>14</v>
      </c>
      <c r="S8" s="702">
        <f t="shared" si="0"/>
        <v>100</v>
      </c>
      <c r="T8" s="701" t="s">
        <v>14</v>
      </c>
      <c r="U8" s="702">
        <f t="shared" si="1"/>
        <v>100</v>
      </c>
      <c r="V8" s="701" t="s">
        <v>14</v>
      </c>
      <c r="W8" s="702">
        <f t="shared" si="2"/>
        <v>100</v>
      </c>
      <c r="X8" s="703"/>
      <c r="Y8" s="3926" t="s">
        <v>1681</v>
      </c>
      <c r="Z8" s="3927"/>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87" t="s">
        <v>1684</v>
      </c>
      <c r="Q9" s="1343" t="str">
        <f t="shared" ref="Q9:Q14" si="6">B9</f>
        <v>用途</v>
      </c>
      <c r="R9" s="701" t="s">
        <v>14</v>
      </c>
      <c r="S9" s="702">
        <f t="shared" si="0"/>
        <v>100</v>
      </c>
      <c r="T9" s="701" t="s">
        <v>14</v>
      </c>
      <c r="U9" s="702">
        <f t="shared" si="1"/>
        <v>100</v>
      </c>
      <c r="V9" s="701" t="s">
        <v>14</v>
      </c>
      <c r="W9" s="702">
        <f t="shared" si="2"/>
        <v>100</v>
      </c>
      <c r="X9" s="703"/>
      <c r="Y9" s="3791" t="s">
        <v>1685</v>
      </c>
      <c r="Z9" s="52" t="str">
        <f t="shared" ref="Z9:Z14" si="7">Q9</f>
        <v>用途</v>
      </c>
      <c r="AA9" s="704">
        <f t="shared" si="3"/>
        <v>1</v>
      </c>
      <c r="AB9" s="704">
        <f t="shared" si="4"/>
        <v>1</v>
      </c>
      <c r="AC9" s="704">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87"/>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87"/>
      <c r="Q11" s="1343">
        <f t="shared" si="6"/>
        <v>111</v>
      </c>
      <c r="R11" s="701" t="s">
        <v>14</v>
      </c>
      <c r="S11" s="702">
        <f t="shared" si="0"/>
        <v>100</v>
      </c>
      <c r="T11" s="701" t="s">
        <v>14</v>
      </c>
      <c r="U11" s="702">
        <f t="shared" si="1"/>
        <v>100</v>
      </c>
      <c r="V11" s="701" t="s">
        <v>14</v>
      </c>
      <c r="W11" s="702">
        <f t="shared" si="2"/>
        <v>100</v>
      </c>
      <c r="X11" s="703"/>
      <c r="Y11" s="37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87"/>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94" t="s">
        <v>1689</v>
      </c>
      <c r="Q14" s="1352" t="str">
        <f t="shared" si="6"/>
        <v>交通便捷度</v>
      </c>
      <c r="R14" s="705" t="s">
        <v>14</v>
      </c>
      <c r="S14" s="706">
        <f t="shared" si="0"/>
        <v>100</v>
      </c>
      <c r="T14" s="705" t="s">
        <v>14</v>
      </c>
      <c r="U14" s="706">
        <f t="shared" si="1"/>
        <v>100</v>
      </c>
      <c r="V14" s="705" t="s">
        <v>14</v>
      </c>
      <c r="W14" s="706">
        <f t="shared" si="2"/>
        <v>100</v>
      </c>
      <c r="X14" s="1355"/>
      <c r="Y14" s="3894"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95"/>
      <c r="Q15" s="1352"/>
      <c r="R15" s="705"/>
      <c r="S15" s="706"/>
      <c r="T15" s="705"/>
      <c r="U15" s="706"/>
      <c r="V15" s="705"/>
      <c r="W15" s="706"/>
      <c r="X15" s="1355"/>
      <c r="Y15" s="3895"/>
      <c r="Z15" s="1356"/>
      <c r="AA15" s="1353">
        <v>1</v>
      </c>
      <c r="AB15" s="1353">
        <v>1</v>
      </c>
      <c r="AC15" s="1353">
        <v>1</v>
      </c>
    </row>
    <row r="16" spans="1:29" ht="15">
      <c r="A16" s="358"/>
      <c r="B16" s="579" t="s">
        <v>1810</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95"/>
      <c r="Q16" s="1352" t="str">
        <f>B16</f>
        <v>公共配套设施</v>
      </c>
      <c r="R16" s="705" t="s">
        <v>14</v>
      </c>
      <c r="S16" s="706">
        <f>F16</f>
        <v>100</v>
      </c>
      <c r="T16" s="705" t="s">
        <v>14</v>
      </c>
      <c r="U16" s="706">
        <f>H16</f>
        <v>100</v>
      </c>
      <c r="V16" s="705" t="s">
        <v>14</v>
      </c>
      <c r="W16" s="706">
        <f>J16</f>
        <v>100</v>
      </c>
      <c r="X16" s="1355"/>
      <c r="Y16" s="38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95"/>
      <c r="Q17" s="1352"/>
      <c r="R17" s="705"/>
      <c r="S17" s="706"/>
      <c r="T17" s="705"/>
      <c r="U17" s="706"/>
      <c r="V17" s="705"/>
      <c r="W17" s="706"/>
      <c r="X17" s="1355"/>
      <c r="Y17" s="3895"/>
      <c r="Z17" s="1356"/>
      <c r="AA17" s="1353">
        <v>1</v>
      </c>
      <c r="AB17" s="1353">
        <v>1</v>
      </c>
      <c r="AC17" s="1353">
        <v>1</v>
      </c>
    </row>
    <row r="18" spans="1:29" ht="15">
      <c r="A18" s="358"/>
      <c r="B18" s="581" t="s">
        <v>1811</v>
      </c>
      <c r="C18" s="1900" t="str">
        <f>IF(B1="工业",估价对象房地状况!G6,估价对象房地状况!C8)</f>
        <v>六通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95"/>
      <c r="Q18" s="1352" t="str">
        <f>B18</f>
        <v>基础设施水平</v>
      </c>
      <c r="R18" s="705" t="s">
        <v>14</v>
      </c>
      <c r="S18" s="706">
        <f>F18</f>
        <v>100</v>
      </c>
      <c r="T18" s="705" t="s">
        <v>14</v>
      </c>
      <c r="U18" s="706">
        <f>H18</f>
        <v>100</v>
      </c>
      <c r="V18" s="705" t="s">
        <v>14</v>
      </c>
      <c r="W18" s="706">
        <f>J18</f>
        <v>100</v>
      </c>
      <c r="X18" s="1355"/>
      <c r="Y18" s="38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95"/>
      <c r="Q19" s="1352"/>
      <c r="R19" s="705"/>
      <c r="S19" s="706"/>
      <c r="T19" s="705"/>
      <c r="U19" s="706"/>
      <c r="V19" s="705"/>
      <c r="W19" s="706"/>
      <c r="X19" s="1355"/>
      <c r="Y19" s="3895"/>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95"/>
      <c r="Q20" s="1352" t="str">
        <f>B20</f>
        <v>自然及人文环境</v>
      </c>
      <c r="R20" s="705" t="s">
        <v>14</v>
      </c>
      <c r="S20" s="706">
        <f>F20</f>
        <v>100</v>
      </c>
      <c r="T20" s="705" t="s">
        <v>14</v>
      </c>
      <c r="U20" s="706">
        <f>H20</f>
        <v>100</v>
      </c>
      <c r="V20" s="705" t="s">
        <v>14</v>
      </c>
      <c r="W20" s="706">
        <f>J20</f>
        <v>100</v>
      </c>
      <c r="X20" s="1355"/>
      <c r="Y20" s="38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95"/>
      <c r="Q21" s="1352"/>
      <c r="R21" s="705"/>
      <c r="S21" s="706"/>
      <c r="T21" s="705"/>
      <c r="U21" s="706"/>
      <c r="V21" s="705"/>
      <c r="W21" s="706"/>
      <c r="X21" s="1355"/>
      <c r="Y21" s="3895"/>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95"/>
      <c r="Q22" s="1352" t="str">
        <f>B22</f>
        <v>楼层</v>
      </c>
      <c r="R22" s="705" t="s">
        <v>14</v>
      </c>
      <c r="S22" s="706">
        <f>F22</f>
        <v>100</v>
      </c>
      <c r="T22" s="705" t="s">
        <v>14</v>
      </c>
      <c r="U22" s="706">
        <f>H22</f>
        <v>100</v>
      </c>
      <c r="V22" s="705" t="s">
        <v>14</v>
      </c>
      <c r="W22" s="706">
        <f>J22</f>
        <v>100</v>
      </c>
      <c r="X22" s="1355"/>
      <c r="Y22" s="38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95"/>
      <c r="Q23" s="1352">
        <f>B23</f>
        <v>111</v>
      </c>
      <c r="R23" s="705" t="s">
        <v>14</v>
      </c>
      <c r="S23" s="706">
        <f>F23</f>
        <v>100</v>
      </c>
      <c r="T23" s="705" t="s">
        <v>14</v>
      </c>
      <c r="U23" s="706">
        <f>H23</f>
        <v>100</v>
      </c>
      <c r="V23" s="705" t="s">
        <v>14</v>
      </c>
      <c r="W23" s="706">
        <f>J23</f>
        <v>100</v>
      </c>
      <c r="X23" s="1355"/>
      <c r="Y23" s="38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95"/>
      <c r="Q24" s="1352">
        <f t="shared" ref="Q24:Q36" si="11">B24</f>
        <v>111</v>
      </c>
      <c r="R24" s="705" t="s">
        <v>14</v>
      </c>
      <c r="S24" s="706">
        <f>F24</f>
        <v>100</v>
      </c>
      <c r="T24" s="705" t="s">
        <v>14</v>
      </c>
      <c r="U24" s="706">
        <f>H24</f>
        <v>100</v>
      </c>
      <c r="V24" s="705" t="s">
        <v>14</v>
      </c>
      <c r="W24" s="706">
        <f>J24</f>
        <v>100</v>
      </c>
      <c r="X24" s="1355"/>
      <c r="Y24" s="38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95"/>
      <c r="Q25" s="1343">
        <f t="shared" si="11"/>
        <v>111</v>
      </c>
      <c r="R25" s="701" t="s">
        <v>14</v>
      </c>
      <c r="S25" s="702">
        <f>F25</f>
        <v>100</v>
      </c>
      <c r="T25" s="701" t="s">
        <v>14</v>
      </c>
      <c r="U25" s="702">
        <f>H25</f>
        <v>100</v>
      </c>
      <c r="V25" s="701" t="s">
        <v>14</v>
      </c>
      <c r="W25" s="702">
        <f>J25</f>
        <v>100</v>
      </c>
      <c r="X25" s="703"/>
      <c r="Y25" s="3895"/>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976"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99"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99"/>
      <c r="Q27" s="707" t="str">
        <f t="shared" si="11"/>
        <v>项目停车位配比</v>
      </c>
      <c r="R27" s="708" t="s">
        <v>14</v>
      </c>
      <c r="S27" s="709">
        <f t="shared" si="12"/>
        <v>100</v>
      </c>
      <c r="T27" s="708" t="s">
        <v>14</v>
      </c>
      <c r="U27" s="709">
        <f t="shared" si="13"/>
        <v>100</v>
      </c>
      <c r="V27" s="708" t="s">
        <v>14</v>
      </c>
      <c r="W27" s="709">
        <f t="shared" si="14"/>
        <v>100</v>
      </c>
      <c r="X27" s="710"/>
      <c r="Y27" s="3899"/>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99"/>
      <c r="Q28" s="1352" t="str">
        <f t="shared" si="11"/>
        <v>公共部分装修</v>
      </c>
      <c r="R28" s="705" t="s">
        <v>14</v>
      </c>
      <c r="S28" s="706">
        <f t="shared" si="12"/>
        <v>100</v>
      </c>
      <c r="T28" s="705" t="s">
        <v>14</v>
      </c>
      <c r="U28" s="706">
        <f t="shared" si="13"/>
        <v>100</v>
      </c>
      <c r="V28" s="705" t="s">
        <v>14</v>
      </c>
      <c r="W28" s="706">
        <f t="shared" si="14"/>
        <v>100</v>
      </c>
      <c r="X28" s="1355"/>
      <c r="Y28" s="3899"/>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99"/>
      <c r="Q29" s="1352" t="str">
        <f t="shared" si="11"/>
        <v>成新率</v>
      </c>
      <c r="R29" s="705" t="s">
        <v>14</v>
      </c>
      <c r="S29" s="706" t="e">
        <f t="shared" si="12"/>
        <v>#N/A</v>
      </c>
      <c r="T29" s="705" t="s">
        <v>14</v>
      </c>
      <c r="U29" s="706" t="e">
        <f t="shared" si="13"/>
        <v>#N/A</v>
      </c>
      <c r="V29" s="705" t="s">
        <v>14</v>
      </c>
      <c r="W29" s="706" t="e">
        <f t="shared" si="14"/>
        <v>#N/A</v>
      </c>
      <c r="X29" s="1355"/>
      <c r="Y29" s="3899"/>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99"/>
      <c r="Q30" s="1352" t="str">
        <f t="shared" si="11"/>
        <v>物业等级</v>
      </c>
      <c r="R30" s="705" t="s">
        <v>14</v>
      </c>
      <c r="S30" s="706">
        <f t="shared" si="12"/>
        <v>100</v>
      </c>
      <c r="T30" s="705" t="s">
        <v>14</v>
      </c>
      <c r="U30" s="706">
        <f t="shared" si="13"/>
        <v>100</v>
      </c>
      <c r="V30" s="705" t="s">
        <v>14</v>
      </c>
      <c r="W30" s="706">
        <f t="shared" si="14"/>
        <v>100</v>
      </c>
      <c r="X30" s="1355"/>
      <c r="Y30" s="3899"/>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99"/>
      <c r="Q31" s="1343" t="str">
        <f t="shared" si="11"/>
        <v>停车位面积</v>
      </c>
      <c r="R31" s="701" t="s">
        <v>14</v>
      </c>
      <c r="S31" s="702" t="e">
        <f t="shared" si="12"/>
        <v>#N/A</v>
      </c>
      <c r="T31" s="701" t="s">
        <v>14</v>
      </c>
      <c r="U31" s="702" t="e">
        <f t="shared" si="13"/>
        <v>#N/A</v>
      </c>
      <c r="V31" s="701" t="s">
        <v>14</v>
      </c>
      <c r="W31" s="702" t="e">
        <f t="shared" si="14"/>
        <v>#N/A</v>
      </c>
      <c r="X31" s="703"/>
      <c r="Y31" s="3899"/>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99" t="s">
        <v>1694</v>
      </c>
      <c r="Q32" s="1352" t="str">
        <f t="shared" si="11"/>
        <v>车位类型</v>
      </c>
      <c r="R32" s="705" t="s">
        <v>14</v>
      </c>
      <c r="S32" s="706">
        <f t="shared" si="12"/>
        <v>100</v>
      </c>
      <c r="T32" s="705" t="s">
        <v>14</v>
      </c>
      <c r="U32" s="706">
        <f t="shared" si="13"/>
        <v>100</v>
      </c>
      <c r="V32" s="705" t="s">
        <v>14</v>
      </c>
      <c r="W32" s="706">
        <f t="shared" si="14"/>
        <v>100</v>
      </c>
      <c r="X32" s="1355"/>
      <c r="Y32" s="3899"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99"/>
      <c r="Q33" s="1352" t="str">
        <f t="shared" si="11"/>
        <v>是否直接入户</v>
      </c>
      <c r="R33" s="705" t="s">
        <v>14</v>
      </c>
      <c r="S33" s="706">
        <f t="shared" si="12"/>
        <v>100</v>
      </c>
      <c r="T33" s="705" t="s">
        <v>14</v>
      </c>
      <c r="U33" s="706">
        <f t="shared" si="13"/>
        <v>100</v>
      </c>
      <c r="V33" s="705" t="s">
        <v>14</v>
      </c>
      <c r="W33" s="706">
        <f t="shared" si="14"/>
        <v>100</v>
      </c>
      <c r="X33" s="1355"/>
      <c r="Y33" s="38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99"/>
      <c r="Q34" s="1352">
        <f t="shared" si="11"/>
        <v>111</v>
      </c>
      <c r="R34" s="705" t="s">
        <v>14</v>
      </c>
      <c r="S34" s="706">
        <f t="shared" si="12"/>
        <v>100</v>
      </c>
      <c r="T34" s="705" t="s">
        <v>14</v>
      </c>
      <c r="U34" s="706">
        <f t="shared" si="13"/>
        <v>100</v>
      </c>
      <c r="V34" s="705" t="s">
        <v>14</v>
      </c>
      <c r="W34" s="706">
        <f t="shared" si="14"/>
        <v>100</v>
      </c>
      <c r="X34" s="1355"/>
      <c r="Y34" s="38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99"/>
      <c r="Q35" s="707">
        <f t="shared" si="11"/>
        <v>111</v>
      </c>
      <c r="R35" s="708" t="s">
        <v>14</v>
      </c>
      <c r="S35" s="709">
        <f t="shared" si="12"/>
        <v>100</v>
      </c>
      <c r="T35" s="708" t="s">
        <v>14</v>
      </c>
      <c r="U35" s="709">
        <f t="shared" si="13"/>
        <v>100</v>
      </c>
      <c r="V35" s="708" t="s">
        <v>14</v>
      </c>
      <c r="W35" s="709">
        <f t="shared" si="14"/>
        <v>100</v>
      </c>
      <c r="X35" s="710"/>
      <c r="Y35" s="38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99"/>
      <c r="Q36" s="1352">
        <f t="shared" si="11"/>
        <v>111</v>
      </c>
      <c r="R36" s="705" t="s">
        <v>14</v>
      </c>
      <c r="S36" s="706">
        <f t="shared" si="12"/>
        <v>100</v>
      </c>
      <c r="T36" s="705" t="s">
        <v>14</v>
      </c>
      <c r="U36" s="706">
        <f t="shared" si="13"/>
        <v>100</v>
      </c>
      <c r="V36" s="705" t="s">
        <v>14</v>
      </c>
      <c r="W36" s="706">
        <f t="shared" si="14"/>
        <v>100</v>
      </c>
      <c r="X36" s="1355"/>
      <c r="Y36" s="3899"/>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1"/>
      <c r="M37" s="2722"/>
      <c r="N37" s="2713"/>
      <c r="O37" s="2722"/>
      <c r="P37" s="3887" t="str">
        <f>A37</f>
        <v>成交单价</v>
      </c>
      <c r="Q37" s="3887"/>
      <c r="R37" s="3888">
        <f>E37</f>
        <v>0</v>
      </c>
      <c r="S37" s="3888"/>
      <c r="T37" s="3888">
        <f>G37</f>
        <v>0</v>
      </c>
      <c r="U37" s="3888"/>
      <c r="V37" s="3888">
        <f>I37</f>
        <v>0</v>
      </c>
      <c r="W37" s="3888"/>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887" t="str">
        <f>A38</f>
        <v>比较价值（元/平方米）</v>
      </c>
      <c r="Q38" s="3887"/>
      <c r="R38" s="3888" t="e">
        <f>IF(F1="售价",ROUND(PRODUCT(R37,AA7:AA36),0),ROUND(PRODUCT(R37,AA7:AA36),1))</f>
        <v>#DIV/0!</v>
      </c>
      <c r="S38" s="3888"/>
      <c r="T38" s="3888" t="e">
        <f>IF(F1="售价",ROUND(PRODUCT(T37,AB7:AB36),0),ROUND(PRODUCT(T37,AB7:AB36),1))</f>
        <v>#DIV/0!</v>
      </c>
      <c r="U38" s="3888"/>
      <c r="V38" s="3888" t="e">
        <f>IF(F1="售价",ROUND(PRODUCT(V37,AC7:AC36),0),ROUND(PRODUCT(V37,AC7:AC36),1))</f>
        <v>#DIV/0!</v>
      </c>
      <c r="W38" s="388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1"/>
      <c r="M39" s="2722"/>
      <c r="N39" s="2722"/>
      <c r="O39" s="2722"/>
      <c r="P39" s="3889" t="str">
        <f>A39</f>
        <v>估价对象XX用房的比较价值（楼面单价，元/平方米）</v>
      </c>
      <c r="Q39" s="3890"/>
      <c r="R39" s="3977" t="e">
        <f>IF(F1="售价",ROUND(IF(D38="简单平均",AVERAGE(R38:W38),R38*F38+T38*H38+V38*J38),0),ROUND(IF(D38="简单平均",AVERAGE(R38:V38),R38*F38+T38*H38+V38*J38),1))</f>
        <v>#DIV/0!</v>
      </c>
      <c r="S39" s="3977"/>
      <c r="T39" s="3977"/>
      <c r="U39" s="3977"/>
      <c r="V39" s="3977"/>
      <c r="W39" s="3977"/>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1848</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受贵公司委托，我公司对北京市顺义区澳景园四区2号楼房地产市场价值进行了预评估。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估价对象为北京市顺义区澳景园四区2号楼房地产，为北京澳金园置业发展有限公司所有。根据《国有土地使用证》[]，估价对象（分摊）出让国有建设用地使用权面积为0平方米，建筑面积为420平方米。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澳景园四区2号楼房地产,属北京澳金园置业发展有限公司开发建设的居住项目，该项目尚在开发建设中。根据《国有土地使用证》[]，估价对象（分摊）出让国有建设用地使用权面积为0平方米，规划建筑面积为420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29" ht="15">
      <c r="A5" s="358"/>
      <c r="B5" s="359"/>
      <c r="C5" s="3959" t="s">
        <v>1671</v>
      </c>
      <c r="D5" s="3930"/>
      <c r="E5" s="3960" t="s">
        <v>1672</v>
      </c>
      <c r="F5" s="3925"/>
      <c r="G5" s="3959" t="s">
        <v>1673</v>
      </c>
      <c r="H5" s="3930"/>
      <c r="I5" s="3959" t="s">
        <v>1674</v>
      </c>
      <c r="J5" s="3930"/>
      <c r="K5" s="559"/>
      <c r="L5" s="2712"/>
      <c r="M5" s="2713"/>
      <c r="N5" s="2713"/>
      <c r="O5" s="2713"/>
      <c r="P5" s="3912"/>
      <c r="Q5" s="3913"/>
      <c r="R5" s="3918"/>
      <c r="S5" s="3919"/>
      <c r="T5" s="3918"/>
      <c r="U5" s="3919"/>
      <c r="V5" s="3901"/>
      <c r="W5" s="3901"/>
      <c r="X5" s="1355"/>
      <c r="Y5" s="3918"/>
      <c r="Z5" s="3919"/>
      <c r="AA5" s="3904"/>
      <c r="AB5" s="3904"/>
      <c r="AC5" s="3904"/>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926" t="s">
        <v>1678</v>
      </c>
      <c r="Q7" s="3928"/>
      <c r="R7" s="701" t="s">
        <v>14</v>
      </c>
      <c r="S7" s="702">
        <f t="shared" ref="S7:S14" si="0">F7</f>
        <v>0</v>
      </c>
      <c r="T7" s="701" t="s">
        <v>14</v>
      </c>
      <c r="U7" s="702">
        <f t="shared" ref="U7:U14" si="1">H7</f>
        <v>0</v>
      </c>
      <c r="V7" s="701" t="s">
        <v>14</v>
      </c>
      <c r="W7" s="702">
        <f t="shared" ref="W7:W14" si="2">J7</f>
        <v>0</v>
      </c>
      <c r="X7" s="703"/>
      <c r="Y7" s="3926" t="s">
        <v>1678</v>
      </c>
      <c r="Z7" s="3927"/>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926" t="s">
        <v>1681</v>
      </c>
      <c r="Q8" s="3927"/>
      <c r="R8" s="701" t="s">
        <v>14</v>
      </c>
      <c r="S8" s="702">
        <f t="shared" si="0"/>
        <v>100</v>
      </c>
      <c r="T8" s="701" t="s">
        <v>14</v>
      </c>
      <c r="U8" s="702">
        <f t="shared" si="1"/>
        <v>100</v>
      </c>
      <c r="V8" s="701" t="s">
        <v>14</v>
      </c>
      <c r="W8" s="702">
        <f t="shared" si="2"/>
        <v>100</v>
      </c>
      <c r="X8" s="703"/>
      <c r="Y8" s="3926" t="s">
        <v>1681</v>
      </c>
      <c r="Z8" s="3927"/>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87" t="s">
        <v>1684</v>
      </c>
      <c r="Q9" s="1343" t="str">
        <f t="shared" ref="Q9:Q14" si="6">B9</f>
        <v>用途</v>
      </c>
      <c r="R9" s="701" t="s">
        <v>14</v>
      </c>
      <c r="S9" s="702">
        <f t="shared" si="0"/>
        <v>100</v>
      </c>
      <c r="T9" s="701" t="s">
        <v>14</v>
      </c>
      <c r="U9" s="702">
        <f t="shared" si="1"/>
        <v>100</v>
      </c>
      <c r="V9" s="701" t="s">
        <v>14</v>
      </c>
      <c r="W9" s="702">
        <f t="shared" si="2"/>
        <v>100</v>
      </c>
      <c r="X9" s="703"/>
      <c r="Y9" s="3791" t="s">
        <v>1685</v>
      </c>
      <c r="Z9" s="52" t="str">
        <f t="shared" ref="Z9:Z14" si="7">Q9</f>
        <v>用途</v>
      </c>
      <c r="AA9" s="704">
        <f t="shared" si="3"/>
        <v>1</v>
      </c>
      <c r="AB9" s="704">
        <f t="shared" si="4"/>
        <v>1</v>
      </c>
      <c r="AC9" s="704">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87"/>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87"/>
      <c r="Q11" s="1343">
        <f t="shared" si="6"/>
        <v>111</v>
      </c>
      <c r="R11" s="701" t="s">
        <v>14</v>
      </c>
      <c r="S11" s="702">
        <f t="shared" si="0"/>
        <v>100</v>
      </c>
      <c r="T11" s="701" t="s">
        <v>14</v>
      </c>
      <c r="U11" s="702">
        <f t="shared" si="1"/>
        <v>100</v>
      </c>
      <c r="V11" s="701" t="s">
        <v>14</v>
      </c>
      <c r="W11" s="702">
        <f t="shared" si="2"/>
        <v>100</v>
      </c>
      <c r="X11" s="703"/>
      <c r="Y11" s="379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87"/>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94" t="s">
        <v>1689</v>
      </c>
      <c r="Q14" s="1352" t="str">
        <f t="shared" si="6"/>
        <v>交通便捷度</v>
      </c>
      <c r="R14" s="705" t="s">
        <v>14</v>
      </c>
      <c r="S14" s="706">
        <f t="shared" si="0"/>
        <v>100</v>
      </c>
      <c r="T14" s="705" t="s">
        <v>14</v>
      </c>
      <c r="U14" s="706">
        <f t="shared" si="1"/>
        <v>100</v>
      </c>
      <c r="V14" s="705" t="s">
        <v>14</v>
      </c>
      <c r="W14" s="706">
        <f t="shared" si="2"/>
        <v>100</v>
      </c>
      <c r="X14" s="1355"/>
      <c r="Y14" s="3894"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95"/>
      <c r="Q15" s="1352"/>
      <c r="R15" s="705"/>
      <c r="S15" s="706"/>
      <c r="T15" s="705"/>
      <c r="U15" s="706"/>
      <c r="V15" s="705"/>
      <c r="W15" s="706"/>
      <c r="X15" s="1355"/>
      <c r="Y15" s="3895"/>
      <c r="Z15" s="1356"/>
      <c r="AA15" s="1353">
        <v>1</v>
      </c>
      <c r="AB15" s="1353">
        <v>1</v>
      </c>
      <c r="AC15" s="1353">
        <v>1</v>
      </c>
    </row>
    <row r="16" spans="1:29" ht="15">
      <c r="A16" s="379"/>
      <c r="B16" s="402" t="s">
        <v>1810</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95"/>
      <c r="Q16" s="1352" t="str">
        <f>B16</f>
        <v>公共配套设施</v>
      </c>
      <c r="R16" s="705" t="s">
        <v>14</v>
      </c>
      <c r="S16" s="706">
        <f>F16</f>
        <v>100</v>
      </c>
      <c r="T16" s="705" t="s">
        <v>14</v>
      </c>
      <c r="U16" s="706">
        <f>H16</f>
        <v>100</v>
      </c>
      <c r="V16" s="705" t="s">
        <v>14</v>
      </c>
      <c r="W16" s="706">
        <f>J16</f>
        <v>100</v>
      </c>
      <c r="X16" s="1355"/>
      <c r="Y16" s="38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95"/>
      <c r="Q17" s="1352"/>
      <c r="R17" s="705"/>
      <c r="S17" s="706"/>
      <c r="T17" s="705"/>
      <c r="U17" s="706"/>
      <c r="V17" s="705"/>
      <c r="W17" s="706"/>
      <c r="X17" s="1355"/>
      <c r="Y17" s="3895"/>
      <c r="Z17" s="1356"/>
      <c r="AA17" s="1353">
        <v>1</v>
      </c>
      <c r="AB17" s="1353">
        <v>1</v>
      </c>
      <c r="AC17" s="1353">
        <v>1</v>
      </c>
    </row>
    <row r="18" spans="1:29" ht="15">
      <c r="A18" s="379"/>
      <c r="B18" s="1131" t="s">
        <v>1811</v>
      </c>
      <c r="C18" s="1900" t="str">
        <f>IF(B1="工业",估价对象房地状况!G6,估价对象房地状况!C8)</f>
        <v>六通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95"/>
      <c r="Q18" s="1352" t="str">
        <f>B18</f>
        <v>基础设施水平</v>
      </c>
      <c r="R18" s="705" t="s">
        <v>14</v>
      </c>
      <c r="S18" s="706">
        <f>F18</f>
        <v>100</v>
      </c>
      <c r="T18" s="705" t="s">
        <v>14</v>
      </c>
      <c r="U18" s="706">
        <f>H18</f>
        <v>100</v>
      </c>
      <c r="V18" s="705" t="s">
        <v>14</v>
      </c>
      <c r="W18" s="706">
        <f>J18</f>
        <v>100</v>
      </c>
      <c r="X18" s="1355"/>
      <c r="Y18" s="38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95"/>
      <c r="Q19" s="1352"/>
      <c r="R19" s="705"/>
      <c r="S19" s="706"/>
      <c r="T19" s="705"/>
      <c r="U19" s="706"/>
      <c r="V19" s="705"/>
      <c r="W19" s="706"/>
      <c r="X19" s="1355"/>
      <c r="Y19" s="3895"/>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95"/>
      <c r="Q20" s="1352" t="str">
        <f>B20</f>
        <v>自然及人文环境</v>
      </c>
      <c r="R20" s="705" t="s">
        <v>14</v>
      </c>
      <c r="S20" s="706">
        <f>F20</f>
        <v>100</v>
      </c>
      <c r="T20" s="705" t="s">
        <v>14</v>
      </c>
      <c r="U20" s="706">
        <f>H20</f>
        <v>100</v>
      </c>
      <c r="V20" s="705" t="s">
        <v>14</v>
      </c>
      <c r="W20" s="706">
        <f>J20</f>
        <v>100</v>
      </c>
      <c r="X20" s="1355"/>
      <c r="Y20" s="38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95"/>
      <c r="Q21" s="1352"/>
      <c r="R21" s="705"/>
      <c r="S21" s="706"/>
      <c r="T21" s="705"/>
      <c r="U21" s="706"/>
      <c r="V21" s="705"/>
      <c r="W21" s="706"/>
      <c r="X21" s="1355"/>
      <c r="Y21" s="3895"/>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95"/>
      <c r="Q22" s="1352" t="str">
        <f>B22</f>
        <v>楼层</v>
      </c>
      <c r="R22" s="705" t="s">
        <v>14</v>
      </c>
      <c r="S22" s="706">
        <f>F22</f>
        <v>100</v>
      </c>
      <c r="T22" s="705" t="s">
        <v>14</v>
      </c>
      <c r="U22" s="706">
        <f>H22</f>
        <v>100</v>
      </c>
      <c r="V22" s="705" t="s">
        <v>14</v>
      </c>
      <c r="W22" s="706">
        <f>J22</f>
        <v>100</v>
      </c>
      <c r="X22" s="1355"/>
      <c r="Y22" s="38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95"/>
      <c r="Q23" s="1352">
        <f>B23</f>
        <v>111</v>
      </c>
      <c r="R23" s="705" t="s">
        <v>14</v>
      </c>
      <c r="S23" s="706">
        <f>F23</f>
        <v>100</v>
      </c>
      <c r="T23" s="705" t="s">
        <v>14</v>
      </c>
      <c r="U23" s="706">
        <f>H23</f>
        <v>100</v>
      </c>
      <c r="V23" s="705" t="s">
        <v>14</v>
      </c>
      <c r="W23" s="706">
        <f>J23</f>
        <v>100</v>
      </c>
      <c r="X23" s="1355"/>
      <c r="Y23" s="38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95"/>
      <c r="Q24" s="1352">
        <f t="shared" ref="Q24:Q34" si="11">B24</f>
        <v>111</v>
      </c>
      <c r="R24" s="705" t="s">
        <v>14</v>
      </c>
      <c r="S24" s="706">
        <f>F24</f>
        <v>100</v>
      </c>
      <c r="T24" s="705" t="s">
        <v>14</v>
      </c>
      <c r="U24" s="706">
        <f>H24</f>
        <v>100</v>
      </c>
      <c r="V24" s="705" t="s">
        <v>14</v>
      </c>
      <c r="W24" s="706">
        <f>J24</f>
        <v>100</v>
      </c>
      <c r="X24" s="1355"/>
      <c r="Y24" s="389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895"/>
      <c r="Q25" s="1343">
        <f t="shared" si="11"/>
        <v>111</v>
      </c>
      <c r="R25" s="701" t="s">
        <v>14</v>
      </c>
      <c r="S25" s="702">
        <f>F25</f>
        <v>100</v>
      </c>
      <c r="T25" s="701" t="s">
        <v>14</v>
      </c>
      <c r="U25" s="702">
        <f>H25</f>
        <v>100</v>
      </c>
      <c r="V25" s="701" t="s">
        <v>14</v>
      </c>
      <c r="W25" s="702">
        <f>J25</f>
        <v>100</v>
      </c>
      <c r="X25" s="703"/>
      <c r="Y25" s="3895"/>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976"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99"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99"/>
      <c r="Q27" s="707" t="str">
        <f t="shared" si="11"/>
        <v>成新率</v>
      </c>
      <c r="R27" s="708" t="s">
        <v>14</v>
      </c>
      <c r="S27" s="709" t="e">
        <f t="shared" si="12"/>
        <v>#N/A</v>
      </c>
      <c r="T27" s="708" t="s">
        <v>14</v>
      </c>
      <c r="U27" s="709" t="e">
        <f t="shared" si="13"/>
        <v>#N/A</v>
      </c>
      <c r="V27" s="708" t="s">
        <v>14</v>
      </c>
      <c r="W27" s="709" t="e">
        <f t="shared" si="14"/>
        <v>#N/A</v>
      </c>
      <c r="X27" s="710"/>
      <c r="Y27" s="3899"/>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99"/>
      <c r="Q28" s="1352" t="str">
        <f t="shared" si="11"/>
        <v>物业等级</v>
      </c>
      <c r="R28" s="705" t="s">
        <v>14</v>
      </c>
      <c r="S28" s="706">
        <f t="shared" si="12"/>
        <v>100</v>
      </c>
      <c r="T28" s="705" t="s">
        <v>14</v>
      </c>
      <c r="U28" s="706">
        <f t="shared" si="13"/>
        <v>100</v>
      </c>
      <c r="V28" s="705" t="s">
        <v>14</v>
      </c>
      <c r="W28" s="706">
        <f t="shared" si="14"/>
        <v>100</v>
      </c>
      <c r="X28" s="1355"/>
      <c r="Y28" s="3899"/>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99"/>
      <c r="Q29" s="1352" t="str">
        <f t="shared" si="11"/>
        <v>有无电梯</v>
      </c>
      <c r="R29" s="705" t="s">
        <v>14</v>
      </c>
      <c r="S29" s="706">
        <f t="shared" si="12"/>
        <v>100</v>
      </c>
      <c r="T29" s="705" t="s">
        <v>14</v>
      </c>
      <c r="U29" s="706">
        <f t="shared" si="13"/>
        <v>100</v>
      </c>
      <c r="V29" s="705" t="s">
        <v>14</v>
      </c>
      <c r="W29" s="706">
        <f t="shared" si="14"/>
        <v>100</v>
      </c>
      <c r="X29" s="1355"/>
      <c r="Y29" s="3899"/>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99"/>
      <c r="Q30" s="1352" t="str">
        <f t="shared" si="11"/>
        <v>建筑面积</v>
      </c>
      <c r="R30" s="705" t="s">
        <v>14</v>
      </c>
      <c r="S30" s="706" t="e">
        <f t="shared" si="12"/>
        <v>#N/A</v>
      </c>
      <c r="T30" s="705" t="s">
        <v>14</v>
      </c>
      <c r="U30" s="706" t="e">
        <f t="shared" si="13"/>
        <v>#N/A</v>
      </c>
      <c r="V30" s="705" t="s">
        <v>14</v>
      </c>
      <c r="W30" s="706" t="e">
        <f t="shared" si="14"/>
        <v>#N/A</v>
      </c>
      <c r="X30" s="1355"/>
      <c r="Y30" s="3899"/>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99"/>
      <c r="Q31" s="1343" t="str">
        <f t="shared" si="11"/>
        <v>是否封闭</v>
      </c>
      <c r="R31" s="701" t="s">
        <v>14</v>
      </c>
      <c r="S31" s="702">
        <f t="shared" si="12"/>
        <v>100</v>
      </c>
      <c r="T31" s="701" t="s">
        <v>14</v>
      </c>
      <c r="U31" s="702">
        <f t="shared" si="13"/>
        <v>100</v>
      </c>
      <c r="V31" s="701" t="s">
        <v>14</v>
      </c>
      <c r="W31" s="702">
        <f t="shared" si="14"/>
        <v>100</v>
      </c>
      <c r="X31" s="703"/>
      <c r="Y31" s="38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99" t="s">
        <v>1694</v>
      </c>
      <c r="Q32" s="1352">
        <f t="shared" si="11"/>
        <v>111</v>
      </c>
      <c r="R32" s="705" t="s">
        <v>14</v>
      </c>
      <c r="S32" s="706">
        <f t="shared" si="12"/>
        <v>100</v>
      </c>
      <c r="T32" s="705" t="s">
        <v>14</v>
      </c>
      <c r="U32" s="706">
        <f t="shared" si="13"/>
        <v>100</v>
      </c>
      <c r="V32" s="705" t="s">
        <v>14</v>
      </c>
      <c r="W32" s="706">
        <f t="shared" si="14"/>
        <v>100</v>
      </c>
      <c r="X32" s="1355"/>
      <c r="Y32" s="3899"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99"/>
      <c r="Q33" s="1352">
        <f t="shared" si="11"/>
        <v>111</v>
      </c>
      <c r="R33" s="705" t="s">
        <v>14</v>
      </c>
      <c r="S33" s="706">
        <f t="shared" si="12"/>
        <v>100</v>
      </c>
      <c r="T33" s="705" t="s">
        <v>14</v>
      </c>
      <c r="U33" s="706">
        <f t="shared" si="13"/>
        <v>100</v>
      </c>
      <c r="V33" s="705" t="s">
        <v>14</v>
      </c>
      <c r="W33" s="706">
        <f t="shared" si="14"/>
        <v>100</v>
      </c>
      <c r="X33" s="1355"/>
      <c r="Y33" s="389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899"/>
      <c r="Q34" s="1352">
        <f t="shared" si="11"/>
        <v>111</v>
      </c>
      <c r="R34" s="705" t="s">
        <v>14</v>
      </c>
      <c r="S34" s="706">
        <f t="shared" si="12"/>
        <v>100</v>
      </c>
      <c r="T34" s="705" t="s">
        <v>14</v>
      </c>
      <c r="U34" s="706">
        <f t="shared" si="13"/>
        <v>100</v>
      </c>
      <c r="V34" s="705" t="s">
        <v>14</v>
      </c>
      <c r="W34" s="706">
        <f t="shared" si="14"/>
        <v>100</v>
      </c>
      <c r="X34" s="1355"/>
      <c r="Y34" s="3899"/>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1"/>
      <c r="M35" s="2722"/>
      <c r="N35" s="2713"/>
      <c r="O35" s="2722"/>
      <c r="P35" s="3887" t="str">
        <f>A35</f>
        <v>成交单价（元/平方米）</v>
      </c>
      <c r="Q35" s="3887"/>
      <c r="R35" s="3888">
        <f>E35</f>
        <v>0</v>
      </c>
      <c r="S35" s="3888"/>
      <c r="T35" s="3888">
        <f>G35</f>
        <v>0</v>
      </c>
      <c r="U35" s="3888"/>
      <c r="V35" s="3888">
        <f>I35</f>
        <v>0</v>
      </c>
      <c r="W35" s="3888"/>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887" t="str">
        <f>A36</f>
        <v>比较价值（元/平方米）</v>
      </c>
      <c r="Q36" s="3887"/>
      <c r="R36" s="3888" t="e">
        <f>IF(F1="售价",ROUND(PRODUCT(R35,AA7:AA34),0),ROUND(PRODUCT(R35,AA7:AA34),1))</f>
        <v>#DIV/0!</v>
      </c>
      <c r="S36" s="3888"/>
      <c r="T36" s="3888" t="e">
        <f>IF(F1="售价",ROUND(PRODUCT(T35,AB7:AB34),0),ROUND(PRODUCT(T35,AB7:AB34),1))</f>
        <v>#DIV/0!</v>
      </c>
      <c r="U36" s="3888"/>
      <c r="V36" s="3888" t="e">
        <f>IF(F1="售价",ROUND(PRODUCT(V35,AC7:AC34),0),ROUND(PRODUCT(V35,AC7:AC34),1))</f>
        <v>#DIV/0!</v>
      </c>
      <c r="W36" s="388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1"/>
      <c r="M37" s="2722"/>
      <c r="N37" s="2722"/>
      <c r="O37" s="2722"/>
      <c r="P37" s="3889" t="str">
        <f>A37</f>
        <v>估价对象XX用房的比较价值（楼面单价，元/平方米）</v>
      </c>
      <c r="Q37" s="3890"/>
      <c r="R37" s="3977" t="e">
        <f>IF(F1="售价",ROUND(IF(D36="简单平均",AVERAGE(R36:W36),R36*F36+T36*H36+V36*J36),0),ROUND(IF(D36="简单平均",AVERAGE(R36:V36),R36*F36+T36*H36+V36*J36),1))</f>
        <v>#DIV/0!</v>
      </c>
      <c r="S37" s="3977"/>
      <c r="T37" s="3977"/>
      <c r="U37" s="3977"/>
      <c r="V37" s="3977"/>
      <c r="W37" s="3977"/>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30" ht="15">
      <c r="A5" s="358"/>
      <c r="B5" s="359"/>
      <c r="C5" s="3959" t="s">
        <v>1671</v>
      </c>
      <c r="D5" s="3930"/>
      <c r="E5" s="3960" t="s">
        <v>1672</v>
      </c>
      <c r="F5" s="3925"/>
      <c r="G5" s="3959" t="s">
        <v>1673</v>
      </c>
      <c r="H5" s="3930"/>
      <c r="I5" s="3959" t="s">
        <v>1674</v>
      </c>
      <c r="J5" s="3930"/>
      <c r="K5" s="559"/>
      <c r="L5" s="2712"/>
      <c r="M5" s="2713"/>
      <c r="N5" s="2713"/>
      <c r="O5" s="2713"/>
      <c r="P5" s="3912"/>
      <c r="Q5" s="3913"/>
      <c r="R5" s="3918"/>
      <c r="S5" s="3919"/>
      <c r="T5" s="3918"/>
      <c r="U5" s="3919"/>
      <c r="V5" s="3901"/>
      <c r="W5" s="3901"/>
      <c r="X5" s="1355"/>
      <c r="Y5" s="3918"/>
      <c r="Z5" s="3919"/>
      <c r="AA5" s="3904"/>
      <c r="AB5" s="3904"/>
      <c r="AC5" s="3904"/>
    </row>
    <row r="6" spans="1:30"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1355"/>
      <c r="Y6" s="3920"/>
      <c r="Z6" s="3921"/>
      <c r="AA6" s="3905"/>
      <c r="AB6" s="3905"/>
      <c r="AC6" s="3905"/>
    </row>
    <row r="7" spans="1:30" s="108" customFormat="1" ht="15.75" thickBot="1">
      <c r="A7" s="362" t="s">
        <v>1677</v>
      </c>
      <c r="B7" s="363"/>
      <c r="C7" s="364">
        <f>'数据-取费表'!B2</f>
        <v>45441</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926" t="s">
        <v>1678</v>
      </c>
      <c r="Q7" s="3928"/>
      <c r="R7" s="701" t="s">
        <v>14</v>
      </c>
      <c r="S7" s="702">
        <f t="shared" ref="S7:S15" si="0">F7</f>
        <v>0</v>
      </c>
      <c r="T7" s="701" t="s">
        <v>14</v>
      </c>
      <c r="U7" s="702">
        <f t="shared" ref="U7:U15" si="1">H7</f>
        <v>0</v>
      </c>
      <c r="V7" s="701" t="s">
        <v>14</v>
      </c>
      <c r="W7" s="702">
        <f t="shared" ref="W7:W15" si="2">J7</f>
        <v>0</v>
      </c>
      <c r="X7" s="703"/>
      <c r="Y7" s="3926" t="s">
        <v>1678</v>
      </c>
      <c r="Z7" s="3927"/>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926" t="s">
        <v>1681</v>
      </c>
      <c r="Q8" s="3927"/>
      <c r="R8" s="701" t="s">
        <v>14</v>
      </c>
      <c r="S8" s="702">
        <f t="shared" si="0"/>
        <v>0</v>
      </c>
      <c r="T8" s="701" t="s">
        <v>14</v>
      </c>
      <c r="U8" s="702">
        <f t="shared" si="1"/>
        <v>0</v>
      </c>
      <c r="V8" s="701" t="s">
        <v>14</v>
      </c>
      <c r="W8" s="702">
        <f t="shared" si="2"/>
        <v>0</v>
      </c>
      <c r="X8" s="703"/>
      <c r="Y8" s="3926" t="s">
        <v>1681</v>
      </c>
      <c r="Z8" s="3927"/>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887"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136</v>
      </c>
      <c r="G10" s="414"/>
      <c r="H10" s="127">
        <f>ROUND(100/'数据-取费表'!G16,0)</f>
        <v>136</v>
      </c>
      <c r="I10" s="414"/>
      <c r="J10" s="127">
        <f>ROUND(100/'数据-取费表'!G16,0)</f>
        <v>136</v>
      </c>
      <c r="K10" s="620"/>
      <c r="L10" s="2716"/>
      <c r="M10" s="2717"/>
      <c r="N10" s="2717"/>
      <c r="O10" s="2770"/>
      <c r="P10" s="3887"/>
      <c r="Q10" s="1343" t="str">
        <f t="shared" si="6"/>
        <v>土地使用年限（年）</v>
      </c>
      <c r="R10" s="701" t="s">
        <v>14</v>
      </c>
      <c r="S10" s="702">
        <f t="shared" si="0"/>
        <v>136</v>
      </c>
      <c r="T10" s="701" t="s">
        <v>14</v>
      </c>
      <c r="U10" s="702">
        <f t="shared" si="1"/>
        <v>136</v>
      </c>
      <c r="V10" s="701" t="s">
        <v>14</v>
      </c>
      <c r="W10" s="702">
        <f t="shared" si="2"/>
        <v>136</v>
      </c>
      <c r="X10" s="703"/>
      <c r="Y10" s="3791"/>
      <c r="Z10" s="52" t="str">
        <f t="shared" si="7"/>
        <v>土地使用年限（年）</v>
      </c>
      <c r="AA10" s="704">
        <f t="shared" si="3"/>
        <v>0.73529411764705888</v>
      </c>
      <c r="AB10" s="704">
        <f t="shared" si="4"/>
        <v>0.73529411764705888</v>
      </c>
      <c r="AC10" s="704">
        <f t="shared" si="5"/>
        <v>0.73529411764705888</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87"/>
      <c r="Q11" s="1343" t="str">
        <f t="shared" si="6"/>
        <v>容积率</v>
      </c>
      <c r="R11" s="701" t="s">
        <v>14</v>
      </c>
      <c r="S11" s="702" t="e">
        <f t="shared" si="0"/>
        <v>#N/A</v>
      </c>
      <c r="T11" s="701" t="s">
        <v>14</v>
      </c>
      <c r="U11" s="702" t="e">
        <f t="shared" si="1"/>
        <v>#N/A</v>
      </c>
      <c r="V11" s="701" t="s">
        <v>14</v>
      </c>
      <c r="W11" s="702" t="e">
        <f t="shared" si="2"/>
        <v>#N/A</v>
      </c>
      <c r="X11" s="703"/>
      <c r="Y11" s="379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87"/>
      <c r="Q12" s="1343" t="str">
        <f t="shared" si="6"/>
        <v>配建</v>
      </c>
      <c r="R12" s="701" t="s">
        <v>14</v>
      </c>
      <c r="S12" s="702">
        <f t="shared" si="0"/>
        <v>100</v>
      </c>
      <c r="T12" s="701" t="s">
        <v>14</v>
      </c>
      <c r="U12" s="702">
        <f t="shared" si="1"/>
        <v>100</v>
      </c>
      <c r="V12" s="701" t="s">
        <v>14</v>
      </c>
      <c r="W12" s="702">
        <f t="shared" si="2"/>
        <v>100</v>
      </c>
      <c r="X12" s="703"/>
      <c r="Y12" s="379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87"/>
      <c r="Q14" s="1343">
        <f t="shared" si="6"/>
        <v>111</v>
      </c>
      <c r="R14" s="701" t="s">
        <v>14</v>
      </c>
      <c r="S14" s="702">
        <f t="shared" si="0"/>
        <v>100</v>
      </c>
      <c r="T14" s="701" t="s">
        <v>14</v>
      </c>
      <c r="U14" s="702">
        <f t="shared" si="1"/>
        <v>100</v>
      </c>
      <c r="V14" s="701" t="s">
        <v>14</v>
      </c>
      <c r="W14" s="702">
        <f t="shared" si="2"/>
        <v>100</v>
      </c>
      <c r="X14" s="703"/>
      <c r="Y14" s="3791"/>
      <c r="Z14" s="52">
        <f t="shared" si="7"/>
        <v>111</v>
      </c>
      <c r="AA14" s="704">
        <f>D14/F14</f>
        <v>1</v>
      </c>
      <c r="AB14" s="704">
        <f>D14/H14</f>
        <v>1</v>
      </c>
      <c r="AC14" s="704">
        <f>D14/J14</f>
        <v>1</v>
      </c>
    </row>
    <row r="15" spans="1:30" ht="15">
      <c r="A15" s="391" t="s">
        <v>1688</v>
      </c>
      <c r="B15" s="61" t="s">
        <v>1255</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94" t="s">
        <v>1689</v>
      </c>
      <c r="Q15" s="1352" t="str">
        <f t="shared" si="6"/>
        <v>居住社区成熟度</v>
      </c>
      <c r="R15" s="705" t="s">
        <v>14</v>
      </c>
      <c r="S15" s="706">
        <f t="shared" si="0"/>
        <v>100</v>
      </c>
      <c r="T15" s="705" t="s">
        <v>14</v>
      </c>
      <c r="U15" s="706">
        <f t="shared" si="1"/>
        <v>100</v>
      </c>
      <c r="V15" s="705" t="s">
        <v>14</v>
      </c>
      <c r="W15" s="706">
        <f t="shared" si="2"/>
        <v>100</v>
      </c>
      <c r="X15" s="1355"/>
      <c r="Y15" s="3894"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95"/>
      <c r="Q16" s="1352"/>
      <c r="R16" s="705"/>
      <c r="S16" s="706"/>
      <c r="T16" s="705"/>
      <c r="U16" s="706"/>
      <c r="V16" s="705"/>
      <c r="W16" s="706"/>
      <c r="X16" s="1355"/>
      <c r="Y16" s="3895"/>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95"/>
      <c r="Q17" s="1352" t="str">
        <f>B17</f>
        <v>商业繁华度</v>
      </c>
      <c r="R17" s="705" t="s">
        <v>14</v>
      </c>
      <c r="S17" s="706">
        <f>F17</f>
        <v>100</v>
      </c>
      <c r="T17" s="705" t="s">
        <v>14</v>
      </c>
      <c r="U17" s="706">
        <f>H17</f>
        <v>100</v>
      </c>
      <c r="V17" s="705" t="s">
        <v>14</v>
      </c>
      <c r="W17" s="706">
        <f>J17</f>
        <v>100</v>
      </c>
      <c r="X17" s="1355"/>
      <c r="Y17" s="38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95"/>
      <c r="Q18" s="1352"/>
      <c r="R18" s="705"/>
      <c r="S18" s="706"/>
      <c r="T18" s="705"/>
      <c r="U18" s="706"/>
      <c r="V18" s="705"/>
      <c r="W18" s="706"/>
      <c r="X18" s="1355"/>
      <c r="Y18" s="3895"/>
      <c r="Z18" s="1356"/>
      <c r="AA18" s="1353">
        <v>1</v>
      </c>
      <c r="AB18" s="1353">
        <v>1</v>
      </c>
      <c r="AC18" s="1353">
        <v>1</v>
      </c>
    </row>
    <row r="19" spans="1:29" ht="15">
      <c r="A19" s="379"/>
      <c r="B19" s="402" t="s">
        <v>1809</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95"/>
      <c r="Q19" s="1352" t="str">
        <f>B19</f>
        <v>办公集聚程度</v>
      </c>
      <c r="R19" s="705" t="s">
        <v>14</v>
      </c>
      <c r="S19" s="706">
        <f>F19</f>
        <v>100</v>
      </c>
      <c r="T19" s="705" t="s">
        <v>14</v>
      </c>
      <c r="U19" s="706">
        <f>H19</f>
        <v>100</v>
      </c>
      <c r="V19" s="705" t="s">
        <v>14</v>
      </c>
      <c r="W19" s="706">
        <f>J19</f>
        <v>100</v>
      </c>
      <c r="X19" s="1355"/>
      <c r="Y19" s="38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95"/>
      <c r="Q20" s="1352"/>
      <c r="R20" s="705"/>
      <c r="S20" s="706"/>
      <c r="T20" s="705"/>
      <c r="U20" s="706"/>
      <c r="V20" s="705"/>
      <c r="W20" s="706"/>
      <c r="X20" s="1355"/>
      <c r="Y20" s="3895"/>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95"/>
      <c r="Q21" s="1352" t="str">
        <f>B21</f>
        <v>交通便捷度</v>
      </c>
      <c r="R21" s="705" t="s">
        <v>14</v>
      </c>
      <c r="S21" s="706">
        <f>F21</f>
        <v>100</v>
      </c>
      <c r="T21" s="705" t="s">
        <v>14</v>
      </c>
      <c r="U21" s="706">
        <f>H21</f>
        <v>100</v>
      </c>
      <c r="V21" s="705" t="s">
        <v>14</v>
      </c>
      <c r="W21" s="706">
        <f>J21</f>
        <v>100</v>
      </c>
      <c r="X21" s="1355"/>
      <c r="Y21" s="38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95"/>
      <c r="Q22" s="1352"/>
      <c r="R22" s="705"/>
      <c r="S22" s="706"/>
      <c r="T22" s="705"/>
      <c r="U22" s="706"/>
      <c r="V22" s="705"/>
      <c r="W22" s="706"/>
      <c r="X22" s="1355"/>
      <c r="Y22" s="3895"/>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95"/>
      <c r="Q23" s="1352" t="str">
        <f t="shared" ref="Q23:Q37" si="8">B23</f>
        <v>区域土地利用方向</v>
      </c>
      <c r="R23" s="705" t="s">
        <v>14</v>
      </c>
      <c r="S23" s="706">
        <f>F23</f>
        <v>100</v>
      </c>
      <c r="T23" s="705" t="s">
        <v>14</v>
      </c>
      <c r="U23" s="706">
        <f>H23</f>
        <v>100</v>
      </c>
      <c r="V23" s="705" t="s">
        <v>14</v>
      </c>
      <c r="W23" s="706">
        <f>J23</f>
        <v>100</v>
      </c>
      <c r="X23" s="1355"/>
      <c r="Y23" s="38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95"/>
      <c r="Q24" s="1352"/>
      <c r="R24" s="705"/>
      <c r="S24" s="706"/>
      <c r="T24" s="705"/>
      <c r="U24" s="706"/>
      <c r="V24" s="705"/>
      <c r="W24" s="706"/>
      <c r="X24" s="1355"/>
      <c r="Y24" s="3895"/>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95"/>
      <c r="Q25" s="1352" t="str">
        <f t="shared" si="8"/>
        <v>自然及人文环境状况</v>
      </c>
      <c r="R25" s="705" t="s">
        <v>14</v>
      </c>
      <c r="S25" s="706">
        <f>F25</f>
        <v>100</v>
      </c>
      <c r="T25" s="705" t="s">
        <v>14</v>
      </c>
      <c r="U25" s="706">
        <f>H25</f>
        <v>100</v>
      </c>
      <c r="V25" s="705" t="s">
        <v>14</v>
      </c>
      <c r="W25" s="706">
        <f>J25</f>
        <v>100</v>
      </c>
      <c r="X25" s="1355"/>
      <c r="Y25" s="38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95"/>
      <c r="Q26" s="1352"/>
      <c r="R26" s="705"/>
      <c r="S26" s="706"/>
      <c r="T26" s="705"/>
      <c r="U26" s="706"/>
      <c r="V26" s="705"/>
      <c r="W26" s="706"/>
      <c r="X26" s="1355"/>
      <c r="Y26" s="3895"/>
      <c r="Z26" s="1356"/>
      <c r="AA26" s="1353">
        <v>1</v>
      </c>
      <c r="AB26" s="1353">
        <v>1</v>
      </c>
      <c r="AC26" s="1353">
        <v>1</v>
      </c>
    </row>
    <row r="27" spans="1:29" s="108" customFormat="1" ht="15">
      <c r="A27" s="597"/>
      <c r="B27" s="1131" t="s">
        <v>1776</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95"/>
      <c r="Q27" s="1343" t="str">
        <f t="shared" si="8"/>
        <v>公共配套设施</v>
      </c>
      <c r="R27" s="701" t="s">
        <v>14</v>
      </c>
      <c r="S27" s="702">
        <f>F27</f>
        <v>100</v>
      </c>
      <c r="T27" s="701" t="s">
        <v>14</v>
      </c>
      <c r="U27" s="702">
        <f>H27</f>
        <v>100</v>
      </c>
      <c r="V27" s="701" t="s">
        <v>14</v>
      </c>
      <c r="W27" s="702">
        <f>J27</f>
        <v>100</v>
      </c>
      <c r="X27" s="703"/>
      <c r="Y27" s="38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895"/>
      <c r="Q28" s="1343"/>
      <c r="R28" s="701"/>
      <c r="S28" s="702"/>
      <c r="T28" s="701"/>
      <c r="U28" s="702"/>
      <c r="V28" s="701"/>
      <c r="W28" s="702"/>
      <c r="X28" s="703"/>
      <c r="Y28" s="3895"/>
      <c r="Z28" s="52"/>
      <c r="AA28" s="1353">
        <v>1</v>
      </c>
      <c r="AB28" s="1353">
        <v>1</v>
      </c>
      <c r="AC28" s="1353">
        <v>1</v>
      </c>
    </row>
    <row r="29" spans="1:29" s="108" customFormat="1" ht="15">
      <c r="A29" s="597"/>
      <c r="B29" s="1131" t="s">
        <v>1777</v>
      </c>
      <c r="C29" s="1900" t="str">
        <f>估价对象房地状况!C22</f>
        <v>六通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95"/>
      <c r="Q29" s="1343" t="str">
        <f t="shared" ref="Q29" si="9">B29</f>
        <v>基础设施水平</v>
      </c>
      <c r="R29" s="701" t="s">
        <v>14</v>
      </c>
      <c r="S29" s="702">
        <f>F29</f>
        <v>100</v>
      </c>
      <c r="T29" s="701" t="s">
        <v>14</v>
      </c>
      <c r="U29" s="702">
        <f>H29</f>
        <v>100</v>
      </c>
      <c r="V29" s="701" t="s">
        <v>14</v>
      </c>
      <c r="W29" s="702">
        <f>J29</f>
        <v>100</v>
      </c>
      <c r="X29" s="703"/>
      <c r="Y29" s="38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895"/>
      <c r="Q30" s="1343"/>
      <c r="R30" s="701"/>
      <c r="S30" s="702"/>
      <c r="T30" s="701"/>
      <c r="U30" s="702"/>
      <c r="V30" s="701"/>
      <c r="W30" s="702"/>
      <c r="X30" s="703"/>
      <c r="Y30" s="3895"/>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95"/>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95"/>
      <c r="Q32" s="1352" t="str">
        <f t="shared" si="8"/>
        <v>毗邻道路的类型与等级</v>
      </c>
      <c r="R32" s="705" t="s">
        <v>14</v>
      </c>
      <c r="S32" s="706">
        <f t="shared" si="10"/>
        <v>100</v>
      </c>
      <c r="T32" s="705" t="s">
        <v>14</v>
      </c>
      <c r="U32" s="706">
        <f t="shared" si="11"/>
        <v>100</v>
      </c>
      <c r="V32" s="705" t="s">
        <v>14</v>
      </c>
      <c r="W32" s="706">
        <f t="shared" si="12"/>
        <v>100</v>
      </c>
      <c r="X32" s="1355"/>
      <c r="Y32" s="38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95"/>
      <c r="Q33" s="1352"/>
      <c r="R33" s="705"/>
      <c r="S33" s="706"/>
      <c r="T33" s="705"/>
      <c r="U33" s="706"/>
      <c r="V33" s="705"/>
      <c r="W33" s="706"/>
      <c r="X33" s="1355"/>
      <c r="Y33" s="3895"/>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95"/>
      <c r="Q34" s="1352" t="str">
        <f t="shared" si="8"/>
        <v>土地级别</v>
      </c>
      <c r="R34" s="705" t="s">
        <v>14</v>
      </c>
      <c r="S34" s="706">
        <f t="shared" si="10"/>
        <v>100</v>
      </c>
      <c r="T34" s="705" t="s">
        <v>14</v>
      </c>
      <c r="U34" s="706">
        <f t="shared" si="11"/>
        <v>100</v>
      </c>
      <c r="V34" s="705" t="s">
        <v>14</v>
      </c>
      <c r="W34" s="706">
        <f t="shared" si="12"/>
        <v>100</v>
      </c>
      <c r="X34" s="1355"/>
      <c r="Y34" s="38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95"/>
      <c r="Q35" s="1352">
        <f t="shared" si="8"/>
        <v>111</v>
      </c>
      <c r="R35" s="705" t="s">
        <v>14</v>
      </c>
      <c r="S35" s="706">
        <f t="shared" si="10"/>
        <v>100</v>
      </c>
      <c r="T35" s="705" t="s">
        <v>14</v>
      </c>
      <c r="U35" s="706">
        <f t="shared" si="11"/>
        <v>100</v>
      </c>
      <c r="V35" s="705" t="s">
        <v>14</v>
      </c>
      <c r="W35" s="706">
        <f t="shared" si="12"/>
        <v>100</v>
      </c>
      <c r="X35" s="1355"/>
      <c r="Y35" s="38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976" t="s">
        <v>1694</v>
      </c>
      <c r="Q36" s="1352">
        <f t="shared" si="8"/>
        <v>111</v>
      </c>
      <c r="R36" s="705" t="s">
        <v>14</v>
      </c>
      <c r="S36" s="706">
        <f t="shared" si="10"/>
        <v>100</v>
      </c>
      <c r="T36" s="705" t="s">
        <v>14</v>
      </c>
      <c r="U36" s="706">
        <f t="shared" si="11"/>
        <v>100</v>
      </c>
      <c r="V36" s="705" t="s">
        <v>14</v>
      </c>
      <c r="W36" s="706">
        <f t="shared" si="12"/>
        <v>100</v>
      </c>
      <c r="X36" s="1355"/>
      <c r="Y36" s="3899"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99"/>
      <c r="Q37" s="1352">
        <f t="shared" si="8"/>
        <v>111</v>
      </c>
      <c r="R37" s="708" t="s">
        <v>14</v>
      </c>
      <c r="S37" s="709">
        <f t="shared" si="10"/>
        <v>100</v>
      </c>
      <c r="T37" s="708" t="s">
        <v>14</v>
      </c>
      <c r="U37" s="709">
        <f t="shared" si="11"/>
        <v>100</v>
      </c>
      <c r="V37" s="708" t="s">
        <v>14</v>
      </c>
      <c r="W37" s="709">
        <f t="shared" si="12"/>
        <v>100</v>
      </c>
      <c r="X37" s="710"/>
      <c r="Y37" s="3899"/>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99"/>
      <c r="Q38" s="1352" t="str">
        <f>B38</f>
        <v>宗地面积</v>
      </c>
      <c r="R38" s="705" t="s">
        <v>14</v>
      </c>
      <c r="S38" s="706" t="e">
        <f t="shared" si="10"/>
        <v>#N/A</v>
      </c>
      <c r="T38" s="705" t="s">
        <v>14</v>
      </c>
      <c r="U38" s="706" t="e">
        <f t="shared" si="11"/>
        <v>#N/A</v>
      </c>
      <c r="V38" s="705" t="s">
        <v>14</v>
      </c>
      <c r="W38" s="706" t="e">
        <f t="shared" si="12"/>
        <v>#N/A</v>
      </c>
      <c r="X38" s="1355"/>
      <c r="Y38" s="3899"/>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99"/>
      <c r="Q39" s="1352" t="str">
        <f t="shared" ref="Q39:Q45" si="14">B39</f>
        <v>宗地形状</v>
      </c>
      <c r="R39" s="705" t="s">
        <v>14</v>
      </c>
      <c r="S39" s="706">
        <f t="shared" si="10"/>
        <v>100</v>
      </c>
      <c r="T39" s="705" t="s">
        <v>14</v>
      </c>
      <c r="U39" s="706">
        <f t="shared" si="11"/>
        <v>100</v>
      </c>
      <c r="V39" s="705" t="s">
        <v>14</v>
      </c>
      <c r="W39" s="706">
        <f t="shared" si="12"/>
        <v>100</v>
      </c>
      <c r="X39" s="1355"/>
      <c r="Y39" s="3899"/>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99"/>
      <c r="Q40" s="1352" t="str">
        <f t="shared" si="14"/>
        <v>临街宽度及深度</v>
      </c>
      <c r="R40" s="705" t="s">
        <v>14</v>
      </c>
      <c r="S40" s="706">
        <f t="shared" si="10"/>
        <v>100</v>
      </c>
      <c r="T40" s="705" t="s">
        <v>14</v>
      </c>
      <c r="U40" s="706">
        <f t="shared" si="11"/>
        <v>100</v>
      </c>
      <c r="V40" s="705" t="s">
        <v>14</v>
      </c>
      <c r="W40" s="706">
        <f t="shared" si="12"/>
        <v>100</v>
      </c>
      <c r="X40" s="1355"/>
      <c r="Y40" s="3899"/>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899"/>
      <c r="Q41" s="1352" t="str">
        <f t="shared" si="14"/>
        <v>宗地开发程度</v>
      </c>
      <c r="R41" s="701" t="s">
        <v>14</v>
      </c>
      <c r="S41" s="702">
        <f t="shared" si="10"/>
        <v>100</v>
      </c>
      <c r="T41" s="701" t="s">
        <v>14</v>
      </c>
      <c r="U41" s="702">
        <f t="shared" si="11"/>
        <v>100</v>
      </c>
      <c r="V41" s="701" t="s">
        <v>14</v>
      </c>
      <c r="W41" s="702">
        <f t="shared" si="12"/>
        <v>100</v>
      </c>
      <c r="X41" s="703"/>
      <c r="Y41" s="3899"/>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99" t="s">
        <v>1694</v>
      </c>
      <c r="Q42" s="1352" t="str">
        <f t="shared" si="14"/>
        <v>工程地质条件</v>
      </c>
      <c r="R42" s="705" t="s">
        <v>14</v>
      </c>
      <c r="S42" s="706">
        <f t="shared" si="10"/>
        <v>100</v>
      </c>
      <c r="T42" s="705" t="s">
        <v>14</v>
      </c>
      <c r="U42" s="706">
        <f t="shared" si="11"/>
        <v>100</v>
      </c>
      <c r="V42" s="705" t="s">
        <v>14</v>
      </c>
      <c r="W42" s="706">
        <f t="shared" si="12"/>
        <v>100</v>
      </c>
      <c r="X42" s="1355"/>
      <c r="Y42" s="3899"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99"/>
      <c r="Q43" s="1352">
        <f t="shared" si="14"/>
        <v>111</v>
      </c>
      <c r="R43" s="705" t="s">
        <v>14</v>
      </c>
      <c r="S43" s="706">
        <f t="shared" si="10"/>
        <v>100</v>
      </c>
      <c r="T43" s="705" t="s">
        <v>14</v>
      </c>
      <c r="U43" s="706">
        <f t="shared" si="11"/>
        <v>100</v>
      </c>
      <c r="V43" s="705" t="s">
        <v>14</v>
      </c>
      <c r="W43" s="706">
        <f t="shared" si="12"/>
        <v>100</v>
      </c>
      <c r="X43" s="1355"/>
      <c r="Y43" s="38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99"/>
      <c r="Q44" s="1352">
        <f t="shared" si="14"/>
        <v>111</v>
      </c>
      <c r="R44" s="705" t="s">
        <v>14</v>
      </c>
      <c r="S44" s="706">
        <f t="shared" si="10"/>
        <v>100</v>
      </c>
      <c r="T44" s="705" t="s">
        <v>14</v>
      </c>
      <c r="U44" s="706">
        <f t="shared" si="11"/>
        <v>100</v>
      </c>
      <c r="V44" s="705" t="s">
        <v>14</v>
      </c>
      <c r="W44" s="706">
        <f t="shared" si="12"/>
        <v>100</v>
      </c>
      <c r="X44" s="1355"/>
      <c r="Y44" s="389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99"/>
      <c r="Q45" s="1352">
        <f t="shared" si="14"/>
        <v>111</v>
      </c>
      <c r="R45" s="708" t="s">
        <v>14</v>
      </c>
      <c r="S45" s="709">
        <f t="shared" si="10"/>
        <v>100</v>
      </c>
      <c r="T45" s="708" t="s">
        <v>14</v>
      </c>
      <c r="U45" s="709">
        <f t="shared" si="11"/>
        <v>100</v>
      </c>
      <c r="V45" s="708" t="s">
        <v>14</v>
      </c>
      <c r="W45" s="709">
        <f t="shared" si="12"/>
        <v>100</v>
      </c>
      <c r="X45" s="710"/>
      <c r="Y45" s="3899"/>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1"/>
      <c r="M46" s="2722"/>
      <c r="N46" s="2713"/>
      <c r="O46" s="2722"/>
      <c r="P46" s="3887" t="str">
        <f>A46</f>
        <v>成交单价</v>
      </c>
      <c r="Q46" s="3887"/>
      <c r="R46" s="3901">
        <f>E46</f>
        <v>0</v>
      </c>
      <c r="S46" s="3901"/>
      <c r="T46" s="3901">
        <f>G46</f>
        <v>0</v>
      </c>
      <c r="U46" s="3901"/>
      <c r="V46" s="3901">
        <f>I46</f>
        <v>0</v>
      </c>
      <c r="W46" s="3901"/>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887" t="str">
        <f>A47</f>
        <v>比较价值（元/平方米）</v>
      </c>
      <c r="Q47" s="3887"/>
      <c r="R47" s="3978" t="e">
        <f>ROUND(PRODUCT(R46,AA7:AA45),0)</f>
        <v>#DIV/0!</v>
      </c>
      <c r="S47" s="3978"/>
      <c r="T47" s="3978" t="e">
        <f>ROUND(PRODUCT(T46,AB7:AB45),0)</f>
        <v>#DIV/0!</v>
      </c>
      <c r="U47" s="3978"/>
      <c r="V47" s="3978" t="e">
        <f>ROUND(PRODUCT(V46,AC7:AC45),0)</f>
        <v>#DIV/0!</v>
      </c>
      <c r="W47" s="397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889" t="str">
        <f>A48</f>
        <v>估价对象XX用房的比较价值（楼面单价，元/平方米）</v>
      </c>
      <c r="Q48" s="3890"/>
      <c r="R48" s="3979" t="e">
        <f>ROUND(IF(D47="简单平均",AVERAGE(R47:W47),R47*F47+T47*H47+V47*J47),0)</f>
        <v>#DIV/0!</v>
      </c>
      <c r="S48" s="3979"/>
      <c r="T48" s="3979"/>
      <c r="U48" s="3979"/>
      <c r="V48" s="3979"/>
      <c r="W48" s="3979"/>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3" t="s">
        <v>1881</v>
      </c>
      <c r="D55" s="1984" t="s">
        <v>1882</v>
      </c>
      <c r="E55" s="634" t="s">
        <v>1883</v>
      </c>
      <c r="F55" s="890" t="s">
        <v>1884</v>
      </c>
      <c r="G55" s="3906" t="s">
        <v>1885</v>
      </c>
      <c r="H55" s="3980"/>
      <c r="I55" s="135" t="s">
        <v>1886</v>
      </c>
      <c r="J55" s="1985">
        <f>项目基本情况!F35</f>
        <v>0</v>
      </c>
      <c r="K55" s="1986"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4">
        <v>1</v>
      </c>
      <c r="E56" s="638">
        <f>'数据-汇总表'!E8+'数据-汇总表'!E9</f>
        <v>420</v>
      </c>
      <c r="F56" s="886" t="e">
        <f t="shared" ref="F56:F64" si="15">ROUND(B56*E56/10000,0)</f>
        <v>#DIV/0!</v>
      </c>
      <c r="G56" s="3902"/>
      <c r="H56" s="388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v>
      </c>
      <c r="D57" s="945">
        <v>0.25</v>
      </c>
      <c r="E57" s="642"/>
      <c r="F57" s="886" t="e">
        <f t="shared" si="15"/>
        <v>#DIV/0!</v>
      </c>
      <c r="G57" s="3003" t="s">
        <v>1890</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420</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1902</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29" ht="15">
      <c r="A5" s="358"/>
      <c r="B5" s="359"/>
      <c r="C5" s="3959" t="s">
        <v>1671</v>
      </c>
      <c r="D5" s="3930"/>
      <c r="E5" s="3960" t="s">
        <v>1672</v>
      </c>
      <c r="F5" s="3925"/>
      <c r="G5" s="3959" t="s">
        <v>1673</v>
      </c>
      <c r="H5" s="3930"/>
      <c r="I5" s="3959" t="s">
        <v>1674</v>
      </c>
      <c r="J5" s="3930"/>
      <c r="K5" s="559"/>
      <c r="L5" s="2712"/>
      <c r="M5" s="2713"/>
      <c r="N5" s="2713"/>
      <c r="O5" s="2713"/>
      <c r="P5" s="3912"/>
      <c r="Q5" s="3913"/>
      <c r="R5" s="3918"/>
      <c r="S5" s="3919"/>
      <c r="T5" s="3918"/>
      <c r="U5" s="3919"/>
      <c r="V5" s="3901"/>
      <c r="W5" s="3901"/>
      <c r="X5" s="1355"/>
      <c r="Y5" s="3918"/>
      <c r="Z5" s="3919"/>
      <c r="AA5" s="3904"/>
      <c r="AB5" s="3904"/>
      <c r="AC5" s="3904"/>
    </row>
    <row r="6" spans="1:29" ht="15.75" thickBot="1">
      <c r="A6" s="360"/>
      <c r="B6" s="361"/>
      <c r="C6" s="3981" t="s">
        <v>1917</v>
      </c>
      <c r="D6" s="3982"/>
      <c r="E6" s="3983" t="s">
        <v>1917</v>
      </c>
      <c r="F6" s="3984"/>
      <c r="G6" s="3981" t="s">
        <v>1917</v>
      </c>
      <c r="H6" s="3982"/>
      <c r="I6" s="3981" t="s">
        <v>1917</v>
      </c>
      <c r="J6" s="3982"/>
      <c r="K6" s="559" t="s">
        <v>1676</v>
      </c>
      <c r="L6" s="2712"/>
      <c r="M6" s="2713"/>
      <c r="N6" s="2713"/>
      <c r="O6" s="2713"/>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926" t="s">
        <v>1678</v>
      </c>
      <c r="Q7" s="3928"/>
      <c r="R7" s="701" t="s">
        <v>14</v>
      </c>
      <c r="S7" s="702">
        <f t="shared" ref="S7:S15" si="0">F7</f>
        <v>0</v>
      </c>
      <c r="T7" s="701" t="s">
        <v>14</v>
      </c>
      <c r="U7" s="702">
        <f t="shared" ref="U7:U15" si="1">H7</f>
        <v>0</v>
      </c>
      <c r="V7" s="701" t="s">
        <v>14</v>
      </c>
      <c r="W7" s="702">
        <f t="shared" ref="W7:W15" si="2">J7</f>
        <v>0</v>
      </c>
      <c r="X7" s="703"/>
      <c r="Y7" s="3926" t="s">
        <v>1678</v>
      </c>
      <c r="Z7" s="3927"/>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926" t="s">
        <v>1681</v>
      </c>
      <c r="Q8" s="3927"/>
      <c r="R8" s="701" t="s">
        <v>14</v>
      </c>
      <c r="S8" s="702">
        <f t="shared" si="0"/>
        <v>0</v>
      </c>
      <c r="T8" s="701" t="s">
        <v>14</v>
      </c>
      <c r="U8" s="702">
        <f t="shared" si="1"/>
        <v>0</v>
      </c>
      <c r="V8" s="701" t="s">
        <v>14</v>
      </c>
      <c r="W8" s="702">
        <f t="shared" si="2"/>
        <v>0</v>
      </c>
      <c r="X8" s="703"/>
      <c r="Y8" s="3926" t="s">
        <v>1681</v>
      </c>
      <c r="Z8" s="3927"/>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887"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136</v>
      </c>
      <c r="G10" s="383"/>
      <c r="H10" s="127">
        <f>ROUND(100/'数据-取费表'!G16,0)</f>
        <v>136</v>
      </c>
      <c r="I10" s="383"/>
      <c r="J10" s="127">
        <f>ROUND(100/'数据-取费表'!G16,0)</f>
        <v>136</v>
      </c>
      <c r="K10" s="620"/>
      <c r="L10" s="2716"/>
      <c r="M10" s="2717"/>
      <c r="N10" s="2717"/>
      <c r="O10" s="2770"/>
      <c r="P10" s="3887"/>
      <c r="Q10" s="1343" t="str">
        <f t="shared" si="6"/>
        <v>土地使用年限（年）</v>
      </c>
      <c r="R10" s="701" t="s">
        <v>14</v>
      </c>
      <c r="S10" s="702">
        <f t="shared" si="0"/>
        <v>136</v>
      </c>
      <c r="T10" s="701" t="s">
        <v>14</v>
      </c>
      <c r="U10" s="702">
        <f t="shared" si="1"/>
        <v>136</v>
      </c>
      <c r="V10" s="701" t="s">
        <v>14</v>
      </c>
      <c r="W10" s="702">
        <f t="shared" si="2"/>
        <v>136</v>
      </c>
      <c r="X10" s="703"/>
      <c r="Y10" s="3791"/>
      <c r="Z10" s="52" t="str">
        <f t="shared" si="7"/>
        <v>土地使用年限（年）</v>
      </c>
      <c r="AA10" s="704">
        <f t="shared" si="3"/>
        <v>0.73529411764705888</v>
      </c>
      <c r="AB10" s="704">
        <f t="shared" si="4"/>
        <v>0.73529411764705888</v>
      </c>
      <c r="AC10" s="704">
        <f t="shared" si="5"/>
        <v>0.73529411764705888</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87"/>
      <c r="Q11" s="1343" t="str">
        <f t="shared" si="6"/>
        <v>容积率</v>
      </c>
      <c r="R11" s="701" t="s">
        <v>14</v>
      </c>
      <c r="S11" s="702" t="e">
        <f t="shared" si="0"/>
        <v>#N/A</v>
      </c>
      <c r="T11" s="701" t="s">
        <v>14</v>
      </c>
      <c r="U11" s="702" t="e">
        <f t="shared" si="1"/>
        <v>#N/A</v>
      </c>
      <c r="V11" s="701" t="s">
        <v>14</v>
      </c>
      <c r="W11" s="702" t="e">
        <f t="shared" si="2"/>
        <v>#N/A</v>
      </c>
      <c r="X11" s="703"/>
      <c r="Y11" s="379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87"/>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87"/>
      <c r="Q14" s="1343">
        <f t="shared" si="6"/>
        <v>111</v>
      </c>
      <c r="R14" s="701" t="s">
        <v>14</v>
      </c>
      <c r="S14" s="702">
        <f t="shared" si="0"/>
        <v>100</v>
      </c>
      <c r="T14" s="701" t="s">
        <v>14</v>
      </c>
      <c r="U14" s="702">
        <f t="shared" si="1"/>
        <v>100</v>
      </c>
      <c r="V14" s="701" t="s">
        <v>14</v>
      </c>
      <c r="W14" s="702">
        <f t="shared" si="2"/>
        <v>100</v>
      </c>
      <c r="X14" s="703"/>
      <c r="Y14" s="3791"/>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94" t="s">
        <v>1689</v>
      </c>
      <c r="Q15" s="1352" t="str">
        <f t="shared" si="6"/>
        <v>产业集聚程度</v>
      </c>
      <c r="R15" s="705" t="s">
        <v>14</v>
      </c>
      <c r="S15" s="706">
        <f t="shared" si="0"/>
        <v>100</v>
      </c>
      <c r="T15" s="705" t="s">
        <v>14</v>
      </c>
      <c r="U15" s="706">
        <f t="shared" si="1"/>
        <v>100</v>
      </c>
      <c r="V15" s="705" t="s">
        <v>14</v>
      </c>
      <c r="W15" s="706">
        <f t="shared" si="2"/>
        <v>100</v>
      </c>
      <c r="X15" s="1355"/>
      <c r="Y15" s="3894"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95"/>
      <c r="Q16" s="1352"/>
      <c r="R16" s="705"/>
      <c r="S16" s="706"/>
      <c r="T16" s="705"/>
      <c r="U16" s="706"/>
      <c r="V16" s="705"/>
      <c r="W16" s="706"/>
      <c r="X16" s="1355"/>
      <c r="Y16" s="3895"/>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95"/>
      <c r="Q17" s="1352" t="str">
        <f>B17</f>
        <v>交通便捷度</v>
      </c>
      <c r="R17" s="705" t="s">
        <v>14</v>
      </c>
      <c r="S17" s="706">
        <f>F17</f>
        <v>100</v>
      </c>
      <c r="T17" s="705" t="s">
        <v>14</v>
      </c>
      <c r="U17" s="706">
        <f>H17</f>
        <v>100</v>
      </c>
      <c r="V17" s="705" t="s">
        <v>14</v>
      </c>
      <c r="W17" s="706">
        <f>J17</f>
        <v>100</v>
      </c>
      <c r="X17" s="1355"/>
      <c r="Y17" s="38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95"/>
      <c r="Q18" s="1352"/>
      <c r="R18" s="705"/>
      <c r="S18" s="706"/>
      <c r="T18" s="705"/>
      <c r="U18" s="706"/>
      <c r="V18" s="705"/>
      <c r="W18" s="706"/>
      <c r="X18" s="1355"/>
      <c r="Y18" s="3895"/>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95"/>
      <c r="Q19" s="1352" t="str">
        <f t="shared" ref="Q19:Q33" si="8">B19</f>
        <v>区域土地利用方向</v>
      </c>
      <c r="R19" s="705" t="s">
        <v>14</v>
      </c>
      <c r="S19" s="706">
        <f>F19</f>
        <v>100</v>
      </c>
      <c r="T19" s="705" t="s">
        <v>14</v>
      </c>
      <c r="U19" s="706">
        <f>H19</f>
        <v>100</v>
      </c>
      <c r="V19" s="705" t="s">
        <v>14</v>
      </c>
      <c r="W19" s="706">
        <f>J19</f>
        <v>100</v>
      </c>
      <c r="X19" s="1355"/>
      <c r="Y19" s="38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95"/>
      <c r="Q20" s="1352"/>
      <c r="R20" s="705"/>
      <c r="S20" s="706"/>
      <c r="T20" s="705"/>
      <c r="U20" s="706"/>
      <c r="V20" s="705"/>
      <c r="W20" s="706"/>
      <c r="X20" s="1355"/>
      <c r="Y20" s="3895"/>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95"/>
      <c r="Q21" s="1352" t="str">
        <f t="shared" si="8"/>
        <v>环境状况</v>
      </c>
      <c r="R21" s="705" t="s">
        <v>14</v>
      </c>
      <c r="S21" s="706">
        <f>F21</f>
        <v>100</v>
      </c>
      <c r="T21" s="705" t="s">
        <v>14</v>
      </c>
      <c r="U21" s="706">
        <f>H21</f>
        <v>100</v>
      </c>
      <c r="V21" s="705" t="s">
        <v>14</v>
      </c>
      <c r="W21" s="706">
        <f>J21</f>
        <v>100</v>
      </c>
      <c r="X21" s="1355"/>
      <c r="Y21" s="38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95"/>
      <c r="Q22" s="1352"/>
      <c r="R22" s="705"/>
      <c r="S22" s="706"/>
      <c r="T22" s="705"/>
      <c r="U22" s="706"/>
      <c r="V22" s="705"/>
      <c r="W22" s="706"/>
      <c r="X22" s="1355"/>
      <c r="Y22" s="3895"/>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95"/>
      <c r="Q23" s="1343" t="str">
        <f t="shared" si="8"/>
        <v>公共配套设施</v>
      </c>
      <c r="R23" s="701" t="s">
        <v>14</v>
      </c>
      <c r="S23" s="702">
        <f>F23</f>
        <v>100</v>
      </c>
      <c r="T23" s="701" t="s">
        <v>14</v>
      </c>
      <c r="U23" s="702">
        <f>H23</f>
        <v>100</v>
      </c>
      <c r="V23" s="701" t="s">
        <v>14</v>
      </c>
      <c r="W23" s="702">
        <f>J23</f>
        <v>100</v>
      </c>
      <c r="X23" s="703"/>
      <c r="Y23" s="38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895"/>
      <c r="Q24" s="1343"/>
      <c r="R24" s="701"/>
      <c r="S24" s="702"/>
      <c r="T24" s="701"/>
      <c r="U24" s="702"/>
      <c r="V24" s="701"/>
      <c r="W24" s="702"/>
      <c r="X24" s="703"/>
      <c r="Y24" s="3895"/>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95"/>
      <c r="Q25" s="1343" t="str">
        <f t="shared" ref="Q25" si="9">B25</f>
        <v>基础设施水平</v>
      </c>
      <c r="R25" s="701" t="s">
        <v>14</v>
      </c>
      <c r="S25" s="702">
        <f>F25</f>
        <v>100</v>
      </c>
      <c r="T25" s="701" t="s">
        <v>14</v>
      </c>
      <c r="U25" s="702">
        <f>H25</f>
        <v>100</v>
      </c>
      <c r="V25" s="701" t="s">
        <v>14</v>
      </c>
      <c r="W25" s="702">
        <f>J25</f>
        <v>100</v>
      </c>
      <c r="X25" s="703"/>
      <c r="Y25" s="38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895"/>
      <c r="Q26" s="1343"/>
      <c r="R26" s="701"/>
      <c r="S26" s="702"/>
      <c r="T26" s="701"/>
      <c r="U26" s="702"/>
      <c r="V26" s="701"/>
      <c r="W26" s="702"/>
      <c r="X26" s="703"/>
      <c r="Y26" s="3895"/>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95"/>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95"/>
      <c r="Q28" s="1352" t="str">
        <f t="shared" si="8"/>
        <v>毗邻道路的类型与等级</v>
      </c>
      <c r="R28" s="705" t="s">
        <v>14</v>
      </c>
      <c r="S28" s="706">
        <f t="shared" si="10"/>
        <v>100</v>
      </c>
      <c r="T28" s="705" t="s">
        <v>14</v>
      </c>
      <c r="U28" s="706">
        <f t="shared" si="11"/>
        <v>100</v>
      </c>
      <c r="V28" s="705" t="s">
        <v>14</v>
      </c>
      <c r="W28" s="706">
        <f t="shared" si="12"/>
        <v>100</v>
      </c>
      <c r="X28" s="1355"/>
      <c r="Y28" s="38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95"/>
      <c r="Q29" s="1352"/>
      <c r="R29" s="705"/>
      <c r="S29" s="706"/>
      <c r="T29" s="705"/>
      <c r="U29" s="706"/>
      <c r="V29" s="705"/>
      <c r="W29" s="706"/>
      <c r="X29" s="1355"/>
      <c r="Y29" s="3895"/>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95"/>
      <c r="Q30" s="1352" t="str">
        <f t="shared" si="8"/>
        <v>土地级别</v>
      </c>
      <c r="R30" s="705" t="s">
        <v>14</v>
      </c>
      <c r="S30" s="706">
        <f t="shared" si="10"/>
        <v>100</v>
      </c>
      <c r="T30" s="705" t="s">
        <v>14</v>
      </c>
      <c r="U30" s="706">
        <f t="shared" si="11"/>
        <v>100</v>
      </c>
      <c r="V30" s="705" t="s">
        <v>14</v>
      </c>
      <c r="W30" s="706">
        <f t="shared" si="12"/>
        <v>100</v>
      </c>
      <c r="X30" s="1355"/>
      <c r="Y30" s="38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95"/>
      <c r="Q31" s="1352">
        <f t="shared" si="8"/>
        <v>111</v>
      </c>
      <c r="R31" s="705" t="s">
        <v>14</v>
      </c>
      <c r="S31" s="706">
        <f t="shared" si="10"/>
        <v>100</v>
      </c>
      <c r="T31" s="705" t="s">
        <v>14</v>
      </c>
      <c r="U31" s="706">
        <f t="shared" si="11"/>
        <v>100</v>
      </c>
      <c r="V31" s="705" t="s">
        <v>14</v>
      </c>
      <c r="W31" s="706">
        <f t="shared" si="12"/>
        <v>100</v>
      </c>
      <c r="X31" s="1355"/>
      <c r="Y31" s="38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976" t="s">
        <v>1694</v>
      </c>
      <c r="Q32" s="1352">
        <f t="shared" si="8"/>
        <v>111</v>
      </c>
      <c r="R32" s="705" t="s">
        <v>14</v>
      </c>
      <c r="S32" s="706">
        <f t="shared" si="10"/>
        <v>100</v>
      </c>
      <c r="T32" s="705" t="s">
        <v>14</v>
      </c>
      <c r="U32" s="706">
        <f t="shared" si="11"/>
        <v>100</v>
      </c>
      <c r="V32" s="705" t="s">
        <v>14</v>
      </c>
      <c r="W32" s="706">
        <f t="shared" si="12"/>
        <v>100</v>
      </c>
      <c r="X32" s="1355"/>
      <c r="Y32" s="3899"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99"/>
      <c r="Q33" s="1352">
        <f t="shared" si="8"/>
        <v>111</v>
      </c>
      <c r="R33" s="708" t="s">
        <v>14</v>
      </c>
      <c r="S33" s="709">
        <f t="shared" si="10"/>
        <v>100</v>
      </c>
      <c r="T33" s="708" t="s">
        <v>14</v>
      </c>
      <c r="U33" s="709">
        <f t="shared" si="11"/>
        <v>100</v>
      </c>
      <c r="V33" s="708" t="s">
        <v>14</v>
      </c>
      <c r="W33" s="709">
        <f t="shared" si="12"/>
        <v>100</v>
      </c>
      <c r="X33" s="710"/>
      <c r="Y33" s="3899"/>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99"/>
      <c r="Q34" s="1352" t="str">
        <f>B34</f>
        <v>宗地面积</v>
      </c>
      <c r="R34" s="705" t="s">
        <v>14</v>
      </c>
      <c r="S34" s="706" t="e">
        <f t="shared" si="10"/>
        <v>#N/A</v>
      </c>
      <c r="T34" s="705" t="s">
        <v>14</v>
      </c>
      <c r="U34" s="706" t="e">
        <f t="shared" si="11"/>
        <v>#N/A</v>
      </c>
      <c r="V34" s="705" t="s">
        <v>14</v>
      </c>
      <c r="W34" s="706" t="e">
        <f t="shared" si="12"/>
        <v>#N/A</v>
      </c>
      <c r="X34" s="1355"/>
      <c r="Y34" s="3899"/>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99"/>
      <c r="Q35" s="1352" t="str">
        <f t="shared" ref="Q35:Q40" si="14">B35</f>
        <v>宗地形状</v>
      </c>
      <c r="R35" s="705" t="s">
        <v>14</v>
      </c>
      <c r="S35" s="706">
        <f t="shared" si="10"/>
        <v>100</v>
      </c>
      <c r="T35" s="705" t="s">
        <v>14</v>
      </c>
      <c r="U35" s="706">
        <f t="shared" si="11"/>
        <v>100</v>
      </c>
      <c r="V35" s="705" t="s">
        <v>14</v>
      </c>
      <c r="W35" s="706">
        <f t="shared" si="12"/>
        <v>100</v>
      </c>
      <c r="X35" s="1355"/>
      <c r="Y35" s="3899"/>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899"/>
      <c r="Q36" s="1352" t="str">
        <f t="shared" si="14"/>
        <v>宗地开发程度</v>
      </c>
      <c r="R36" s="701" t="s">
        <v>14</v>
      </c>
      <c r="S36" s="702">
        <f t="shared" si="10"/>
        <v>100</v>
      </c>
      <c r="T36" s="701" t="s">
        <v>14</v>
      </c>
      <c r="U36" s="702">
        <f t="shared" si="11"/>
        <v>100</v>
      </c>
      <c r="V36" s="701" t="s">
        <v>14</v>
      </c>
      <c r="W36" s="702">
        <f t="shared" si="12"/>
        <v>100</v>
      </c>
      <c r="X36" s="703"/>
      <c r="Y36" s="3899"/>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99" t="s">
        <v>1694</v>
      </c>
      <c r="Q37" s="1352" t="str">
        <f t="shared" si="14"/>
        <v>工程地质条件</v>
      </c>
      <c r="R37" s="705" t="s">
        <v>14</v>
      </c>
      <c r="S37" s="706">
        <f t="shared" si="10"/>
        <v>100</v>
      </c>
      <c r="T37" s="705" t="s">
        <v>14</v>
      </c>
      <c r="U37" s="706">
        <f t="shared" si="11"/>
        <v>100</v>
      </c>
      <c r="V37" s="705" t="s">
        <v>14</v>
      </c>
      <c r="W37" s="706">
        <f t="shared" si="12"/>
        <v>100</v>
      </c>
      <c r="X37" s="1355"/>
      <c r="Y37" s="3899"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99"/>
      <c r="Q38" s="1352">
        <f t="shared" si="14"/>
        <v>111</v>
      </c>
      <c r="R38" s="705" t="s">
        <v>14</v>
      </c>
      <c r="S38" s="706">
        <f t="shared" si="10"/>
        <v>100</v>
      </c>
      <c r="T38" s="705" t="s">
        <v>14</v>
      </c>
      <c r="U38" s="706">
        <f t="shared" si="11"/>
        <v>100</v>
      </c>
      <c r="V38" s="705" t="s">
        <v>14</v>
      </c>
      <c r="W38" s="706">
        <f t="shared" si="12"/>
        <v>100</v>
      </c>
      <c r="X38" s="1355"/>
      <c r="Y38" s="38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99"/>
      <c r="Q39" s="1352">
        <f t="shared" si="14"/>
        <v>111</v>
      </c>
      <c r="R39" s="705" t="s">
        <v>14</v>
      </c>
      <c r="S39" s="706">
        <f t="shared" si="10"/>
        <v>100</v>
      </c>
      <c r="T39" s="705" t="s">
        <v>14</v>
      </c>
      <c r="U39" s="706">
        <f t="shared" si="11"/>
        <v>100</v>
      </c>
      <c r="V39" s="705" t="s">
        <v>14</v>
      </c>
      <c r="W39" s="706">
        <f t="shared" si="12"/>
        <v>100</v>
      </c>
      <c r="X39" s="1355"/>
      <c r="Y39" s="389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99"/>
      <c r="Q40" s="1352">
        <f t="shared" si="14"/>
        <v>111</v>
      </c>
      <c r="R40" s="708" t="s">
        <v>14</v>
      </c>
      <c r="S40" s="709">
        <f t="shared" si="10"/>
        <v>100</v>
      </c>
      <c r="T40" s="708" t="s">
        <v>14</v>
      </c>
      <c r="U40" s="709">
        <f t="shared" si="11"/>
        <v>100</v>
      </c>
      <c r="V40" s="708" t="s">
        <v>14</v>
      </c>
      <c r="W40" s="709">
        <f t="shared" si="12"/>
        <v>100</v>
      </c>
      <c r="X40" s="710"/>
      <c r="Y40" s="3899"/>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1"/>
      <c r="M41" s="2713"/>
      <c r="N41" s="2713"/>
      <c r="O41" s="2722"/>
      <c r="P41" s="3887" t="str">
        <f>A41</f>
        <v>成交单价</v>
      </c>
      <c r="Q41" s="3887"/>
      <c r="R41" s="3901">
        <f>E41</f>
        <v>0</v>
      </c>
      <c r="S41" s="3901"/>
      <c r="T41" s="3901">
        <f>G41</f>
        <v>0</v>
      </c>
      <c r="U41" s="3901"/>
      <c r="V41" s="3901">
        <f>I41</f>
        <v>0</v>
      </c>
      <c r="W41" s="3901"/>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887" t="str">
        <f>A42</f>
        <v>比较价值（元/平方米）</v>
      </c>
      <c r="Q42" s="3887"/>
      <c r="R42" s="3978" t="e">
        <f>ROUND(PRODUCT(R41,AA7:AA40),0)</f>
        <v>#DIV/0!</v>
      </c>
      <c r="S42" s="3978"/>
      <c r="T42" s="3978" t="e">
        <f>ROUND(PRODUCT(T41,AB7:AB40),0)</f>
        <v>#DIV/0!</v>
      </c>
      <c r="U42" s="3978"/>
      <c r="V42" s="3978" t="e">
        <f>ROUND(PRODUCT(V41,AC7:AC40),0)</f>
        <v>#DIV/0!</v>
      </c>
      <c r="W42" s="397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889" t="str">
        <f>A43</f>
        <v>估价对象XX用房的比较价值（楼面单价，元/平方米）</v>
      </c>
      <c r="Q43" s="3890"/>
      <c r="R43" s="3979" t="e">
        <f>ROUND(IF(D42="简单平均",AVERAGE(R42:W42),R42*F42+T42*H42+V42*J42),0)</f>
        <v>#DIV/0!</v>
      </c>
      <c r="S43" s="3979"/>
      <c r="T43" s="3979"/>
      <c r="U43" s="3979"/>
      <c r="V43" s="3979"/>
      <c r="W43" s="3979"/>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3" t="s">
        <v>1881</v>
      </c>
      <c r="D50" s="1984" t="s">
        <v>1882</v>
      </c>
      <c r="E50" s="634" t="s">
        <v>1883</v>
      </c>
      <c r="F50" s="635" t="s">
        <v>1884</v>
      </c>
      <c r="G50" s="3906" t="s">
        <v>1885</v>
      </c>
      <c r="H50" s="3980"/>
      <c r="I50" s="1356" t="s">
        <v>1921</v>
      </c>
      <c r="J50" s="1356">
        <f>项目基本情况!F35</f>
        <v>0</v>
      </c>
      <c r="K50" s="1986"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4">
        <v>1</v>
      </c>
      <c r="E51" s="638">
        <f>'数据-汇总表'!E8+'数据-汇总表'!E9</f>
        <v>420</v>
      </c>
      <c r="F51" s="639" t="e">
        <f t="shared" ref="F51:F60" si="15">ROUND(B51*E51/10000,0)</f>
        <v>#DIV/0!</v>
      </c>
      <c r="G51" s="3902"/>
      <c r="H51" s="388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v>
      </c>
      <c r="D52" s="945">
        <v>0.25</v>
      </c>
      <c r="E52" s="642"/>
      <c r="F52" s="639" t="e">
        <f t="shared" si="15"/>
        <v>#DIV/0!</v>
      </c>
      <c r="G52" s="3003" t="s">
        <v>1890</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1902</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988" t="s">
        <v>2082</v>
      </c>
      <c r="D1" s="3989"/>
      <c r="E1" s="3989"/>
      <c r="F1" s="3989"/>
      <c r="G1" s="3989"/>
      <c r="H1" s="3989"/>
      <c r="I1" s="3989"/>
      <c r="J1" s="3989"/>
      <c r="K1" s="3989"/>
      <c r="L1" s="3989"/>
      <c r="M1" s="3989"/>
      <c r="N1" s="3989"/>
      <c r="O1" s="3989"/>
      <c r="P1" s="3989"/>
      <c r="Q1" s="3989"/>
      <c r="R1" s="3989"/>
      <c r="S1" s="399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985" t="s">
        <v>27</v>
      </c>
      <c r="D22" s="3986"/>
      <c r="E22" s="3986"/>
      <c r="F22" s="3986"/>
      <c r="G22" s="3986"/>
      <c r="H22" s="3986"/>
      <c r="I22" s="3986"/>
      <c r="J22" s="3986"/>
      <c r="K22" s="3986"/>
      <c r="L22" s="3986"/>
      <c r="M22" s="3986"/>
      <c r="N22" s="3986"/>
      <c r="O22" s="3986"/>
      <c r="P22" s="3986"/>
      <c r="Q22" s="398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0"/>
      <c r="G1" s="2790"/>
      <c r="H1" s="2790"/>
      <c r="I1" s="2790"/>
      <c r="J1" s="2790"/>
      <c r="K1" s="2790"/>
      <c r="L1" s="2790"/>
      <c r="M1" s="2790"/>
      <c r="N1" s="2790"/>
      <c r="O1" s="2790"/>
      <c r="P1" s="2790"/>
    </row>
    <row r="2" spans="1:16" ht="15.75">
      <c r="A2" s="2145" t="s">
        <v>2071</v>
      </c>
      <c r="B2" s="2599" t="e">
        <f ca="1">SUMIF(B6:B13,"&lt;&gt;#ref!",B6:B13)</f>
        <v>#DIV/0!</v>
      </c>
      <c r="C2" s="2145" t="s">
        <v>2072</v>
      </c>
      <c r="D2" s="2145" t="s">
        <v>2073</v>
      </c>
      <c r="E2" s="2609">
        <f ca="1">SUMIF(E6:E13,"&lt;&gt;#ref!",E6:E13)</f>
        <v>420</v>
      </c>
      <c r="F2" s="2790"/>
      <c r="G2" s="2790"/>
      <c r="H2" s="2790"/>
      <c r="I2" s="2790"/>
      <c r="J2" s="2790"/>
      <c r="K2" s="2790"/>
      <c r="L2" s="2790"/>
      <c r="M2" s="2790"/>
      <c r="N2" s="2790"/>
      <c r="O2" s="2790"/>
      <c r="P2" s="2790"/>
    </row>
    <row r="3" spans="1:16" ht="15.75">
      <c r="A3" s="2145" t="s">
        <v>2074</v>
      </c>
      <c r="B3" s="2599" t="e">
        <f ca="1">ROUND(B2*10000/E2,0)</f>
        <v>#DIV/0!</v>
      </c>
      <c r="C3" s="2145"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6"/>
      <c r="D5" s="2790"/>
      <c r="E5" s="2608" t="s">
        <v>2077</v>
      </c>
      <c r="F5" s="2790"/>
      <c r="G5" s="2790"/>
      <c r="H5" s="2790"/>
      <c r="I5" s="2790"/>
      <c r="J5" s="2790"/>
      <c r="K5" s="2790"/>
      <c r="L5" s="2790"/>
      <c r="M5" s="2790"/>
      <c r="N5" s="2790"/>
      <c r="O5" s="2790"/>
      <c r="P5" s="2790"/>
    </row>
    <row r="6" spans="1:16" ht="15.75">
      <c r="A6" s="2606" t="s">
        <v>2078</v>
      </c>
      <c r="B6" s="2599" t="e">
        <f ca="1">SUMIF(INDIRECT("'"&amp;A6&amp;"'"&amp;"!A:A"),"总价",INDIRECT("'"&amp;A6&amp;"'"&amp;"!B:B"))</f>
        <v>#DIV/0!</v>
      </c>
      <c r="C6" s="2145" t="s">
        <v>2072</v>
      </c>
      <c r="D6" s="2790"/>
      <c r="E6" s="2609">
        <f ca="1">SUMIF(INDIRECT("'"&amp;A6&amp;"'"&amp;"!C:C"),"建筑面积",INDIRECT("'"&amp;A6&amp;"'"&amp;"!D:D"))</f>
        <v>420</v>
      </c>
      <c r="F6" s="2790"/>
      <c r="G6" s="2790"/>
      <c r="H6" s="2790"/>
      <c r="I6" s="2790"/>
      <c r="J6" s="2790"/>
      <c r="K6" s="2790"/>
      <c r="L6" s="2790"/>
      <c r="M6" s="2790"/>
      <c r="N6" s="2790"/>
      <c r="O6" s="2790"/>
      <c r="P6" s="2790"/>
    </row>
    <row r="7" spans="1:16" ht="15.75">
      <c r="A7" s="2606"/>
      <c r="B7" s="2599" t="e">
        <f ca="1">SUMIF(INDIRECT("'"&amp;A7&amp;"'"&amp;"!A:A"),"总价",INDIRECT("'"&amp;A7&amp;"'"&amp;"!B:B"))</f>
        <v>#REF!</v>
      </c>
      <c r="C7" s="2145" t="s">
        <v>2072</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tabSelected="1" view="pageBreakPreview" topLeftCell="A25" zoomScale="90" zoomScaleSheetLayoutView="90" workbookViewId="0">
      <selection activeCell="D36" sqref="D36:F36"/>
    </sheetView>
  </sheetViews>
  <sheetFormatPr defaultColWidth="9" defaultRowHeight="13.5"/>
  <cols>
    <col min="1" max="1" width="6.375" style="3450" customWidth="1"/>
    <col min="2" max="2" width="19.375" style="3524" customWidth="1"/>
    <col min="3" max="3" width="10.125" style="3511" customWidth="1"/>
    <col min="4" max="4" width="6.375" style="3511" customWidth="1"/>
    <col min="5" max="5" width="7.375" style="3511" customWidth="1"/>
    <col min="6" max="6" width="6.5" style="3511" customWidth="1"/>
    <col min="7" max="7" width="19.375" style="3525" customWidth="1"/>
    <col min="8" max="8" width="19.5" style="3450" customWidth="1"/>
    <col min="9" max="9" width="8.625" style="3450" customWidth="1"/>
    <col min="10" max="10" width="10.5" style="3446" customWidth="1"/>
    <col min="11" max="11" width="7.75" style="3479" customWidth="1"/>
    <col min="12" max="12" width="16.375" style="3479" customWidth="1"/>
    <col min="13" max="16" width="8.125" style="3450" customWidth="1"/>
    <col min="17" max="17" width="9" style="3450"/>
    <col min="18" max="18" width="20.375" style="3450" customWidth="1"/>
    <col min="19" max="20" width="9" style="3450"/>
    <col min="21" max="21" width="15.625" style="3450" customWidth="1"/>
    <col min="22" max="16384" width="9" style="3450"/>
  </cols>
  <sheetData>
    <row r="1" spans="1:16">
      <c r="A1" s="4035" t="s">
        <v>3368</v>
      </c>
      <c r="B1" s="4035"/>
      <c r="C1" s="4035"/>
      <c r="D1" s="4035"/>
      <c r="E1" s="4035"/>
      <c r="F1" s="4035"/>
      <c r="G1" s="4035"/>
      <c r="H1" s="4035"/>
      <c r="I1" s="4035"/>
      <c r="K1" s="4036" t="s">
        <v>3369</v>
      </c>
      <c r="L1" s="3447" t="s">
        <v>3370</v>
      </c>
      <c r="M1" s="3448">
        <v>0</v>
      </c>
      <c r="N1" s="3449"/>
      <c r="O1" s="3449"/>
    </row>
    <row r="2" spans="1:16" ht="15.75" customHeight="1">
      <c r="A2" s="3451" t="s">
        <v>3371</v>
      </c>
      <c r="B2" s="3452" t="s">
        <v>3372</v>
      </c>
      <c r="C2" s="4000" t="s">
        <v>3373</v>
      </c>
      <c r="D2" s="4001"/>
      <c r="E2" s="4001"/>
      <c r="F2" s="4002"/>
      <c r="G2" s="3453" t="s">
        <v>3374</v>
      </c>
      <c r="H2" s="4011" t="s">
        <v>3375</v>
      </c>
      <c r="I2" s="4011"/>
      <c r="K2" s="4036"/>
      <c r="L2" s="3447" t="s">
        <v>3376</v>
      </c>
      <c r="M2" s="3454" t="s">
        <v>3377</v>
      </c>
      <c r="N2" s="3455"/>
      <c r="O2" s="3455"/>
    </row>
    <row r="3" spans="1:16">
      <c r="A3" s="3456" t="s">
        <v>3378</v>
      </c>
      <c r="B3" s="3457" t="s">
        <v>3379</v>
      </c>
      <c r="C3" s="4037">
        <f>'比较法-商业售价'!B2*10000</f>
        <v>22518720</v>
      </c>
      <c r="D3" s="4038"/>
      <c r="E3" s="4038"/>
      <c r="F3" s="4039"/>
      <c r="G3" s="3456" t="s">
        <v>3380</v>
      </c>
      <c r="H3" s="3458" t="s">
        <v>3381</v>
      </c>
      <c r="I3" s="3459">
        <f>'数据-汇总表'!E3</f>
        <v>420</v>
      </c>
      <c r="J3" s="3446">
        <f>C3/I3</f>
        <v>53616</v>
      </c>
      <c r="K3" s="4036"/>
      <c r="L3" s="3447" t="s">
        <v>3382</v>
      </c>
      <c r="M3" s="3454" t="s">
        <v>3383</v>
      </c>
      <c r="N3" s="3455"/>
      <c r="O3" s="3460"/>
    </row>
    <row r="4" spans="1:16">
      <c r="A4" s="4003" t="s">
        <v>3384</v>
      </c>
      <c r="B4" s="4004" t="s">
        <v>3385</v>
      </c>
      <c r="C4" s="4040">
        <f>ROUND(C3*(I4-I6)/(1-((1+I6)/(1+I4))^I5),0)</f>
        <v>1642937</v>
      </c>
      <c r="D4" s="4041"/>
      <c r="E4" s="4041"/>
      <c r="F4" s="4042"/>
      <c r="G4" s="4003" t="s">
        <v>3386</v>
      </c>
      <c r="H4" s="3461" t="s">
        <v>3387</v>
      </c>
      <c r="I4" s="3462">
        <v>0.06</v>
      </c>
      <c r="J4" s="3446">
        <f>'比较法-商业'!C49*365/J3</f>
        <v>0.13138801850193971</v>
      </c>
      <c r="K4" s="4036"/>
      <c r="L4" s="3447" t="s">
        <v>3388</v>
      </c>
      <c r="M4" s="3463">
        <f>ROUND(1-(1-M1)*M2/M3,2)</f>
        <v>0.57999999999999996</v>
      </c>
      <c r="N4" s="3455"/>
      <c r="O4" s="3455"/>
    </row>
    <row r="5" spans="1:16" s="3467" customFormat="1" ht="18" customHeight="1">
      <c r="A5" s="4003"/>
      <c r="B5" s="4004"/>
      <c r="C5" s="4043"/>
      <c r="D5" s="4044"/>
      <c r="E5" s="4044"/>
      <c r="F5" s="4045"/>
      <c r="G5" s="4003"/>
      <c r="H5" s="3457" t="s">
        <v>3389</v>
      </c>
      <c r="I5" s="3464">
        <f>'数据-取费表'!F6</f>
        <v>19.46</v>
      </c>
      <c r="J5" s="3465"/>
      <c r="K5" s="4036"/>
      <c r="L5" s="3447" t="s">
        <v>3390</v>
      </c>
      <c r="M5" s="3466">
        <v>0.5</v>
      </c>
      <c r="N5" s="3455"/>
      <c r="O5" s="3455"/>
    </row>
    <row r="6" spans="1:16" s="3467" customFormat="1" ht="18" customHeight="1">
      <c r="A6" s="4003"/>
      <c r="B6" s="4004"/>
      <c r="C6" s="4046"/>
      <c r="D6" s="4047"/>
      <c r="E6" s="4047"/>
      <c r="F6" s="4048"/>
      <c r="G6" s="4003"/>
      <c r="H6" s="3457" t="s">
        <v>3391</v>
      </c>
      <c r="I6" s="3462">
        <v>2.5000000000000001E-2</v>
      </c>
      <c r="J6" s="3468"/>
      <c r="K6" s="4049" t="s">
        <v>3392</v>
      </c>
      <c r="L6" s="3469" t="s">
        <v>3393</v>
      </c>
      <c r="M6" s="3470" t="s">
        <v>3394</v>
      </c>
      <c r="N6" s="3470" t="s">
        <v>3395</v>
      </c>
      <c r="O6" s="3470" t="s">
        <v>3396</v>
      </c>
      <c r="P6" s="3470" t="s">
        <v>3397</v>
      </c>
    </row>
    <row r="7" spans="1:16" s="3467" customFormat="1" ht="17.25" customHeight="1">
      <c r="A7" s="3456" t="s">
        <v>3398</v>
      </c>
      <c r="B7" s="3457" t="s">
        <v>3399</v>
      </c>
      <c r="C7" s="4000">
        <f ca="1">ROUND(C23*I7,0)</f>
        <v>2641298</v>
      </c>
      <c r="D7" s="4001"/>
      <c r="E7" s="4001"/>
      <c r="F7" s="4002"/>
      <c r="G7" s="3453" t="s">
        <v>3400</v>
      </c>
      <c r="H7" s="3457" t="s">
        <v>3401</v>
      </c>
      <c r="I7" s="3471">
        <f>'数据-取费表'!N6</f>
        <v>0.77499999999999991</v>
      </c>
      <c r="K7" s="4049"/>
      <c r="L7" s="3469" t="s">
        <v>3402</v>
      </c>
      <c r="M7" s="3470">
        <v>100</v>
      </c>
      <c r="N7" s="3470" t="s">
        <v>3403</v>
      </c>
      <c r="O7" s="3470">
        <v>60</v>
      </c>
      <c r="P7" s="3472">
        <v>0.3</v>
      </c>
    </row>
    <row r="8" spans="1:16" s="3467" customFormat="1" ht="23.25" customHeight="1">
      <c r="A8" s="3451" t="s">
        <v>3404</v>
      </c>
      <c r="B8" s="3457" t="s">
        <v>3405</v>
      </c>
      <c r="C8" s="4000">
        <f>ROUND(I8*I3,0)</f>
        <v>2310000</v>
      </c>
      <c r="D8" s="4001"/>
      <c r="E8" s="4001"/>
      <c r="F8" s="4002"/>
      <c r="G8" s="3453" t="s">
        <v>3406</v>
      </c>
      <c r="H8" s="3457" t="s">
        <v>3407</v>
      </c>
      <c r="I8" s="3473">
        <f>'数据-取费表'!L6</f>
        <v>5500</v>
      </c>
      <c r="J8" s="3474">
        <f>D36</f>
        <v>15.35</v>
      </c>
      <c r="K8" s="4049"/>
      <c r="L8" s="3469" t="s">
        <v>3408</v>
      </c>
      <c r="M8" s="3470">
        <v>100</v>
      </c>
      <c r="N8" s="3470" t="s">
        <v>3403</v>
      </c>
      <c r="O8" s="3470">
        <v>60</v>
      </c>
      <c r="P8" s="3472">
        <v>0.5</v>
      </c>
    </row>
    <row r="9" spans="1:16" s="3467" customFormat="1" ht="18" customHeight="1">
      <c r="A9" s="3451" t="s">
        <v>3409</v>
      </c>
      <c r="B9" s="3457" t="s">
        <v>3410</v>
      </c>
      <c r="C9" s="4000">
        <f>ROUND(C8*H9,0)</f>
        <v>69300</v>
      </c>
      <c r="D9" s="4001"/>
      <c r="E9" s="4001"/>
      <c r="F9" s="4002"/>
      <c r="G9" s="3453" t="s">
        <v>3411</v>
      </c>
      <c r="H9" s="4032">
        <f>'数据-取费表'!B33</f>
        <v>0.03</v>
      </c>
      <c r="I9" s="4032"/>
      <c r="J9" s="3474">
        <f ca="1">D37</f>
        <v>14.68</v>
      </c>
      <c r="K9" s="4049"/>
      <c r="L9" s="3469" t="s">
        <v>3412</v>
      </c>
      <c r="M9" s="3470">
        <v>100</v>
      </c>
      <c r="N9" s="3470" t="s">
        <v>3403</v>
      </c>
      <c r="O9" s="3470">
        <v>60</v>
      </c>
      <c r="P9" s="3472">
        <f>1-P7-P8</f>
        <v>0.19999999999999996</v>
      </c>
    </row>
    <row r="10" spans="1:16" s="3467" customFormat="1" ht="18" customHeight="1">
      <c r="A10" s="3451" t="s">
        <v>3413</v>
      </c>
      <c r="B10" s="3457" t="s">
        <v>3414</v>
      </c>
      <c r="C10" s="4000">
        <f>ROUND(C8*H10,0)</f>
        <v>0</v>
      </c>
      <c r="D10" s="4001"/>
      <c r="E10" s="4001"/>
      <c r="F10" s="4002"/>
      <c r="G10" s="3453" t="s">
        <v>3411</v>
      </c>
      <c r="H10" s="4032">
        <v>0</v>
      </c>
      <c r="I10" s="4032"/>
      <c r="J10" s="3474">
        <f ca="1">D38</f>
        <v>15.02</v>
      </c>
      <c r="K10" s="4049"/>
      <c r="L10" s="3475" t="s">
        <v>3390</v>
      </c>
      <c r="M10" s="3476">
        <f>1-M5</f>
        <v>0.5</v>
      </c>
      <c r="N10" s="3470" t="s">
        <v>3388</v>
      </c>
      <c r="O10" s="3477">
        <f>ROUND((O7*P7+O8*P8+O9*P9)/100,2)</f>
        <v>0.6</v>
      </c>
      <c r="P10" s="3478"/>
    </row>
    <row r="11" spans="1:16" s="3467" customFormat="1" ht="29.25" customHeight="1">
      <c r="A11" s="3451" t="s">
        <v>3415</v>
      </c>
      <c r="B11" s="3457" t="s">
        <v>3416</v>
      </c>
      <c r="C11" s="4000">
        <f>ROUND(I11*I3,0)</f>
        <v>84000</v>
      </c>
      <c r="D11" s="4001"/>
      <c r="E11" s="4001"/>
      <c r="F11" s="4002"/>
      <c r="G11" s="3453" t="s">
        <v>3417</v>
      </c>
      <c r="H11" s="3457" t="s">
        <v>3418</v>
      </c>
      <c r="I11" s="3453">
        <f>'数据-取费表'!B35</f>
        <v>200</v>
      </c>
      <c r="J11" s="3465"/>
      <c r="K11" s="3479"/>
      <c r="L11" s="3479"/>
      <c r="N11" s="3467">
        <f>(M4+O10)/2</f>
        <v>0.59</v>
      </c>
    </row>
    <row r="12" spans="1:16" s="3467" customFormat="1" ht="18" customHeight="1">
      <c r="A12" s="3451" t="s">
        <v>3419</v>
      </c>
      <c r="B12" s="3457" t="s">
        <v>3420</v>
      </c>
      <c r="C12" s="4000">
        <f>ROUND(C8*H12,0)</f>
        <v>34650</v>
      </c>
      <c r="D12" s="4001"/>
      <c r="E12" s="4001"/>
      <c r="F12" s="4002"/>
      <c r="G12" s="3453" t="s">
        <v>3411</v>
      </c>
      <c r="H12" s="4032">
        <f>'数据-取费表'!B36</f>
        <v>1.4999999999999999E-2</v>
      </c>
      <c r="I12" s="4032"/>
      <c r="J12" s="3480" t="s">
        <v>3421</v>
      </c>
      <c r="L12" s="3481"/>
    </row>
    <row r="13" spans="1:16" s="3467" customFormat="1" ht="18" customHeight="1">
      <c r="A13" s="3451" t="s">
        <v>438</v>
      </c>
      <c r="B13" s="3457" t="s">
        <v>3422</v>
      </c>
      <c r="C13" s="4000">
        <f>SUM(C8:F12)</f>
        <v>2497950</v>
      </c>
      <c r="D13" s="4001"/>
      <c r="E13" s="4001"/>
      <c r="F13" s="4002"/>
      <c r="G13" s="4011" t="s">
        <v>3423</v>
      </c>
      <c r="H13" s="4011"/>
      <c r="I13" s="4011"/>
      <c r="J13" s="3480" t="s">
        <v>3424</v>
      </c>
      <c r="L13" s="3481"/>
    </row>
    <row r="14" spans="1:16" s="3467" customFormat="1" ht="18" customHeight="1">
      <c r="A14" s="3451" t="s">
        <v>3425</v>
      </c>
      <c r="B14" s="3457" t="s">
        <v>3426</v>
      </c>
      <c r="C14" s="4000">
        <f>ROUND(C13*H14,0)</f>
        <v>49959</v>
      </c>
      <c r="D14" s="4001"/>
      <c r="E14" s="4001"/>
      <c r="F14" s="4002"/>
      <c r="G14" s="3453" t="s">
        <v>3427</v>
      </c>
      <c r="H14" s="4032">
        <v>0.02</v>
      </c>
      <c r="I14" s="4032"/>
      <c r="J14" s="3465"/>
      <c r="L14" s="3481"/>
    </row>
    <row r="15" spans="1:16" s="3467" customFormat="1" ht="18" customHeight="1">
      <c r="A15" s="3451" t="s">
        <v>393</v>
      </c>
      <c r="B15" s="3457" t="s">
        <v>3428</v>
      </c>
      <c r="C15" s="4014">
        <f>H15</f>
        <v>0.02</v>
      </c>
      <c r="D15" s="4015"/>
      <c r="E15" s="4030" t="str">
        <f>E18</f>
        <v>V</v>
      </c>
      <c r="F15" s="4031"/>
      <c r="G15" s="3453" t="s">
        <v>3429</v>
      </c>
      <c r="H15" s="4032">
        <v>0.02</v>
      </c>
      <c r="I15" s="4032"/>
      <c r="J15" s="3482"/>
      <c r="K15" s="3483"/>
    </row>
    <row r="16" spans="1:16" s="3467" customFormat="1" ht="18" customHeight="1">
      <c r="A16" s="3484" t="s">
        <v>394</v>
      </c>
      <c r="B16" s="3485" t="s">
        <v>3430</v>
      </c>
      <c r="C16" s="3486">
        <f ca="1">C17</f>
        <v>87903</v>
      </c>
      <c r="D16" s="3487" t="s">
        <v>3431</v>
      </c>
      <c r="E16" s="3488">
        <f ca="1">C18</f>
        <v>6.9000000000000008E-4</v>
      </c>
      <c r="F16" s="3489" t="str">
        <f>E18</f>
        <v>V</v>
      </c>
      <c r="G16" s="4000" t="s">
        <v>3432</v>
      </c>
      <c r="H16" s="4001"/>
      <c r="I16" s="4002"/>
      <c r="J16" s="3465"/>
      <c r="K16" s="3479"/>
    </row>
    <row r="17" spans="1:21" s="3467" customFormat="1" ht="18" customHeight="1">
      <c r="A17" s="3451" t="s">
        <v>3433</v>
      </c>
      <c r="B17" s="3457" t="s">
        <v>3434</v>
      </c>
      <c r="C17" s="4000">
        <f ca="1">ROUND((C13+C14)*I18*(I17/2),0)</f>
        <v>87903</v>
      </c>
      <c r="D17" s="4001"/>
      <c r="E17" s="4001"/>
      <c r="F17" s="4002"/>
      <c r="G17" s="3486" t="s">
        <v>3435</v>
      </c>
      <c r="H17" s="3457" t="s">
        <v>3436</v>
      </c>
      <c r="I17" s="3490">
        <f>'数据-取费表'!B21</f>
        <v>2</v>
      </c>
      <c r="J17" s="3480" t="s">
        <v>3437</v>
      </c>
      <c r="K17" s="3479"/>
      <c r="L17" s="3479"/>
    </row>
    <row r="18" spans="1:21" s="3467" customFormat="1" ht="18" customHeight="1">
      <c r="A18" s="3451" t="s">
        <v>3438</v>
      </c>
      <c r="B18" s="3457" t="s">
        <v>3439</v>
      </c>
      <c r="C18" s="4033">
        <f ca="1">H15*I18*I17/2</f>
        <v>6.9000000000000008E-4</v>
      </c>
      <c r="D18" s="4034"/>
      <c r="E18" s="4030" t="s">
        <v>3441</v>
      </c>
      <c r="F18" s="4031"/>
      <c r="G18" s="3486" t="s">
        <v>3442</v>
      </c>
      <c r="H18" s="3457" t="s">
        <v>3443</v>
      </c>
      <c r="I18" s="3491">
        <f ca="1">'数据-取费表'!B40</f>
        <v>3.4500000000000003E-2</v>
      </c>
      <c r="J18" s="3480" t="s">
        <v>3444</v>
      </c>
      <c r="K18" s="3479"/>
      <c r="L18" s="3479"/>
    </row>
    <row r="19" spans="1:21" s="3467" customFormat="1" ht="27" customHeight="1">
      <c r="A19" s="3451" t="s">
        <v>395</v>
      </c>
      <c r="B19" s="3457" t="s">
        <v>3445</v>
      </c>
      <c r="C19" s="3486">
        <f>C20</f>
        <v>509582</v>
      </c>
      <c r="D19" s="3487" t="s">
        <v>3431</v>
      </c>
      <c r="E19" s="3487">
        <f>C21</f>
        <v>4.0000000000000001E-3</v>
      </c>
      <c r="F19" s="3489" t="str">
        <f>E21</f>
        <v>V</v>
      </c>
      <c r="G19" s="4000" t="s">
        <v>3446</v>
      </c>
      <c r="H19" s="4001"/>
      <c r="I19" s="4002"/>
      <c r="J19" s="3465"/>
      <c r="K19" s="3479"/>
      <c r="L19" s="3479"/>
      <c r="U19" s="3467" t="s">
        <v>3596</v>
      </c>
    </row>
    <row r="20" spans="1:21" s="3467" customFormat="1" ht="26.25" customHeight="1">
      <c r="A20" s="3451" t="s">
        <v>3447</v>
      </c>
      <c r="B20" s="3457" t="s">
        <v>3448</v>
      </c>
      <c r="C20" s="4000">
        <f>ROUND((C13+C14)*I20,0)</f>
        <v>509582</v>
      </c>
      <c r="D20" s="4001"/>
      <c r="E20" s="4001"/>
      <c r="F20" s="4002"/>
      <c r="G20" s="3453" t="s">
        <v>3449</v>
      </c>
      <c r="H20" s="4025" t="s">
        <v>3450</v>
      </c>
      <c r="I20" s="4027">
        <v>0.2</v>
      </c>
      <c r="J20" s="3480" t="s">
        <v>3451</v>
      </c>
      <c r="K20" s="3479"/>
      <c r="L20" s="3479"/>
      <c r="R20" s="3467" t="s">
        <v>3579</v>
      </c>
      <c r="S20" s="3467">
        <v>15</v>
      </c>
      <c r="T20" s="3467">
        <v>10</v>
      </c>
      <c r="U20" s="3556">
        <f>ROUND(U21*U22/365/0.8,1)</f>
        <v>6.2</v>
      </c>
    </row>
    <row r="21" spans="1:21" s="3467" customFormat="1" ht="27" customHeight="1">
      <c r="A21" s="3451" t="s">
        <v>3447</v>
      </c>
      <c r="B21" s="3457" t="s">
        <v>3452</v>
      </c>
      <c r="C21" s="4028">
        <f>H15*I20</f>
        <v>4.0000000000000001E-3</v>
      </c>
      <c r="D21" s="4029"/>
      <c r="E21" s="4030" t="s">
        <v>3440</v>
      </c>
      <c r="F21" s="4031"/>
      <c r="G21" s="3453" t="s">
        <v>3453</v>
      </c>
      <c r="H21" s="4026"/>
      <c r="I21" s="4027"/>
      <c r="J21" s="3465"/>
      <c r="K21" s="3479"/>
      <c r="L21" s="3479"/>
      <c r="R21" s="3467" t="s">
        <v>3577</v>
      </c>
      <c r="S21" s="3467">
        <f>S20*365*0.8/S22</f>
        <v>87600</v>
      </c>
      <c r="T21" s="3467">
        <v>50000</v>
      </c>
      <c r="U21" s="3467">
        <v>30000</v>
      </c>
    </row>
    <row r="22" spans="1:21" s="3467" customFormat="1" ht="18" customHeight="1">
      <c r="A22" s="3451" t="s">
        <v>396</v>
      </c>
      <c r="B22" s="3457" t="s">
        <v>3454</v>
      </c>
      <c r="C22" s="4028">
        <f>ROUND(H22/1.05,4)</f>
        <v>5.2400000000000002E-2</v>
      </c>
      <c r="D22" s="4029"/>
      <c r="E22" s="4030" t="s">
        <v>3440</v>
      </c>
      <c r="F22" s="4031"/>
      <c r="G22" s="3453" t="s">
        <v>3455</v>
      </c>
      <c r="H22" s="4032">
        <f>'数据-取费表'!B41</f>
        <v>5.5000000000000007E-2</v>
      </c>
      <c r="I22" s="4032"/>
      <c r="J22" s="3492"/>
      <c r="K22" s="3479"/>
      <c r="L22" s="3479"/>
      <c r="R22" s="3467" t="s">
        <v>3578</v>
      </c>
      <c r="S22" s="3559">
        <v>0.05</v>
      </c>
      <c r="T22" s="3559">
        <f>T20*365*0.8/T21</f>
        <v>5.8400000000000001E-2</v>
      </c>
      <c r="U22" s="3560">
        <v>0.06</v>
      </c>
    </row>
    <row r="23" spans="1:21" s="3467" customFormat="1" ht="18" customHeight="1">
      <c r="A23" s="3451" t="s">
        <v>3456</v>
      </c>
      <c r="B23" s="3457" t="s">
        <v>3457</v>
      </c>
      <c r="C23" s="4000">
        <f ca="1">ROUND((C13+C14+C17+C20)/(1-H15-C18-C21-C22),0)</f>
        <v>3408126</v>
      </c>
      <c r="D23" s="4001"/>
      <c r="E23" s="4001"/>
      <c r="F23" s="4002"/>
      <c r="G23" s="4000" t="s">
        <v>3458</v>
      </c>
      <c r="H23" s="4001"/>
      <c r="I23" s="4002"/>
      <c r="J23" s="3492"/>
      <c r="K23" s="3479"/>
      <c r="L23" s="3479"/>
    </row>
    <row r="24" spans="1:21" s="3467" customFormat="1" ht="18" customHeight="1">
      <c r="A24" s="3451" t="s">
        <v>3459</v>
      </c>
      <c r="B24" s="3457" t="s">
        <v>3460</v>
      </c>
      <c r="C24" s="3493">
        <f ca="1">C27+C28</f>
        <v>19682</v>
      </c>
      <c r="D24" s="3494" t="s">
        <v>3461</v>
      </c>
      <c r="E24" s="4024">
        <f>H29+E26+H25</f>
        <v>0.17928571428571427</v>
      </c>
      <c r="F24" s="4017"/>
      <c r="G24" s="4011" t="s">
        <v>3462</v>
      </c>
      <c r="H24" s="4011"/>
      <c r="I24" s="4011"/>
      <c r="J24" s="3492"/>
      <c r="K24" s="3558">
        <f ca="1">C4/C30</f>
        <v>0.81099890957681808</v>
      </c>
      <c r="L24" s="3479"/>
    </row>
    <row r="25" spans="1:21" s="3467" customFormat="1" ht="18" customHeight="1">
      <c r="A25" s="3451" t="s">
        <v>438</v>
      </c>
      <c r="B25" s="3457" t="s">
        <v>3463</v>
      </c>
      <c r="C25" s="4014" t="s">
        <v>3464</v>
      </c>
      <c r="D25" s="4015"/>
      <c r="E25" s="4018">
        <f>ROUND(H25/1.05,4)</f>
        <v>5.2400000000000002E-2</v>
      </c>
      <c r="F25" s="4019"/>
      <c r="G25" s="3453" t="s">
        <v>3465</v>
      </c>
      <c r="H25" s="4012">
        <f>'数据-取费表'!B41</f>
        <v>5.5000000000000007E-2</v>
      </c>
      <c r="I25" s="4012"/>
      <c r="J25" s="3482"/>
      <c r="K25" s="3479"/>
      <c r="L25" s="3479"/>
    </row>
    <row r="26" spans="1:21" s="3467" customFormat="1" ht="18" customHeight="1">
      <c r="A26" s="3451" t="s">
        <v>3425</v>
      </c>
      <c r="B26" s="3457" t="s">
        <v>3466</v>
      </c>
      <c r="C26" s="4014" t="s">
        <v>3464</v>
      </c>
      <c r="D26" s="4015"/>
      <c r="E26" s="4020">
        <f>H26/1.05</f>
        <v>0.11428571428571428</v>
      </c>
      <c r="F26" s="4021"/>
      <c r="G26" s="3453"/>
      <c r="H26" s="4022">
        <f>'数据-取费表'!B51</f>
        <v>0.12</v>
      </c>
      <c r="I26" s="4023"/>
      <c r="J26" s="3482"/>
      <c r="K26" s="3479"/>
      <c r="L26" s="3479"/>
      <c r="M26" s="3557"/>
    </row>
    <row r="27" spans="1:21" s="3467" customFormat="1" ht="18" customHeight="1">
      <c r="A27" s="3451" t="s">
        <v>393</v>
      </c>
      <c r="B27" s="3457" t="s">
        <v>3467</v>
      </c>
      <c r="C27" s="4000">
        <f ca="1">ROUND(C23*H27,0)</f>
        <v>17041</v>
      </c>
      <c r="D27" s="4001"/>
      <c r="E27" s="4001"/>
      <c r="F27" s="4002"/>
      <c r="G27" s="3453" t="s">
        <v>3468</v>
      </c>
      <c r="H27" s="4012">
        <v>5.0000000000000001E-3</v>
      </c>
      <c r="I27" s="4012"/>
      <c r="J27" s="3482"/>
      <c r="K27" s="3479"/>
      <c r="L27" s="3479"/>
      <c r="N27" s="3557"/>
    </row>
    <row r="28" spans="1:21" s="3467" customFormat="1" ht="18" customHeight="1">
      <c r="A28" s="3451" t="s">
        <v>394</v>
      </c>
      <c r="B28" s="3457" t="s">
        <v>3469</v>
      </c>
      <c r="C28" s="4000">
        <f ca="1">ROUND(C7*H28,0)</f>
        <v>2641</v>
      </c>
      <c r="D28" s="4001"/>
      <c r="E28" s="4001"/>
      <c r="F28" s="4002"/>
      <c r="G28" s="3453" t="s">
        <v>3470</v>
      </c>
      <c r="H28" s="4013">
        <v>1E-3</v>
      </c>
      <c r="I28" s="4013"/>
      <c r="J28" s="3465"/>
      <c r="K28" s="3479"/>
      <c r="L28" s="3479"/>
      <c r="M28" s="3555"/>
    </row>
    <row r="29" spans="1:21" s="3467" customFormat="1" ht="18" customHeight="1">
      <c r="A29" s="3451" t="s">
        <v>395</v>
      </c>
      <c r="B29" s="3457" t="s">
        <v>3471</v>
      </c>
      <c r="C29" s="4014" t="s">
        <v>3464</v>
      </c>
      <c r="D29" s="4015"/>
      <c r="E29" s="4016">
        <f>H29</f>
        <v>0.01</v>
      </c>
      <c r="F29" s="4017"/>
      <c r="G29" s="3453" t="s">
        <v>3472</v>
      </c>
      <c r="H29" s="4012">
        <v>0.01</v>
      </c>
      <c r="I29" s="4012"/>
      <c r="J29" s="3495"/>
      <c r="K29" s="3479"/>
      <c r="L29" s="3479"/>
    </row>
    <row r="30" spans="1:21" s="3467" customFormat="1" ht="18" customHeight="1">
      <c r="A30" s="3456" t="s">
        <v>3473</v>
      </c>
      <c r="B30" s="3457" t="s">
        <v>3474</v>
      </c>
      <c r="C30" s="4000">
        <f ca="1">ROUND((C4+C24)/(1-E24),0)</f>
        <v>2025819</v>
      </c>
      <c r="D30" s="4001"/>
      <c r="E30" s="4001"/>
      <c r="F30" s="4002"/>
      <c r="G30" s="4003" t="s">
        <v>3475</v>
      </c>
      <c r="H30" s="4003"/>
      <c r="I30" s="4003"/>
      <c r="J30" s="3496" t="s">
        <v>3476</v>
      </c>
      <c r="K30" s="3479"/>
      <c r="L30" s="3479"/>
    </row>
    <row r="31" spans="1:21" s="3467" customFormat="1" ht="18" customHeight="1">
      <c r="A31" s="4003" t="s">
        <v>3477</v>
      </c>
      <c r="B31" s="4004" t="s">
        <v>3478</v>
      </c>
      <c r="C31" s="4005">
        <f ca="1">ROUND(C30/I31/I32/I3,2)</f>
        <v>14.68</v>
      </c>
      <c r="D31" s="4006"/>
      <c r="E31" s="4006"/>
      <c r="F31" s="4007"/>
      <c r="G31" s="4011" t="s">
        <v>3479</v>
      </c>
      <c r="H31" s="3457" t="s">
        <v>3480</v>
      </c>
      <c r="I31" s="3453">
        <v>365</v>
      </c>
      <c r="J31" s="3497"/>
      <c r="K31" s="3479"/>
      <c r="L31" s="3479"/>
    </row>
    <row r="32" spans="1:21" s="3467" customFormat="1" ht="18" customHeight="1">
      <c r="A32" s="4003"/>
      <c r="B32" s="4004"/>
      <c r="C32" s="4008"/>
      <c r="D32" s="4009"/>
      <c r="E32" s="4009"/>
      <c r="F32" s="4010"/>
      <c r="G32" s="4011"/>
      <c r="H32" s="3457" t="s">
        <v>3481</v>
      </c>
      <c r="I32" s="3498">
        <v>0.9</v>
      </c>
      <c r="J32" s="3499" t="s">
        <v>4055</v>
      </c>
      <c r="K32" s="3479"/>
      <c r="L32" s="3500"/>
    </row>
    <row r="33" spans="1:13" s="3467" customFormat="1" ht="18" customHeight="1">
      <c r="A33" s="3450"/>
      <c r="B33" s="3501"/>
      <c r="C33" s="3502"/>
      <c r="D33" s="3502"/>
      <c r="E33" s="3502"/>
      <c r="F33" s="3502"/>
      <c r="G33" s="3503"/>
      <c r="H33" s="3504"/>
      <c r="I33" s="3450"/>
      <c r="J33" s="3505" t="s">
        <v>2821</v>
      </c>
      <c r="K33" s="3479"/>
      <c r="L33" s="3500"/>
    </row>
    <row r="34" spans="1:13" s="3467" customFormat="1" ht="18" customHeight="1">
      <c r="A34" s="3450"/>
      <c r="B34" s="3993" t="s">
        <v>3482</v>
      </c>
      <c r="C34" s="3993"/>
      <c r="D34" s="3993"/>
      <c r="E34" s="3993"/>
      <c r="F34" s="3993"/>
      <c r="G34" s="3506"/>
      <c r="H34" s="3507"/>
      <c r="I34" s="3508"/>
      <c r="J34" s="3465"/>
      <c r="K34" s="3479"/>
      <c r="L34" s="3479"/>
      <c r="M34" s="3450"/>
    </row>
    <row r="35" spans="1:13" s="3467" customFormat="1" ht="18" customHeight="1">
      <c r="A35" s="3450"/>
      <c r="B35" s="3509" t="s">
        <v>3483</v>
      </c>
      <c r="C35" s="3510" t="s">
        <v>3397</v>
      </c>
      <c r="D35" s="3994" t="s">
        <v>3484</v>
      </c>
      <c r="E35" s="3994"/>
      <c r="F35" s="3994"/>
      <c r="G35" s="3506"/>
      <c r="H35" s="3507"/>
      <c r="I35" s="3511"/>
      <c r="J35" s="3492"/>
      <c r="K35" s="3450"/>
      <c r="L35" s="3450"/>
      <c r="M35" s="3450"/>
    </row>
    <row r="36" spans="1:13">
      <c r="B36" s="3509" t="s">
        <v>3485</v>
      </c>
      <c r="C36" s="3512">
        <v>0.5</v>
      </c>
      <c r="D36" s="3995">
        <f>'比较法-商业'!C50</f>
        <v>15.35</v>
      </c>
      <c r="E36" s="3995"/>
      <c r="F36" s="3995"/>
      <c r="G36" s="3506"/>
      <c r="H36" s="3507"/>
      <c r="I36" s="3511"/>
      <c r="K36" s="3450"/>
      <c r="L36" s="3450"/>
    </row>
    <row r="37" spans="1:13" ht="20.100000000000001" customHeight="1">
      <c r="B37" s="3509" t="s">
        <v>3486</v>
      </c>
      <c r="C37" s="3512">
        <f>1-C36</f>
        <v>0.5</v>
      </c>
      <c r="D37" s="3995">
        <f ca="1">C31</f>
        <v>14.68</v>
      </c>
      <c r="E37" s="3995"/>
      <c r="F37" s="3995"/>
      <c r="G37" s="3565">
        <f ca="1">(D37-D36)/D37</f>
        <v>-4.5640326975476833E-2</v>
      </c>
      <c r="H37" s="3513"/>
      <c r="I37" s="3514"/>
      <c r="J37" s="3450"/>
      <c r="K37" s="3450"/>
      <c r="L37" s="3450"/>
    </row>
    <row r="38" spans="1:13" ht="22.5" customHeight="1">
      <c r="B38" s="3996" t="s">
        <v>3487</v>
      </c>
      <c r="C38" s="3996"/>
      <c r="D38" s="3997">
        <f ca="1">ROUND(D36*C36+D37*C37,2)</f>
        <v>15.02</v>
      </c>
      <c r="E38" s="3998"/>
      <c r="F38" s="3999"/>
      <c r="G38" s="3506"/>
      <c r="H38" s="3513"/>
      <c r="I38" s="3514"/>
      <c r="J38" s="3450">
        <f>8.2*365</f>
        <v>2992.9999999999995</v>
      </c>
      <c r="K38" s="3450"/>
      <c r="L38" s="3450"/>
    </row>
    <row r="39" spans="1:13" ht="22.5" customHeight="1">
      <c r="B39" s="3509" t="s">
        <v>3488</v>
      </c>
      <c r="C39" s="3515">
        <f ca="1">ROUND(D38*0.9,1)</f>
        <v>13.5</v>
      </c>
      <c r="D39" s="3516" t="s">
        <v>3489</v>
      </c>
      <c r="E39" s="3991">
        <f ca="1">ROUND(D38*1.1,1)</f>
        <v>16.5</v>
      </c>
      <c r="F39" s="3991"/>
      <c r="G39" s="3517"/>
      <c r="H39" s="3518"/>
      <c r="J39" s="3450" t="e">
        <f ca="1">'成本法 (元)'!B3</f>
        <v>#DIV/0!</v>
      </c>
      <c r="K39" s="3450"/>
      <c r="L39" s="3450"/>
    </row>
    <row r="40" spans="1:13" ht="18" customHeight="1">
      <c r="B40" s="3509" t="s">
        <v>3490</v>
      </c>
      <c r="C40" s="3519">
        <f ca="1">ROUND(C39*365/12,0)</f>
        <v>411</v>
      </c>
      <c r="D40" s="3516" t="s">
        <v>3489</v>
      </c>
      <c r="E40" s="3992">
        <f ca="1">ROUND(E39*365/12,0)</f>
        <v>502</v>
      </c>
      <c r="F40" s="3992"/>
      <c r="G40" s="3520" t="s">
        <v>3491</v>
      </c>
      <c r="H40" s="3520">
        <f>ROUND(42*12/365,2)</f>
        <v>1.38</v>
      </c>
      <c r="J40" s="3450" t="e">
        <f ca="1">J38/J39</f>
        <v>#DIV/0!</v>
      </c>
      <c r="K40" s="3450"/>
      <c r="L40" s="3450"/>
    </row>
    <row r="41" spans="1:13" ht="18" customHeight="1">
      <c r="B41" s="3521"/>
      <c r="C41" s="3522"/>
      <c r="D41" s="3507"/>
      <c r="E41" s="3507"/>
      <c r="F41" s="3507"/>
      <c r="G41" s="3517"/>
      <c r="H41" s="3523"/>
      <c r="J41" s="3450"/>
    </row>
    <row r="42" spans="1:13" ht="18" customHeight="1">
      <c r="B42" s="3517" t="s">
        <v>3492</v>
      </c>
      <c r="C42" s="3507"/>
      <c r="D42" s="3507"/>
      <c r="E42" s="3517" t="s">
        <v>3493</v>
      </c>
      <c r="F42" s="3507"/>
      <c r="G42" s="3517"/>
      <c r="H42" s="3517" t="s">
        <v>3494</v>
      </c>
      <c r="J42" s="3450"/>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4059" t="s">
        <v>2601</v>
      </c>
      <c r="B20" s="4054" t="s">
        <v>2622</v>
      </c>
      <c r="C20" s="3100" t="s">
        <v>2433</v>
      </c>
      <c r="D20" s="3101"/>
      <c r="E20" s="3102">
        <v>1</v>
      </c>
      <c r="F20" s="3103" t="s">
        <v>2434</v>
      </c>
      <c r="G20" s="3103"/>
    </row>
    <row r="21" spans="1:13" ht="19.5" customHeight="1">
      <c r="A21" s="4060"/>
      <c r="B21" s="4053"/>
      <c r="C21" s="3104" t="s">
        <v>2435</v>
      </c>
      <c r="D21" s="3105"/>
      <c r="E21" s="3106">
        <v>1</v>
      </c>
      <c r="F21" s="3103" t="s">
        <v>2436</v>
      </c>
      <c r="G21" s="3103"/>
    </row>
    <row r="22" spans="1:13" ht="19.5" customHeight="1">
      <c r="A22" s="4060"/>
      <c r="B22" s="4053"/>
      <c r="C22" s="3104" t="s">
        <v>2437</v>
      </c>
      <c r="D22" s="3105"/>
      <c r="E22" s="3106">
        <v>0.9</v>
      </c>
      <c r="F22" s="3103" t="s">
        <v>2438</v>
      </c>
      <c r="G22" s="3103"/>
    </row>
    <row r="23" spans="1:13" ht="19.5" customHeight="1">
      <c r="A23" s="4060"/>
      <c r="B23" s="4053"/>
      <c r="C23" s="3104" t="s">
        <v>2439</v>
      </c>
      <c r="D23" s="3105"/>
      <c r="E23" s="3106">
        <v>0.9</v>
      </c>
      <c r="F23" s="3103" t="s">
        <v>2440</v>
      </c>
      <c r="G23" s="3103"/>
    </row>
    <row r="24" spans="1:13" ht="19.5" customHeight="1">
      <c r="A24" s="4060"/>
      <c r="B24" s="4053"/>
      <c r="C24" s="3104" t="s">
        <v>2441</v>
      </c>
      <c r="D24" s="3105"/>
      <c r="E24" s="3106">
        <v>0.8</v>
      </c>
      <c r="F24" s="3103" t="s">
        <v>2442</v>
      </c>
      <c r="G24" s="3103"/>
    </row>
    <row r="25" spans="1:13" ht="19.5" customHeight="1" thickBot="1">
      <c r="A25" s="4061"/>
      <c r="B25" s="4055"/>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4056" t="s">
        <v>2625</v>
      </c>
      <c r="B27" s="4054" t="s">
        <v>2606</v>
      </c>
      <c r="C27" s="3100" t="s">
        <v>2446</v>
      </c>
      <c r="D27" s="3101"/>
      <c r="E27" s="3102">
        <v>1</v>
      </c>
      <c r="F27" s="3103" t="s">
        <v>2447</v>
      </c>
      <c r="G27" s="3103"/>
    </row>
    <row r="28" spans="1:13" ht="19.5" customHeight="1">
      <c r="A28" s="4057"/>
      <c r="B28" s="4053"/>
      <c r="C28" s="3104" t="s">
        <v>2448</v>
      </c>
      <c r="D28" s="3105"/>
      <c r="E28" s="3106">
        <v>1</v>
      </c>
      <c r="F28" s="3103" t="s">
        <v>2449</v>
      </c>
      <c r="G28" s="3103"/>
    </row>
    <row r="29" spans="1:13" ht="19.5" customHeight="1">
      <c r="A29" s="4057"/>
      <c r="B29" s="4053"/>
      <c r="C29" s="3104" t="s">
        <v>2450</v>
      </c>
      <c r="D29" s="3105"/>
      <c r="E29" s="3106">
        <v>0.8</v>
      </c>
      <c r="F29" s="3103" t="s">
        <v>2451</v>
      </c>
      <c r="G29" s="3103"/>
    </row>
    <row r="30" spans="1:13" ht="19.5" customHeight="1">
      <c r="A30" s="4057"/>
      <c r="B30" s="4053"/>
      <c r="C30" s="3104" t="s">
        <v>2452</v>
      </c>
      <c r="D30" s="3105"/>
      <c r="E30" s="3106">
        <v>0.8</v>
      </c>
      <c r="F30" s="3103" t="s">
        <v>2453</v>
      </c>
      <c r="G30" s="3103"/>
    </row>
    <row r="31" spans="1:13" ht="19.5" customHeight="1">
      <c r="A31" s="4057"/>
      <c r="B31" s="4053"/>
      <c r="C31" s="3104" t="s">
        <v>2454</v>
      </c>
      <c r="D31" s="3105"/>
      <c r="E31" s="3106">
        <v>0.8</v>
      </c>
      <c r="F31" s="3103" t="s">
        <v>2455</v>
      </c>
      <c r="G31" s="3103"/>
    </row>
    <row r="32" spans="1:13" ht="19.5" customHeight="1">
      <c r="A32" s="4057"/>
      <c r="B32" s="4053"/>
      <c r="C32" s="3104" t="s">
        <v>2456</v>
      </c>
      <c r="D32" s="3105"/>
      <c r="E32" s="3106">
        <v>0.7</v>
      </c>
      <c r="F32" s="3103" t="s">
        <v>2457</v>
      </c>
      <c r="G32" s="3103"/>
    </row>
    <row r="33" spans="1:7" ht="19.5" customHeight="1">
      <c r="A33" s="4057"/>
      <c r="B33" s="4053"/>
      <c r="C33" s="3104" t="s">
        <v>2458</v>
      </c>
      <c r="D33" s="3105"/>
      <c r="E33" s="3106">
        <v>0.8</v>
      </c>
      <c r="F33" s="3103" t="s">
        <v>2459</v>
      </c>
      <c r="G33" s="3103"/>
    </row>
    <row r="34" spans="1:7" ht="19.5" customHeight="1">
      <c r="A34" s="4057"/>
      <c r="B34" s="4053"/>
      <c r="C34" s="3104" t="s">
        <v>2460</v>
      </c>
      <c r="D34" s="3105"/>
      <c r="E34" s="3106">
        <v>0.6</v>
      </c>
      <c r="F34" s="3103" t="s">
        <v>2461</v>
      </c>
      <c r="G34" s="3103"/>
    </row>
    <row r="35" spans="1:7" ht="19.5" customHeight="1">
      <c r="A35" s="4057"/>
      <c r="B35" s="4053"/>
      <c r="C35" s="3104" t="s">
        <v>2462</v>
      </c>
      <c r="D35" s="3105"/>
      <c r="E35" s="3106">
        <v>0.2</v>
      </c>
      <c r="F35" s="3103" t="s">
        <v>2463</v>
      </c>
      <c r="G35" s="3103"/>
    </row>
    <row r="36" spans="1:7" ht="19.5" customHeight="1">
      <c r="A36" s="4057"/>
      <c r="B36" s="4053"/>
      <c r="C36" s="3104" t="s">
        <v>2464</v>
      </c>
      <c r="D36" s="3105"/>
      <c r="E36" s="3106">
        <v>0.2</v>
      </c>
      <c r="F36" s="3103" t="s">
        <v>2465</v>
      </c>
      <c r="G36" s="3103"/>
    </row>
    <row r="37" spans="1:7" ht="19.5" customHeight="1">
      <c r="A37" s="4057"/>
      <c r="B37" s="4051" t="s">
        <v>2626</v>
      </c>
      <c r="C37" s="3104" t="s">
        <v>2466</v>
      </c>
      <c r="D37" s="3105"/>
      <c r="E37" s="3106">
        <v>0.6</v>
      </c>
      <c r="F37" s="3103" t="s">
        <v>2467</v>
      </c>
      <c r="G37" s="3103"/>
    </row>
    <row r="38" spans="1:7" ht="19.5" customHeight="1">
      <c r="A38" s="4057"/>
      <c r="B38" s="4053"/>
      <c r="C38" s="3104" t="s">
        <v>2468</v>
      </c>
      <c r="D38" s="3105"/>
      <c r="E38" s="3106">
        <v>0.6</v>
      </c>
      <c r="F38" s="3103" t="s">
        <v>2469</v>
      </c>
      <c r="G38" s="3103"/>
    </row>
    <row r="39" spans="1:7" ht="19.5" customHeight="1" thickBot="1">
      <c r="A39" s="4058"/>
      <c r="B39" s="4055"/>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4059" t="s">
        <v>2604</v>
      </c>
      <c r="B41" s="4054" t="s">
        <v>2628</v>
      </c>
      <c r="C41" s="3100" t="s">
        <v>2473</v>
      </c>
      <c r="D41" s="3101"/>
      <c r="E41" s="3102">
        <v>1</v>
      </c>
      <c r="F41" s="3103" t="s">
        <v>2474</v>
      </c>
      <c r="G41" s="3103"/>
    </row>
    <row r="42" spans="1:7" ht="19.5" customHeight="1">
      <c r="A42" s="4060"/>
      <c r="B42" s="4053"/>
      <c r="C42" s="3104" t="s">
        <v>2475</v>
      </c>
      <c r="D42" s="3105"/>
      <c r="E42" s="3106">
        <v>1</v>
      </c>
      <c r="F42" s="3103" t="s">
        <v>2476</v>
      </c>
      <c r="G42" s="3103"/>
    </row>
    <row r="43" spans="1:7" ht="19.5" customHeight="1">
      <c r="A43" s="4060"/>
      <c r="B43" s="4052"/>
      <c r="C43" s="3104" t="s">
        <v>2477</v>
      </c>
      <c r="D43" s="3105"/>
      <c r="E43" s="3106">
        <v>1.5</v>
      </c>
      <c r="F43" s="3103" t="s">
        <v>2478</v>
      </c>
      <c r="G43" s="3103"/>
    </row>
    <row r="44" spans="1:7" ht="19.5" customHeight="1">
      <c r="A44" s="4060"/>
      <c r="B44" s="3115" t="s">
        <v>2629</v>
      </c>
      <c r="C44" s="3104" t="s">
        <v>2630</v>
      </c>
      <c r="D44" s="3105"/>
      <c r="E44" s="3106">
        <v>2</v>
      </c>
      <c r="F44" s="3103" t="s">
        <v>2479</v>
      </c>
      <c r="G44" s="3103"/>
    </row>
    <row r="45" spans="1:7" ht="19.5" customHeight="1">
      <c r="A45" s="4060"/>
      <c r="B45" s="4051" t="s">
        <v>2631</v>
      </c>
      <c r="C45" s="3104" t="s">
        <v>2480</v>
      </c>
      <c r="D45" s="3105"/>
      <c r="E45" s="3106">
        <v>1</v>
      </c>
      <c r="F45" s="3103" t="s">
        <v>2481</v>
      </c>
      <c r="G45" s="3103"/>
    </row>
    <row r="46" spans="1:7" ht="19.5" customHeight="1">
      <c r="A46" s="4060"/>
      <c r="B46" s="4053"/>
      <c r="C46" s="3104" t="s">
        <v>2482</v>
      </c>
      <c r="D46" s="3105"/>
      <c r="E46" s="3106">
        <v>1</v>
      </c>
      <c r="F46" s="3103" t="s">
        <v>2483</v>
      </c>
      <c r="G46" s="3103"/>
    </row>
    <row r="47" spans="1:7" ht="19.5" customHeight="1">
      <c r="A47" s="4060"/>
      <c r="B47" s="4053"/>
      <c r="C47" s="3104" t="s">
        <v>2484</v>
      </c>
      <c r="D47" s="3105"/>
      <c r="E47" s="3106">
        <v>1</v>
      </c>
      <c r="F47" s="3103" t="s">
        <v>2485</v>
      </c>
      <c r="G47" s="3103"/>
    </row>
    <row r="48" spans="1:7" ht="19.5" customHeight="1">
      <c r="A48" s="4060"/>
      <c r="B48" s="4053"/>
      <c r="C48" s="3104" t="s">
        <v>2486</v>
      </c>
      <c r="D48" s="3105"/>
      <c r="E48" s="3106">
        <v>1</v>
      </c>
      <c r="F48" s="3103" t="s">
        <v>2487</v>
      </c>
      <c r="G48" s="3103"/>
    </row>
    <row r="49" spans="1:7" ht="19.5" customHeight="1">
      <c r="A49" s="4060"/>
      <c r="B49" s="4053"/>
      <c r="C49" s="3104" t="s">
        <v>2488</v>
      </c>
      <c r="D49" s="3105"/>
      <c r="E49" s="3106">
        <v>1</v>
      </c>
      <c r="F49" s="3103" t="s">
        <v>2489</v>
      </c>
      <c r="G49" s="3103"/>
    </row>
    <row r="50" spans="1:7" ht="19.5" customHeight="1">
      <c r="A50" s="4060"/>
      <c r="B50" s="4053"/>
      <c r="C50" s="3104" t="s">
        <v>2490</v>
      </c>
      <c r="D50" s="3105"/>
      <c r="E50" s="3106">
        <v>1</v>
      </c>
      <c r="F50" s="3103" t="s">
        <v>2491</v>
      </c>
      <c r="G50" s="3103"/>
    </row>
    <row r="51" spans="1:7" ht="19.5" customHeight="1" thickBot="1">
      <c r="A51" s="4061"/>
      <c r="B51" s="4055"/>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4051" t="s">
        <v>2645</v>
      </c>
      <c r="C73" s="3089" t="s">
        <v>2646</v>
      </c>
      <c r="D73" s="3089" t="s">
        <v>2647</v>
      </c>
      <c r="E73" s="3115">
        <v>0.2</v>
      </c>
      <c r="F73" s="3115">
        <v>25</v>
      </c>
    </row>
    <row r="74" spans="1:7" ht="24">
      <c r="A74" s="3115">
        <v>2</v>
      </c>
      <c r="B74" s="4053"/>
      <c r="C74" s="3089" t="s">
        <v>2648</v>
      </c>
      <c r="D74" s="3089" t="s">
        <v>2649</v>
      </c>
      <c r="E74" s="3115">
        <v>0.2</v>
      </c>
      <c r="F74" s="3115">
        <v>25</v>
      </c>
    </row>
    <row r="75" spans="1:7" ht="24">
      <c r="A75" s="3115">
        <v>3</v>
      </c>
      <c r="B75" s="4053"/>
      <c r="C75" s="3089" t="s">
        <v>2650</v>
      </c>
      <c r="D75" s="3089" t="s">
        <v>2651</v>
      </c>
      <c r="E75" s="3115">
        <v>0.2</v>
      </c>
      <c r="F75" s="3115">
        <v>25</v>
      </c>
    </row>
    <row r="76" spans="1:7" ht="13.5">
      <c r="A76" s="3115">
        <v>4</v>
      </c>
      <c r="B76" s="4053"/>
      <c r="C76" s="3089" t="s">
        <v>2652</v>
      </c>
      <c r="D76" s="3089" t="s">
        <v>2653</v>
      </c>
      <c r="E76" s="3115">
        <v>0.15</v>
      </c>
      <c r="F76" s="3115">
        <v>20</v>
      </c>
    </row>
    <row r="77" spans="1:7" ht="24">
      <c r="A77" s="3115">
        <v>5</v>
      </c>
      <c r="B77" s="4053"/>
      <c r="C77" s="3089" t="s">
        <v>2654</v>
      </c>
      <c r="D77" s="3089" t="s">
        <v>2655</v>
      </c>
      <c r="E77" s="3115">
        <v>0.15</v>
      </c>
      <c r="F77" s="3115">
        <v>20</v>
      </c>
    </row>
    <row r="78" spans="1:7" ht="24">
      <c r="A78" s="3115">
        <v>6</v>
      </c>
      <c r="B78" s="4053"/>
      <c r="C78" s="3089" t="s">
        <v>2656</v>
      </c>
      <c r="D78" s="3089" t="s">
        <v>2657</v>
      </c>
      <c r="E78" s="3115">
        <v>0.15</v>
      </c>
      <c r="F78" s="3115">
        <v>20</v>
      </c>
    </row>
    <row r="79" spans="1:7" ht="24">
      <c r="A79" s="3115">
        <v>7</v>
      </c>
      <c r="B79" s="4053"/>
      <c r="C79" s="3089" t="s">
        <v>2658</v>
      </c>
      <c r="D79" s="3089" t="s">
        <v>2659</v>
      </c>
      <c r="E79" s="3115">
        <v>0.15</v>
      </c>
      <c r="F79" s="3115">
        <v>20</v>
      </c>
    </row>
    <row r="80" spans="1:7" ht="24">
      <c r="A80" s="3115">
        <v>8</v>
      </c>
      <c r="B80" s="4053"/>
      <c r="C80" s="3089" t="s">
        <v>2660</v>
      </c>
      <c r="D80" s="3089" t="s">
        <v>2661</v>
      </c>
      <c r="E80" s="3115">
        <v>0.1</v>
      </c>
      <c r="F80" s="3115">
        <v>15</v>
      </c>
    </row>
    <row r="81" spans="1:6" ht="24">
      <c r="A81" s="3115">
        <v>9</v>
      </c>
      <c r="B81" s="4053"/>
      <c r="C81" s="3089" t="s">
        <v>2662</v>
      </c>
      <c r="D81" s="3089" t="s">
        <v>2663</v>
      </c>
      <c r="E81" s="3115">
        <v>0.1</v>
      </c>
      <c r="F81" s="3115">
        <v>15</v>
      </c>
    </row>
    <row r="82" spans="1:6" ht="24">
      <c r="A82" s="3115">
        <v>10</v>
      </c>
      <c r="B82" s="4053"/>
      <c r="C82" s="3089" t="s">
        <v>2664</v>
      </c>
      <c r="D82" s="3089" t="s">
        <v>2665</v>
      </c>
      <c r="E82" s="3115">
        <v>0.1</v>
      </c>
      <c r="F82" s="3115">
        <v>15</v>
      </c>
    </row>
    <row r="83" spans="1:6" ht="24">
      <c r="A83" s="3115">
        <v>11</v>
      </c>
      <c r="B83" s="4053"/>
      <c r="C83" s="3089" t="s">
        <v>2666</v>
      </c>
      <c r="D83" s="3089" t="s">
        <v>2667</v>
      </c>
      <c r="E83" s="3115">
        <v>0.1</v>
      </c>
      <c r="F83" s="3115">
        <v>15</v>
      </c>
    </row>
    <row r="84" spans="1:6" ht="24">
      <c r="A84" s="3115">
        <v>12</v>
      </c>
      <c r="B84" s="4053"/>
      <c r="C84" s="3089" t="s">
        <v>2668</v>
      </c>
      <c r="D84" s="3089" t="s">
        <v>2669</v>
      </c>
      <c r="E84" s="3115">
        <v>0.1</v>
      </c>
      <c r="F84" s="3115">
        <v>15</v>
      </c>
    </row>
    <row r="85" spans="1:6" ht="13.5">
      <c r="A85" s="3115">
        <v>13</v>
      </c>
      <c r="B85" s="4053"/>
      <c r="C85" s="3089" t="s">
        <v>2670</v>
      </c>
      <c r="D85" s="3089" t="s">
        <v>2671</v>
      </c>
      <c r="E85" s="3115">
        <v>0.1</v>
      </c>
      <c r="F85" s="3115">
        <v>15</v>
      </c>
    </row>
    <row r="86" spans="1:6" ht="13.5">
      <c r="A86" s="3115">
        <v>14</v>
      </c>
      <c r="B86" s="4053"/>
      <c r="C86" s="3089" t="s">
        <v>2672</v>
      </c>
      <c r="D86" s="3089" t="s">
        <v>2673</v>
      </c>
      <c r="E86" s="3115">
        <v>0.1</v>
      </c>
      <c r="F86" s="3115">
        <v>15</v>
      </c>
    </row>
    <row r="87" spans="1:6" ht="13.5">
      <c r="A87" s="3115">
        <v>15</v>
      </c>
      <c r="B87" s="4053"/>
      <c r="C87" s="3089" t="s">
        <v>2674</v>
      </c>
      <c r="D87" s="3089" t="s">
        <v>2675</v>
      </c>
      <c r="E87" s="3115">
        <v>0.1</v>
      </c>
      <c r="F87" s="3115">
        <v>15</v>
      </c>
    </row>
    <row r="88" spans="1:6" ht="24">
      <c r="A88" s="3115">
        <v>16</v>
      </c>
      <c r="B88" s="4053"/>
      <c r="C88" s="3089" t="s">
        <v>2676</v>
      </c>
      <c r="D88" s="3089" t="s">
        <v>2677</v>
      </c>
      <c r="E88" s="3115">
        <v>0.1</v>
      </c>
      <c r="F88" s="3115">
        <v>15</v>
      </c>
    </row>
    <row r="89" spans="1:6" ht="24">
      <c r="A89" s="3115">
        <v>17</v>
      </c>
      <c r="B89" s="4052"/>
      <c r="C89" s="3089" t="s">
        <v>2678</v>
      </c>
      <c r="D89" s="3089" t="s">
        <v>2679</v>
      </c>
      <c r="E89" s="3115">
        <v>0.1</v>
      </c>
      <c r="F89" s="3115">
        <v>15</v>
      </c>
    </row>
    <row r="90" spans="1:6" ht="13.5">
      <c r="A90" s="3115">
        <v>18</v>
      </c>
      <c r="B90" s="4051" t="s">
        <v>2680</v>
      </c>
      <c r="C90" s="3089" t="s">
        <v>2681</v>
      </c>
      <c r="D90" s="3089" t="s">
        <v>2682</v>
      </c>
      <c r="E90" s="3115">
        <v>0.2</v>
      </c>
      <c r="F90" s="3115">
        <v>25</v>
      </c>
    </row>
    <row r="91" spans="1:6" ht="24">
      <c r="A91" s="3115">
        <v>19</v>
      </c>
      <c r="B91" s="4053"/>
      <c r="C91" s="3089" t="s">
        <v>2683</v>
      </c>
      <c r="D91" s="3089" t="s">
        <v>2684</v>
      </c>
      <c r="E91" s="3115">
        <v>0.2</v>
      </c>
      <c r="F91" s="3115">
        <v>25</v>
      </c>
    </row>
    <row r="92" spans="1:6" ht="13.5">
      <c r="A92" s="3115">
        <v>20</v>
      </c>
      <c r="B92" s="4053"/>
      <c r="C92" s="3089" t="s">
        <v>2685</v>
      </c>
      <c r="D92" s="3089" t="s">
        <v>2686</v>
      </c>
      <c r="E92" s="3115">
        <v>0.15</v>
      </c>
      <c r="F92" s="3115">
        <v>20</v>
      </c>
    </row>
    <row r="93" spans="1:6" ht="13.5">
      <c r="A93" s="3115">
        <v>21</v>
      </c>
      <c r="B93" s="4053"/>
      <c r="C93" s="3089" t="s">
        <v>2687</v>
      </c>
      <c r="D93" s="3089" t="s">
        <v>2688</v>
      </c>
      <c r="E93" s="3115">
        <v>0.15</v>
      </c>
      <c r="F93" s="3115">
        <v>20</v>
      </c>
    </row>
    <row r="94" spans="1:6" ht="13.5">
      <c r="A94" s="3115">
        <v>22</v>
      </c>
      <c r="B94" s="4053"/>
      <c r="C94" s="3089" t="s">
        <v>2689</v>
      </c>
      <c r="D94" s="3089" t="s">
        <v>2690</v>
      </c>
      <c r="E94" s="3115">
        <v>0.15</v>
      </c>
      <c r="F94" s="3115">
        <v>20</v>
      </c>
    </row>
    <row r="95" spans="1:6" ht="36">
      <c r="A95" s="3115">
        <v>23</v>
      </c>
      <c r="B95" s="4053"/>
      <c r="C95" s="3089" t="s">
        <v>2691</v>
      </c>
      <c r="D95" s="3089" t="s">
        <v>2692</v>
      </c>
      <c r="E95" s="3115">
        <v>0.15</v>
      </c>
      <c r="F95" s="3115">
        <v>20</v>
      </c>
    </row>
    <row r="96" spans="1:6" ht="13.5">
      <c r="A96" s="3115">
        <v>24</v>
      </c>
      <c r="B96" s="4053"/>
      <c r="C96" s="3089" t="s">
        <v>2693</v>
      </c>
      <c r="D96" s="3089" t="s">
        <v>2694</v>
      </c>
      <c r="E96" s="3115">
        <v>0.1</v>
      </c>
      <c r="F96" s="3115">
        <v>15</v>
      </c>
    </row>
    <row r="97" spans="1:6" ht="13.5">
      <c r="A97" s="3115">
        <v>25</v>
      </c>
      <c r="B97" s="4053"/>
      <c r="C97" s="3089" t="s">
        <v>2695</v>
      </c>
      <c r="D97" s="3089" t="s">
        <v>2696</v>
      </c>
      <c r="E97" s="3115">
        <v>0.1</v>
      </c>
      <c r="F97" s="3115">
        <v>15</v>
      </c>
    </row>
    <row r="98" spans="1:6" ht="24">
      <c r="A98" s="3115">
        <v>26</v>
      </c>
      <c r="B98" s="4053"/>
      <c r="C98" s="3089" t="s">
        <v>2697</v>
      </c>
      <c r="D98" s="3089" t="s">
        <v>2698</v>
      </c>
      <c r="E98" s="3115">
        <v>0.1</v>
      </c>
      <c r="F98" s="3115">
        <v>15</v>
      </c>
    </row>
    <row r="99" spans="1:6" ht="24">
      <c r="A99" s="3115">
        <v>27</v>
      </c>
      <c r="B99" s="4053"/>
      <c r="C99" s="3089" t="s">
        <v>2699</v>
      </c>
      <c r="D99" s="3089" t="s">
        <v>2700</v>
      </c>
      <c r="E99" s="3115">
        <v>0.1</v>
      </c>
      <c r="F99" s="3115">
        <v>15</v>
      </c>
    </row>
    <row r="100" spans="1:6" ht="13.5">
      <c r="A100" s="3115">
        <v>28</v>
      </c>
      <c r="B100" s="4053"/>
      <c r="C100" s="3089" t="s">
        <v>2701</v>
      </c>
      <c r="D100" s="3089" t="s">
        <v>2702</v>
      </c>
      <c r="E100" s="3115">
        <v>0.1</v>
      </c>
      <c r="F100" s="3115">
        <v>15</v>
      </c>
    </row>
    <row r="101" spans="1:6" ht="13.5">
      <c r="A101" s="3115">
        <v>29</v>
      </c>
      <c r="B101" s="4053"/>
      <c r="C101" s="3089" t="s">
        <v>2703</v>
      </c>
      <c r="D101" s="3089" t="s">
        <v>2704</v>
      </c>
      <c r="E101" s="3115">
        <v>0.1</v>
      </c>
      <c r="F101" s="3115">
        <v>15</v>
      </c>
    </row>
    <row r="102" spans="1:6" ht="13.5">
      <c r="A102" s="3115">
        <v>30</v>
      </c>
      <c r="B102" s="4053"/>
      <c r="C102" s="3089" t="s">
        <v>2705</v>
      </c>
      <c r="D102" s="3089" t="s">
        <v>2706</v>
      </c>
      <c r="E102" s="3115">
        <v>0.1</v>
      </c>
      <c r="F102" s="3115">
        <v>15</v>
      </c>
    </row>
    <row r="103" spans="1:6" ht="24">
      <c r="A103" s="3115">
        <v>31</v>
      </c>
      <c r="B103" s="4053"/>
      <c r="C103" s="3089" t="s">
        <v>2707</v>
      </c>
      <c r="D103" s="3089" t="s">
        <v>2708</v>
      </c>
      <c r="E103" s="3115">
        <v>0.1</v>
      </c>
      <c r="F103" s="3115">
        <v>15</v>
      </c>
    </row>
    <row r="104" spans="1:6" ht="24">
      <c r="A104" s="3115">
        <v>32</v>
      </c>
      <c r="B104" s="4053"/>
      <c r="C104" s="3089" t="s">
        <v>2709</v>
      </c>
      <c r="D104" s="3089" t="s">
        <v>2710</v>
      </c>
      <c r="E104" s="3115">
        <v>0.1</v>
      </c>
      <c r="F104" s="3115">
        <v>15</v>
      </c>
    </row>
    <row r="105" spans="1:6" ht="24">
      <c r="A105" s="3115">
        <v>33</v>
      </c>
      <c r="B105" s="4053"/>
      <c r="C105" s="3089" t="s">
        <v>2711</v>
      </c>
      <c r="D105" s="3089" t="s">
        <v>2712</v>
      </c>
      <c r="E105" s="3115">
        <v>0.1</v>
      </c>
      <c r="F105" s="3115">
        <v>15</v>
      </c>
    </row>
    <row r="106" spans="1:6" ht="24">
      <c r="A106" s="3115">
        <v>34</v>
      </c>
      <c r="B106" s="4052"/>
      <c r="C106" s="3089" t="s">
        <v>2713</v>
      </c>
      <c r="D106" s="3089" t="s">
        <v>2714</v>
      </c>
      <c r="E106" s="3115">
        <v>0.1</v>
      </c>
      <c r="F106" s="3115">
        <v>15</v>
      </c>
    </row>
    <row r="107" spans="1:6" ht="24">
      <c r="A107" s="3115">
        <v>35</v>
      </c>
      <c r="B107" s="4051" t="s">
        <v>2715</v>
      </c>
      <c r="C107" s="3115" t="s">
        <v>2716</v>
      </c>
      <c r="D107" s="3089" t="s">
        <v>2717</v>
      </c>
      <c r="E107" s="3115">
        <v>0.15</v>
      </c>
      <c r="F107" s="3115">
        <v>20</v>
      </c>
    </row>
    <row r="108" spans="1:6" ht="13.5">
      <c r="A108" s="3115">
        <v>36</v>
      </c>
      <c r="B108" s="4053"/>
      <c r="C108" s="3115" t="s">
        <v>2718</v>
      </c>
      <c r="D108" s="3089" t="s">
        <v>2719</v>
      </c>
      <c r="E108" s="3115">
        <v>0.15</v>
      </c>
      <c r="F108" s="3115">
        <v>20</v>
      </c>
    </row>
    <row r="109" spans="1:6" ht="13.5">
      <c r="A109" s="3115">
        <v>37</v>
      </c>
      <c r="B109" s="4053"/>
      <c r="C109" s="3115" t="s">
        <v>2720</v>
      </c>
      <c r="D109" s="3089" t="s">
        <v>2721</v>
      </c>
      <c r="E109" s="3115">
        <v>0.15</v>
      </c>
      <c r="F109" s="3115">
        <v>20</v>
      </c>
    </row>
    <row r="110" spans="1:6" ht="13.5">
      <c r="A110" s="3115">
        <v>38</v>
      </c>
      <c r="B110" s="4053"/>
      <c r="C110" s="3115" t="s">
        <v>2722</v>
      </c>
      <c r="D110" s="3089" t="s">
        <v>2723</v>
      </c>
      <c r="E110" s="3115">
        <v>0.1</v>
      </c>
      <c r="F110" s="3115">
        <v>15</v>
      </c>
    </row>
    <row r="111" spans="1:6" ht="24">
      <c r="A111" s="3115">
        <v>39</v>
      </c>
      <c r="B111" s="4053"/>
      <c r="C111" s="3115" t="s">
        <v>2724</v>
      </c>
      <c r="D111" s="3089" t="s">
        <v>2725</v>
      </c>
      <c r="E111" s="3115">
        <v>0.1</v>
      </c>
      <c r="F111" s="3115">
        <v>15</v>
      </c>
    </row>
    <row r="112" spans="1:6" ht="24">
      <c r="A112" s="3115">
        <v>40</v>
      </c>
      <c r="B112" s="4052"/>
      <c r="C112" s="3115" t="s">
        <v>2726</v>
      </c>
      <c r="D112" s="3089" t="s">
        <v>2727</v>
      </c>
      <c r="E112" s="3115">
        <v>0.1</v>
      </c>
      <c r="F112" s="3115">
        <v>15</v>
      </c>
    </row>
    <row r="113" spans="1:6" ht="13.5">
      <c r="A113" s="3115">
        <v>41</v>
      </c>
      <c r="B113" s="4050" t="s">
        <v>2728</v>
      </c>
      <c r="C113" s="3115" t="s">
        <v>2729</v>
      </c>
      <c r="D113" s="3089" t="s">
        <v>2730</v>
      </c>
      <c r="E113" s="3115">
        <v>0.1</v>
      </c>
      <c r="F113" s="3115">
        <v>15</v>
      </c>
    </row>
    <row r="114" spans="1:6" ht="13.5">
      <c r="A114" s="3115">
        <v>42</v>
      </c>
      <c r="B114" s="4050"/>
      <c r="C114" s="3115" t="s">
        <v>2731</v>
      </c>
      <c r="D114" s="3089" t="s">
        <v>2732</v>
      </c>
      <c r="E114" s="3115">
        <v>0.1</v>
      </c>
      <c r="F114" s="3115">
        <v>15</v>
      </c>
    </row>
    <row r="115" spans="1:6" ht="24">
      <c r="A115" s="3115">
        <v>43</v>
      </c>
      <c r="B115" s="4050"/>
      <c r="C115" s="3115" t="s">
        <v>2733</v>
      </c>
      <c r="D115" s="3089" t="s">
        <v>2734</v>
      </c>
      <c r="E115" s="3115">
        <v>0.1</v>
      </c>
      <c r="F115" s="3115">
        <v>15</v>
      </c>
    </row>
    <row r="116" spans="1:6" ht="13.5">
      <c r="A116" s="3115">
        <v>44</v>
      </c>
      <c r="B116" s="4051" t="s">
        <v>2735</v>
      </c>
      <c r="C116" s="3115" t="s">
        <v>2736</v>
      </c>
      <c r="D116" s="3089" t="s">
        <v>2737</v>
      </c>
      <c r="E116" s="3115">
        <v>0.1</v>
      </c>
      <c r="F116" s="3115">
        <v>15</v>
      </c>
    </row>
    <row r="117" spans="1:6" ht="24">
      <c r="A117" s="3115">
        <v>45</v>
      </c>
      <c r="B117" s="4052"/>
      <c r="C117" s="3089" t="s">
        <v>2738</v>
      </c>
      <c r="D117" s="3089" t="s">
        <v>2739</v>
      </c>
      <c r="E117" s="3115">
        <v>0.1</v>
      </c>
      <c r="F117" s="3115">
        <v>15</v>
      </c>
    </row>
    <row r="118" spans="1:6" ht="24">
      <c r="A118" s="3115">
        <v>46</v>
      </c>
      <c r="B118" s="4051" t="s">
        <v>2740</v>
      </c>
      <c r="C118" s="3115" t="s">
        <v>2741</v>
      </c>
      <c r="D118" s="3089" t="s">
        <v>2742</v>
      </c>
      <c r="E118" s="3115">
        <v>0.1</v>
      </c>
      <c r="F118" s="3115">
        <v>15</v>
      </c>
    </row>
    <row r="119" spans="1:6" ht="24">
      <c r="A119" s="3115">
        <v>47</v>
      </c>
      <c r="B119" s="4052"/>
      <c r="C119" s="3115" t="s">
        <v>2743</v>
      </c>
      <c r="D119" s="3089" t="s">
        <v>2744</v>
      </c>
      <c r="E119" s="3115">
        <v>0.1</v>
      </c>
      <c r="F119" s="3115">
        <v>15</v>
      </c>
    </row>
    <row r="120" spans="1:6" ht="13.5">
      <c r="A120" s="3115">
        <v>48</v>
      </c>
      <c r="B120" s="4051" t="s">
        <v>2745</v>
      </c>
      <c r="C120" s="3115" t="s">
        <v>2746</v>
      </c>
      <c r="D120" s="3089" t="s">
        <v>2747</v>
      </c>
      <c r="E120" s="3115">
        <v>0.1</v>
      </c>
      <c r="F120" s="3115">
        <v>15</v>
      </c>
    </row>
    <row r="121" spans="1:6" ht="13.5">
      <c r="A121" s="3115">
        <v>49</v>
      </c>
      <c r="B121" s="4052"/>
      <c r="C121" s="3115" t="s">
        <v>2748</v>
      </c>
      <c r="D121" s="3089" t="s">
        <v>2749</v>
      </c>
      <c r="E121" s="3115">
        <v>0.1</v>
      </c>
      <c r="F121" s="3115">
        <v>15</v>
      </c>
    </row>
    <row r="122" spans="1:6" ht="24">
      <c r="A122" s="3115">
        <v>50</v>
      </c>
      <c r="B122" s="4050" t="s">
        <v>2750</v>
      </c>
      <c r="C122" s="3115" t="s">
        <v>2751</v>
      </c>
      <c r="D122" s="3089" t="s">
        <v>2752</v>
      </c>
      <c r="E122" s="3115">
        <v>0.1</v>
      </c>
      <c r="F122" s="3115">
        <v>15</v>
      </c>
    </row>
    <row r="123" spans="1:6" ht="24">
      <c r="A123" s="3115">
        <v>51</v>
      </c>
      <c r="B123" s="4050"/>
      <c r="C123" s="3115" t="s">
        <v>2753</v>
      </c>
      <c r="D123" s="3089" t="s">
        <v>2754</v>
      </c>
      <c r="E123" s="3115">
        <v>0.1</v>
      </c>
      <c r="F123" s="3115">
        <v>15</v>
      </c>
    </row>
    <row r="124" spans="1:6" ht="24">
      <c r="A124" s="3115">
        <v>52</v>
      </c>
      <c r="B124" s="4050" t="s">
        <v>2755</v>
      </c>
      <c r="C124" s="3115" t="s">
        <v>2756</v>
      </c>
      <c r="D124" s="3089" t="s">
        <v>2757</v>
      </c>
      <c r="E124" s="3115">
        <v>0.1</v>
      </c>
      <c r="F124" s="3115">
        <v>15</v>
      </c>
    </row>
    <row r="125" spans="1:6" ht="24">
      <c r="A125" s="3115">
        <v>53</v>
      </c>
      <c r="B125" s="4050"/>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4050" t="s">
        <v>2763</v>
      </c>
      <c r="C127" s="3115" t="s">
        <v>2764</v>
      </c>
      <c r="D127" s="3089" t="s">
        <v>2765</v>
      </c>
      <c r="E127" s="3115">
        <v>0.1</v>
      </c>
      <c r="F127" s="3115">
        <v>15</v>
      </c>
    </row>
    <row r="128" spans="1:6" ht="13.5">
      <c r="A128" s="3115">
        <v>56</v>
      </c>
      <c r="B128" s="4050"/>
      <c r="C128" s="3115" t="s">
        <v>2766</v>
      </c>
      <c r="D128" s="3089" t="s">
        <v>2767</v>
      </c>
      <c r="E128" s="3115">
        <v>0.1</v>
      </c>
      <c r="F128" s="3115">
        <v>15</v>
      </c>
    </row>
    <row r="129" spans="1:6" ht="24">
      <c r="A129" s="3115">
        <v>57</v>
      </c>
      <c r="B129" s="4050"/>
      <c r="C129" s="3115" t="s">
        <v>2768</v>
      </c>
      <c r="D129" s="3089" t="s">
        <v>2769</v>
      </c>
      <c r="E129" s="3115">
        <v>0.1</v>
      </c>
      <c r="F129" s="3115">
        <v>15</v>
      </c>
    </row>
    <row r="130" spans="1:6" ht="24">
      <c r="A130" s="3115">
        <v>58</v>
      </c>
      <c r="B130" s="4050" t="s">
        <v>2770</v>
      </c>
      <c r="C130" s="3115" t="s">
        <v>2771</v>
      </c>
      <c r="D130" s="3089" t="s">
        <v>2772</v>
      </c>
      <c r="E130" s="3115">
        <v>0.1</v>
      </c>
      <c r="F130" s="3115">
        <v>15</v>
      </c>
    </row>
    <row r="131" spans="1:6" ht="13.5">
      <c r="A131" s="3115">
        <v>59</v>
      </c>
      <c r="B131" s="4050"/>
      <c r="C131" s="3115" t="s">
        <v>2773</v>
      </c>
      <c r="D131" s="3089" t="s">
        <v>2774</v>
      </c>
      <c r="E131" s="3115">
        <v>0.1</v>
      </c>
      <c r="F131" s="3115">
        <v>15</v>
      </c>
    </row>
    <row r="132" spans="1:6" ht="13.5">
      <c r="A132" s="3115">
        <v>60</v>
      </c>
      <c r="B132" s="4051" t="s">
        <v>2775</v>
      </c>
      <c r="C132" s="3115" t="s">
        <v>2776</v>
      </c>
      <c r="D132" s="3089" t="s">
        <v>2777</v>
      </c>
      <c r="E132" s="3115">
        <v>0.1</v>
      </c>
      <c r="F132" s="3115">
        <v>15</v>
      </c>
    </row>
    <row r="133" spans="1:6" ht="13.5">
      <c r="A133" s="3115">
        <v>61</v>
      </c>
      <c r="B133" s="4052"/>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4050" t="s">
        <v>2783</v>
      </c>
      <c r="C135" s="3115" t="s">
        <v>2784</v>
      </c>
      <c r="D135" s="3089" t="s">
        <v>2785</v>
      </c>
      <c r="E135" s="3115">
        <v>0.1</v>
      </c>
      <c r="F135" s="3115">
        <v>15</v>
      </c>
    </row>
    <row r="136" spans="1:6" ht="13.5">
      <c r="A136" s="3115">
        <v>64</v>
      </c>
      <c r="B136" s="4050"/>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2792</v>
      </c>
      <c r="B1" s="3124"/>
      <c r="C1" s="3124"/>
      <c r="D1" s="3124"/>
      <c r="E1" s="3124"/>
      <c r="F1" s="3124"/>
      <c r="G1" s="3124"/>
      <c r="H1" s="3124"/>
      <c r="I1" s="3124"/>
      <c r="J1" s="3124"/>
      <c r="K1" s="3124"/>
      <c r="L1" s="3124"/>
      <c r="M1" s="3124"/>
      <c r="N1" s="749"/>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50">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50">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29192</v>
      </c>
      <c r="C2" s="2" t="s">
        <v>106</v>
      </c>
      <c r="D2" s="199"/>
      <c r="E2" s="199"/>
      <c r="F2" s="199"/>
      <c r="G2" s="199"/>
    </row>
    <row r="3" spans="1:7" s="200" customFormat="1" ht="18" customHeight="1" thickBot="1">
      <c r="A3" s="203" t="s">
        <v>58</v>
      </c>
      <c r="B3" s="204">
        <f ca="1">ROUND(B2*10000/'数据-汇总表'!E3,0)</f>
        <v>695048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420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420</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231</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v>
      </c>
      <c r="D37" s="217">
        <f>'数据-汇总表'!E3</f>
        <v>420</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884" t="s">
        <v>94</v>
      </c>
    </row>
    <row r="43" spans="1:7" ht="13.5" customHeight="1">
      <c r="A43" s="780" t="s">
        <v>347</v>
      </c>
      <c r="B43" s="215" t="s">
        <v>426</v>
      </c>
      <c r="C43" s="238">
        <f ca="1">ROUND(IF('数据-取费表'!B22&lt;=1,C39*F22*'数据-取费表'!B21/2,C39*(POWER((1+F22),'数据-取费表'!B21/2)-1)),0)</f>
        <v>0</v>
      </c>
      <c r="D43" s="238"/>
      <c r="E43" s="238"/>
      <c r="F43" s="239"/>
      <c r="G43" s="3885"/>
    </row>
    <row r="44" spans="1:7" ht="13.5" customHeight="1">
      <c r="A44" s="780" t="s">
        <v>348</v>
      </c>
      <c r="B44" s="215" t="s">
        <v>428</v>
      </c>
      <c r="C44" s="238">
        <f ca="1">ROUND(IF('数据-取费表'!B22&lt;=1,C40*F22*'数据-取费表'!B21/2,C40*(POWER((1+F22),'数据-取费表'!B21/2)-1)),4)</f>
        <v>6.9999999999999999E-4</v>
      </c>
      <c r="D44" s="238"/>
      <c r="E44" s="238"/>
      <c r="F44" s="239"/>
      <c r="G44" s="3886"/>
    </row>
    <row r="45" spans="1:7" s="214" customFormat="1" ht="13.5" customHeight="1">
      <c r="A45" s="777" t="s">
        <v>341</v>
      </c>
      <c r="B45" s="244" t="s">
        <v>85</v>
      </c>
      <c r="C45" s="245">
        <f>C46</f>
        <v>51</v>
      </c>
      <c r="D45" s="235">
        <f>C47</f>
        <v>4.0000000000000001E-3</v>
      </c>
      <c r="E45" s="236" t="s">
        <v>102</v>
      </c>
      <c r="F45" s="246"/>
      <c r="G45" s="247" t="s">
        <v>434</v>
      </c>
    </row>
    <row r="46" spans="1:7" s="214" customFormat="1" ht="13.5" customHeight="1">
      <c r="A46" s="780" t="s">
        <v>349</v>
      </c>
      <c r="B46" s="248" t="s">
        <v>427</v>
      </c>
      <c r="C46" s="249">
        <f>ROUND((C33+C39)*F27,0)</f>
        <v>51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340</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264</v>
      </c>
      <c r="D51" s="232"/>
      <c r="E51" s="232"/>
      <c r="F51" s="264"/>
      <c r="G51" s="234" t="s">
        <v>37</v>
      </c>
    </row>
    <row r="52" spans="1:7" s="208" customFormat="1" ht="16.5" thickBot="1">
      <c r="A52" s="265" t="s">
        <v>38</v>
      </c>
      <c r="B52" s="266"/>
      <c r="C52" s="267">
        <f ca="1">C31+C51</f>
        <v>29192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4064" t="s">
        <v>2837</v>
      </c>
      <c r="B1" s="4064"/>
      <c r="C1" s="4064"/>
      <c r="D1" s="4064"/>
      <c r="E1" s="4064"/>
      <c r="F1" s="4064"/>
      <c r="G1" s="4065"/>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4062" t="s">
        <v>2864</v>
      </c>
      <c r="B3" s="3227"/>
      <c r="C3" s="3228" t="s">
        <v>2805</v>
      </c>
      <c r="D3" s="3228" t="s">
        <v>2865</v>
      </c>
      <c r="E3" s="3228" t="s">
        <v>2807</v>
      </c>
      <c r="F3" s="3228" t="s">
        <v>2866</v>
      </c>
      <c r="G3" s="3228" t="s">
        <v>2625</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4063"/>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7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06"/>
      <c r="C2" s="3706"/>
      <c r="D2" s="3706"/>
      <c r="E2" s="3706"/>
    </row>
    <row r="3" spans="1:5" ht="18">
      <c r="A3" s="3707" t="str">
        <f>IF(项目基本情况!B9="房地产市场价值","估价结果一览表（市场价值不需“结果表-1”）","估价结果一览表")</f>
        <v>估价结果一览表（市场价值不需“结果表-1”）</v>
      </c>
      <c r="B3" s="3707"/>
      <c r="C3" s="3707"/>
      <c r="D3" s="3707"/>
      <c r="E3" s="3707"/>
    </row>
    <row r="4" spans="1:5" ht="19.5" thickBot="1">
      <c r="A4" s="1493"/>
      <c r="B4" s="3705" t="s">
        <v>917</v>
      </c>
      <c r="C4" s="3705"/>
      <c r="D4" s="3705"/>
      <c r="E4" s="1493"/>
    </row>
    <row r="5" spans="1:5" ht="16.5" thickTop="1">
      <c r="A5" s="1491"/>
      <c r="B5" s="3703" t="s">
        <v>909</v>
      </c>
      <c r="C5" s="1494" t="s">
        <v>910</v>
      </c>
      <c r="D5" s="850" t="e">
        <f ca="1">结果表!H101</f>
        <v>#REF!</v>
      </c>
      <c r="E5" s="1491"/>
    </row>
    <row r="6" spans="1:5" ht="15.75">
      <c r="A6" s="1491"/>
      <c r="B6" s="3703"/>
      <c r="C6" s="1494" t="s">
        <v>911</v>
      </c>
      <c r="D6" s="850" t="e">
        <f ca="1">NUMBERSTRING(INT(D5*10000),2)&amp;"元整"</f>
        <v>#REF!</v>
      </c>
      <c r="E6" s="1491"/>
    </row>
    <row r="7" spans="1:5" ht="15.75">
      <c r="A7" s="1491"/>
      <c r="B7" s="3708"/>
      <c r="C7" s="1495" t="s">
        <v>912</v>
      </c>
      <c r="D7" s="851" t="e">
        <f ca="1">结果表!H102</f>
        <v>#REF!</v>
      </c>
      <c r="E7" s="1491"/>
    </row>
    <row r="8" spans="1:5" ht="15.75">
      <c r="A8" s="1491"/>
      <c r="B8" s="3709" t="str">
        <f>结果表!E103</f>
        <v>2.估价师知悉的法定优先受偿款</v>
      </c>
      <c r="C8" s="1496" t="s">
        <v>913</v>
      </c>
      <c r="D8" s="851">
        <f>结果表!H103</f>
        <v>0</v>
      </c>
      <c r="E8" s="1491"/>
    </row>
    <row r="9" spans="1:5" ht="15.75">
      <c r="A9" s="1491"/>
      <c r="B9" s="371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702" t="str">
        <f>结果表!E107</f>
        <v>3.房地产抵押价值</v>
      </c>
      <c r="C13" s="1499" t="s">
        <v>910</v>
      </c>
      <c r="D13" s="853" t="e">
        <f ca="1">结果表!H107</f>
        <v>#REF!</v>
      </c>
      <c r="E13" s="1491"/>
    </row>
    <row r="14" spans="1:5" ht="15.75">
      <c r="A14" s="1491"/>
      <c r="B14" s="3703"/>
      <c r="C14" s="1494" t="s">
        <v>911</v>
      </c>
      <c r="D14" s="850" t="e">
        <f ca="1">NUMBERSTRING(INT(D13*10000),2)&amp;"元整"</f>
        <v>#REF!</v>
      </c>
      <c r="E14" s="1491"/>
    </row>
    <row r="15" spans="1:5" ht="15">
      <c r="A15" s="1491"/>
      <c r="B15" s="3708"/>
      <c r="C15" s="1495" t="s">
        <v>921</v>
      </c>
      <c r="D15" s="859" t="e">
        <f ca="1">结果表!H108</f>
        <v>#REF!</v>
      </c>
      <c r="E15" s="1491"/>
    </row>
    <row r="16" spans="1:5" ht="15">
      <c r="A16" s="1491"/>
      <c r="B16" s="3709" t="str">
        <f>结果表!E109</f>
        <v>——</v>
      </c>
      <c r="C16" s="1499" t="s">
        <v>922</v>
      </c>
      <c r="D16" s="1500" t="str">
        <f>结果表!H109</f>
        <v>——</v>
      </c>
      <c r="E16" s="1491"/>
    </row>
    <row r="17" spans="1:5" ht="15.75">
      <c r="A17" s="1491"/>
      <c r="B17" s="3710"/>
      <c r="C17" s="1494" t="s">
        <v>923</v>
      </c>
      <c r="D17" s="850" t="e">
        <f>NUMBERSTRING(INT(D16*10000),2)&amp;"元整"</f>
        <v>#VALUE!</v>
      </c>
      <c r="E17" s="1491"/>
    </row>
    <row r="18" spans="1:5" ht="15">
      <c r="A18" s="1491"/>
      <c r="B18" s="3711"/>
      <c r="C18" s="1495" t="s">
        <v>912</v>
      </c>
      <c r="D18" s="859" t="str">
        <f>结果表!H110</f>
        <v>——</v>
      </c>
      <c r="E18" s="1491"/>
    </row>
    <row r="19" spans="1:5" ht="15.75">
      <c r="A19" s="1491"/>
      <c r="B19" s="3702" t="str">
        <f>结果表!E111</f>
        <v>——</v>
      </c>
      <c r="C19" s="1499" t="s">
        <v>910</v>
      </c>
      <c r="D19" s="851" t="str">
        <f>结果表!H111</f>
        <v>——</v>
      </c>
      <c r="E19" s="1491"/>
    </row>
    <row r="20" spans="1:5" ht="15.75">
      <c r="A20" s="1491"/>
      <c r="B20" s="3703"/>
      <c r="C20" s="1494" t="s">
        <v>923</v>
      </c>
      <c r="D20" s="850" t="e">
        <f>NUMBERSTRING(INT(D19*10000),2)&amp;"元整"</f>
        <v>#VALUE!</v>
      </c>
      <c r="E20" s="1491"/>
    </row>
    <row r="21" spans="1:5" ht="15.75" thickBot="1">
      <c r="A21" s="1491"/>
      <c r="B21" s="370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4066" t="s">
        <v>3179</v>
      </c>
      <c r="B1" s="4066"/>
    </row>
    <row r="2" spans="1:7" ht="14.25" thickBot="1">
      <c r="A2" s="3252"/>
      <c r="B2" s="3252"/>
    </row>
    <row r="3" spans="1:7" ht="14.25" thickBot="1">
      <c r="A3" s="3252"/>
      <c r="B3" s="3252"/>
      <c r="C3" s="3253" t="s">
        <v>2805</v>
      </c>
      <c r="D3" s="3253" t="s">
        <v>2865</v>
      </c>
      <c r="E3" s="3253" t="s">
        <v>2807</v>
      </c>
      <c r="F3" s="3253" t="s">
        <v>2866</v>
      </c>
      <c r="G3" s="3253" t="s">
        <v>2625</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4067" t="s">
        <v>3230</v>
      </c>
      <c r="B1" s="4067"/>
      <c r="C1" s="4067"/>
      <c r="D1" s="4067"/>
      <c r="E1" s="4067"/>
      <c r="F1" s="4068"/>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45441</v>
      </c>
      <c r="B1" s="3207" t="s">
        <v>2836</v>
      </c>
      <c r="C1" s="3208"/>
      <c r="D1" s="3208"/>
      <c r="E1" s="3208"/>
      <c r="F1" s="3208"/>
      <c r="G1" s="3208"/>
      <c r="H1" s="3208"/>
      <c r="I1" s="3208"/>
      <c r="J1" s="3162"/>
      <c r="K1" s="3208" t="s">
        <v>454</v>
      </c>
      <c r="L1" s="3208"/>
      <c r="M1" s="3208"/>
      <c r="N1" s="3208"/>
      <c r="O1" s="3208"/>
      <c r="P1" s="3208"/>
      <c r="Q1" s="3162"/>
      <c r="R1" s="4069" t="s">
        <v>456</v>
      </c>
      <c r="S1" s="4070"/>
      <c r="T1" s="4070"/>
      <c r="U1" s="4070"/>
      <c r="V1" s="4070"/>
      <c r="W1" s="4070"/>
      <c r="X1" s="3162"/>
      <c r="Y1" s="4069" t="s">
        <v>457</v>
      </c>
      <c r="Z1" s="4070"/>
      <c r="AA1" s="4070"/>
      <c r="AB1" s="4070"/>
      <c r="AC1" s="4070"/>
      <c r="AD1" s="4070"/>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3366</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3367</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3365</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2814</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2815</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ROUND(IF([9]项目基本情况!B8="出让",SUMPRODUCT(PRODUCT(1+K9:K16)),SUMPRODUCT(PRODUCT(1+K9:K15))),4)</f>
        <v>1.0565</v>
      </c>
      <c r="S9" s="3189">
        <f>ROUND(IF([9]项目基本情况!B8="出让",SUMPRODUCT(PRODUCT(1+L9:L16)),SUMPRODUCT(PRODUCT(1+L9:L15))),4)</f>
        <v>1.0250999999999999</v>
      </c>
      <c r="T9" s="3189">
        <f>ROUND(IF([9]项目基本情况!B8="出让",SUMPRODUCT(PRODUCT(1+M9:M16)),SUMPRODUCT(PRODUCT(1+M9:M15))),4)</f>
        <v>1.0145</v>
      </c>
      <c r="U9" s="3189">
        <f>ROUND(IF([9]项目基本情况!B8="出让",SUMPRODUCT(PRODUCT(1+N9:N16)),SUMPRODUCT(PRODUCT(1+N9:N15))),4)</f>
        <v>1.0618000000000001</v>
      </c>
      <c r="V9" s="3189">
        <f>ROUND(IF([9]项目基本情况!B8="出让",SUMPRODUCT(PRODUCT(1+O9:O16)),SUMPRODUCT(PRODUCT(1+O9:O15))),4)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ROUND(IF([9]项目基本情况!B8="出让",SUMPRODUCT(PRODUCT(1+K10:K16)),SUMPRODUCT(PRODUCT(1+K10:K15))),4)</f>
        <v>1.05</v>
      </c>
      <c r="S10" s="3180">
        <f>ROUND(IF([9]项目基本情况!B8="出让",SUMPRODUCT(PRODUCT(1+L10:L16)),SUMPRODUCT(PRODUCT(1+L10:L15))),4)</f>
        <v>1.0229999999999999</v>
      </c>
      <c r="T10" s="3180">
        <f>ROUND(IF([9]项目基本情况!B8="出让",SUMPRODUCT(PRODUCT(1+M10:M16)),SUMPRODUCT(PRODUCT(1+M10:M15))),4)</f>
        <v>1.0134000000000001</v>
      </c>
      <c r="U10" s="3180">
        <f>ROUND(IF([9]项目基本情况!B8="出让",SUMPRODUCT(PRODUCT(1+N10:N16)),SUMPRODUCT(PRODUCT(1+N10:N15))),4)</f>
        <v>1.0545</v>
      </c>
      <c r="V10" s="3180">
        <f>ROUND(IF([9]项目基本情况!B8="出让",SUMPRODUCT(PRODUCT(1+O10:O16)),SUMPRODUCT(PRODUCT(1+O10:O15))),4)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ROUND(IF([9]项目基本情况!B8="出让",SUMPRODUCT(PRODUCT(1+K11:K16)),SUMPRODUCT(PRODUCT(1+K11:K15))),4)</f>
        <v>1.0430999999999999</v>
      </c>
      <c r="S11" s="3180">
        <f>ROUND(IF([9]项目基本情况!B8="出让",SUMPRODUCT(PRODUCT(1+L11:L16)),SUMPRODUCT(PRODUCT(1+L11:L15))),4)</f>
        <v>1.0197000000000001</v>
      </c>
      <c r="T11" s="3180">
        <f>ROUND(IF([9]项目基本情况!B8="出让",SUMPRODUCT(PRODUCT(1+M11:M16)),SUMPRODUCT(PRODUCT(1+M11:M15))),4)</f>
        <v>1.0109999999999999</v>
      </c>
      <c r="U11" s="3180">
        <f>ROUND(IF([9]项目基本情况!B8="出让",SUMPRODUCT(PRODUCT(1+N11:N16)),SUMPRODUCT(PRODUCT(1+N11:N15))),4)</f>
        <v>1.0468999999999999</v>
      </c>
      <c r="V11" s="3180">
        <f>ROUND(IF([9]项目基本情况!B8="出让",SUMPRODUCT(PRODUCT(1+O11:O16)),SUMPRODUCT(PRODUCT(1+O11:O15))),4)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2816</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ROUND(IF([9]项目基本情况!B8="出让",SUMPRODUCT(PRODUCT(1+K12:K16)),SUMPRODUCT(PRODUCT(1+K12:K15))),4)</f>
        <v>1.0335000000000001</v>
      </c>
      <c r="S12" s="3180">
        <f>ROUND(IF([9]项目基本情况!B8="出让",SUMPRODUCT(PRODUCT(1+L12:L16)),SUMPRODUCT(PRODUCT(1+L12:L15))),4)</f>
        <v>1.0182</v>
      </c>
      <c r="T12" s="3180">
        <f>ROUND(IF([9]项目基本情况!B8="出让",SUMPRODUCT(PRODUCT(1+M12:M16)),SUMPRODUCT(PRODUCT(1+M12:M15))),4)</f>
        <v>1.0108999999999999</v>
      </c>
      <c r="U12" s="3180">
        <f>ROUND(IF([9]项目基本情况!B8="出让",SUMPRODUCT(PRODUCT(1+N12:N16)),SUMPRODUCT(PRODUCT(1+N12:N15))),4)</f>
        <v>1.0361</v>
      </c>
      <c r="V12" s="3180">
        <f>ROUND(IF([9]项目基本情况!B8="出让",SUMPRODUCT(PRODUCT(1+O12:O16)),SUMPRODUCT(PRODUCT(1+O12:O15))),4)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2817</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ROUND(IF([9]项目基本情况!B8="出让",SUMPRODUCT(PRODUCT(1+K13:K16)),SUMPRODUCT(PRODUCT(1+K13:K15))),4)</f>
        <v>1.0244</v>
      </c>
      <c r="S13" s="3180">
        <f>ROUND(IF([9]项目基本情况!B8="出让",SUMPRODUCT(PRODUCT(1+L13:L16)),SUMPRODUCT(PRODUCT(1+L13:L15))),4)</f>
        <v>1.0138</v>
      </c>
      <c r="T13" s="3180">
        <f>ROUND(IF([9]项目基本情况!B8="出让",SUMPRODUCT(PRODUCT(1+M13:M16)),SUMPRODUCT(PRODUCT(1+M13:M15))),4)</f>
        <v>1.0072000000000001</v>
      </c>
      <c r="U13" s="3180">
        <f>ROUND(IF([9]项目基本情况!B8="出让",SUMPRODUCT(PRODUCT(1+N13:N16)),SUMPRODUCT(PRODUCT(1+N13:N15))),4)</f>
        <v>1.0262</v>
      </c>
      <c r="V13" s="3180">
        <f>ROUND(IF([9]项目基本情况!B8="出让",SUMPRODUCT(PRODUCT(1+O13:O16)),SUMPRODUCT(PRODUCT(1+O13:O15))),4)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2818</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ROUND(IF([9]项目基本情况!B8="出让",SUMPRODUCT(PRODUCT(1+K14:K16)),SUMPRODUCT(PRODUCT(1+K14:K15))),4)</f>
        <v>1.0139</v>
      </c>
      <c r="S14" s="3180">
        <f>ROUND(IF([9]项目基本情况!B8="出让",SUMPRODUCT(PRODUCT(1+L14:L16)),SUMPRODUCT(PRODUCT(1+L14:L15))),4)</f>
        <v>1.0113000000000001</v>
      </c>
      <c r="T14" s="3180">
        <f>ROUND(IF([9]项目基本情况!B8="出让",SUMPRODUCT(PRODUCT(1+M14:M16)),SUMPRODUCT(PRODUCT(1+M14:M15))),4)</f>
        <v>1.0065</v>
      </c>
      <c r="U14" s="3180">
        <f>ROUND(IF([9]项目基本情况!B8="出让",SUMPRODUCT(PRODUCT(1+N14:N16)),SUMPRODUCT(PRODUCT(1+N14:N15))),4)</f>
        <v>1.0143</v>
      </c>
      <c r="V14" s="3180">
        <f>ROUND(IF([9]项目基本情况!B8="出让",SUMPRODUCT(PRODUCT(1+O14:O16)),SUMPRODUCT(PRODUCT(1+O14:O15))),4)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2819</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ROUND(IF([9]项目基本情况!B8="出让",SUMPRODUCT(PRODUCT(1+K15:K16)),SUMPRODUCT(PRODUCT(1+K15:K15))),4)</f>
        <v>1.0092000000000001</v>
      </c>
      <c r="S15" s="3180">
        <f>ROUND(IF([9]项目基本情况!B8="出让",SUMPRODUCT(PRODUCT(1+L15:L16)),SUMPRODUCT(PRODUCT(1+L15:L15))),4)</f>
        <v>1.0072000000000001</v>
      </c>
      <c r="T15" s="3180">
        <f>ROUND(IF([9]项目基本情况!B8="出让",SUMPRODUCT(PRODUCT(1+M15:M16)),SUMPRODUCT(PRODUCT(1+M15:M15))),4)</f>
        <v>1.0041</v>
      </c>
      <c r="U15" s="3180">
        <f>ROUND(IF([9]项目基本情况!B8="出让",SUMPRODUCT(PRODUCT(1+N15:N16)),SUMPRODUCT(PRODUCT(1+N15:N15))),4)</f>
        <v>1.0095000000000001</v>
      </c>
      <c r="V15" s="3180">
        <f>ROUND(IF([9]项目基本情况!B8="出让",SUMPRODUCT(PRODUCT(1+O15:O16)),SUMPRODUCT(PRODUCT(1+O15:O15))),4)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2820</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4" t="s">
        <v>3363</v>
      </c>
    </row>
    <row r="19" spans="1:30" s="3006" customFormat="1">
      <c r="I19" s="3205" t="s">
        <v>2821</v>
      </c>
    </row>
    <row r="20" spans="1:30" s="3006" customFormat="1"/>
    <row r="21" spans="1:30" s="3206" customFormat="1" ht="12.75">
      <c r="B21" s="3207" t="s">
        <v>2822</v>
      </c>
      <c r="C21" s="3208"/>
      <c r="D21" s="3208"/>
      <c r="E21" s="3208"/>
      <c r="F21" s="3208"/>
      <c r="G21" s="3208"/>
      <c r="H21" s="3208"/>
      <c r="I21" s="3208"/>
      <c r="J21" s="3162"/>
      <c r="K21" s="3208" t="s">
        <v>2823</v>
      </c>
      <c r="L21" s="3208"/>
      <c r="M21" s="3208"/>
      <c r="N21" s="3208"/>
      <c r="O21" s="3208"/>
      <c r="P21" s="3208"/>
      <c r="Q21" s="3162"/>
      <c r="R21" s="4069" t="s">
        <v>2824</v>
      </c>
      <c r="S21" s="4070"/>
      <c r="T21" s="4070"/>
      <c r="U21" s="4070"/>
      <c r="V21" s="4070"/>
      <c r="W21" s="4070"/>
      <c r="X21" s="3162"/>
      <c r="Y21" s="4069" t="s">
        <v>2825</v>
      </c>
      <c r="Z21" s="4070"/>
      <c r="AA21" s="4070"/>
      <c r="AB21" s="4070"/>
      <c r="AC21" s="4070"/>
      <c r="AD21" s="4070"/>
    </row>
    <row r="22" spans="1:30" s="3140" customFormat="1" ht="14.25" thickBot="1">
      <c r="B22" s="3141"/>
      <c r="C22" s="3142"/>
      <c r="D22" s="3143" t="s">
        <v>2826</v>
      </c>
      <c r="E22" s="3144" t="s">
        <v>2827</v>
      </c>
      <c r="F22" s="3144" t="s">
        <v>2828</v>
      </c>
      <c r="G22" s="3144" t="s">
        <v>2829</v>
      </c>
      <c r="H22" s="3144"/>
      <c r="I22" s="3144" t="s">
        <v>2830</v>
      </c>
      <c r="J22" s="3145"/>
      <c r="K22" s="3143" t="s">
        <v>2826</v>
      </c>
      <c r="L22" s="3144" t="s">
        <v>2827</v>
      </c>
      <c r="M22" s="3144" t="s">
        <v>2828</v>
      </c>
      <c r="N22" s="3144" t="s">
        <v>2829</v>
      </c>
      <c r="O22" s="3144"/>
      <c r="P22" s="3144" t="s">
        <v>2830</v>
      </c>
      <c r="Q22" s="3145"/>
      <c r="R22" s="3143" t="s">
        <v>2826</v>
      </c>
      <c r="S22" s="3144" t="s">
        <v>2827</v>
      </c>
      <c r="T22" s="3144" t="s">
        <v>2828</v>
      </c>
      <c r="U22" s="3144" t="s">
        <v>2829</v>
      </c>
      <c r="V22" s="3144"/>
      <c r="W22" s="3144" t="s">
        <v>2830</v>
      </c>
      <c r="X22" s="3145"/>
      <c r="Y22" s="3143" t="s">
        <v>2826</v>
      </c>
      <c r="Z22" s="3144" t="s">
        <v>2827</v>
      </c>
      <c r="AA22" s="3144" t="s">
        <v>2828</v>
      </c>
      <c r="AB22" s="3144" t="s">
        <v>2829</v>
      </c>
      <c r="AC22" s="3144"/>
      <c r="AD22" s="3144" t="s">
        <v>2830</v>
      </c>
    </row>
    <row r="23" spans="1:30" s="3158" customFormat="1" ht="12.75">
      <c r="A23" s="3146" t="s">
        <v>2831</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3366</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ROUND(IF([9]项目基本情况!$B$8="出让",SUMPRODUCT(PRODUCT(1+L25:L$36)),SUMPRODUCT(PRODUCT(1+L25:L$35))),4)</f>
        <v>1.0286999999999999</v>
      </c>
      <c r="T25" s="3180">
        <f>ROUND(IF([9]项目基本情况!$B$8="出让",SUMPRODUCT(PRODUCT(1+M25:M$36)),SUMPRODUCT(PRODUCT(1+M25:M$35))),4)</f>
        <v>1.0164</v>
      </c>
      <c r="U25" s="3180">
        <f>ROUND(IF([9]项目基本情况!$B$8="出让",SUMPRODUCT(PRODUCT(1+N25:N$36)),SUMPRODUCT(PRODUCT(1+N25:N$35))),4)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3367</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ROUND(IF([9]项目基本情况!$B$8="出让",SUMPRODUCT(PRODUCT(1+L26:L$36)),SUMPRODUCT(PRODUCT(1+L26:L$35))),4)</f>
        <v>1.0286999999999999</v>
      </c>
      <c r="T26" s="3180">
        <f>ROUND(IF([9]项目基本情况!$B$8="出让",SUMPRODUCT(PRODUCT(1+M26:M$36)),SUMPRODUCT(PRODUCT(1+M26:M$35))),4)</f>
        <v>1.0164</v>
      </c>
      <c r="U26" s="3180">
        <f>ROUND(IF([9]项目基本情况!$B$8="出让",SUMPRODUCT(PRODUCT(1+N26:N$36)),SUMPRODUCT(PRODUCT(1+N26:N$35))),4)</f>
        <v>1.0506</v>
      </c>
      <c r="V26" s="3180"/>
      <c r="W26" s="3180">
        <f t="shared" ref="W26:W28" si="32">T26</f>
        <v>1.0164</v>
      </c>
      <c r="X26" s="3178"/>
      <c r="Y26" s="3181"/>
      <c r="Z26" s="3209"/>
      <c r="AA26" s="3445"/>
      <c r="AB26" s="3445"/>
      <c r="AC26" s="3210"/>
      <c r="AD26" s="3181"/>
    </row>
    <row r="27" spans="1:30" s="3182" customFormat="1" ht="12.75">
      <c r="A27" s="3173" t="s">
        <v>3365</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ROUND(IF([9]项目基本情况!$B$8="出让",SUMPRODUCT(PRODUCT(1+L27:L$36)),SUMPRODUCT(PRODUCT(1+L27:L$35))),4)</f>
        <v>1.0286999999999999</v>
      </c>
      <c r="T27" s="3180">
        <f>ROUND(IF([9]项目基本情况!$B$8="出让",SUMPRODUCT(PRODUCT(1+M27:M$36)),SUMPRODUCT(PRODUCT(1+M27:M$35))),4)</f>
        <v>1.0164</v>
      </c>
      <c r="U27" s="3180">
        <f>ROUND(IF([9]项目基本情况!$B$8="出让",SUMPRODUCT(PRODUCT(1+N27:N$36)),SUMPRODUCT(PRODUCT(1+N27:N$35))),4)</f>
        <v>1.0506</v>
      </c>
      <c r="V27" s="3180"/>
      <c r="W27" s="3180">
        <f t="shared" si="32"/>
        <v>1.0164</v>
      </c>
      <c r="X27" s="3178"/>
      <c r="Y27" s="3181"/>
      <c r="Z27" s="3209"/>
      <c r="AA27" s="3445"/>
      <c r="AB27" s="3445"/>
      <c r="AC27" s="3210"/>
      <c r="AD27" s="3181"/>
    </row>
    <row r="28" spans="1:30" s="3182" customFormat="1" ht="12.75">
      <c r="A28" s="3173" t="s">
        <v>2814</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ROUND(IF([9]项目基本情况!$B$8="出让",SUMPRODUCT(PRODUCT(1+L28:L$36)),SUMPRODUCT(PRODUCT(1+L28:L$35))),4)</f>
        <v>1.0286999999999999</v>
      </c>
      <c r="T28" s="3180">
        <f>ROUND(IF([9]项目基本情况!$B$8="出让",SUMPRODUCT(PRODUCT(1+M28:M$36)),SUMPRODUCT(PRODUCT(1+M28:M$35))),4)</f>
        <v>1.0164</v>
      </c>
      <c r="U28" s="3180">
        <f>ROUND(IF([9]项目基本情况!$B$8="出让",SUMPRODUCT(PRODUCT(1+N28:N$36)),SUMPRODUCT(PRODUCT(1+N28:N$35))),4)</f>
        <v>1.0506</v>
      </c>
      <c r="V28" s="3180"/>
      <c r="W28" s="3180">
        <f t="shared" si="32"/>
        <v>1.0164</v>
      </c>
      <c r="X28" s="3178"/>
      <c r="Y28" s="3181"/>
      <c r="Z28" s="3209"/>
      <c r="AA28" s="3445"/>
      <c r="AB28" s="3445"/>
      <c r="AC28" s="3210"/>
      <c r="AD28" s="3181"/>
    </row>
    <row r="29" spans="1:30" s="3192" customFormat="1" ht="12.75">
      <c r="A29" s="3183" t="s">
        <v>3361</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ROUND(IF([9]项目基本情况!$B$8="出让",SUMPRODUCT(PRODUCT(1+L29:L$36)),SUMPRODUCT(PRODUCT(1+L29:L$35))),4)</f>
        <v>1.0286999999999999</v>
      </c>
      <c r="T29" s="3189">
        <f>ROUND(IF([9]项目基本情况!$B$8="出让",SUMPRODUCT(PRODUCT(1+M29:M$36)),SUMPRODUCT(PRODUCT(1+M29:M$35))),4)</f>
        <v>1.0164</v>
      </c>
      <c r="U29" s="3189">
        <f>ROUND(IF([9]项目基本情况!$B$8="出让",SUMPRODUCT(PRODUCT(1+N29:N$36)),SUMPRODUCT(PRODUCT(1+N29:N$35))),4)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3362</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ROUND(IF([9]项目基本情况!$B$8="出让",SUMPRODUCT(PRODUCT(1+L30:L$36)),SUMPRODUCT(PRODUCT(1+L30:L$35))),4)</f>
        <v>1.0241</v>
      </c>
      <c r="T30" s="3180">
        <f>ROUND(IF([9]项目基本情况!$B$8="出让",SUMPRODUCT(PRODUCT(1+M30:M$36)),SUMPRODUCT(PRODUCT(1+M30:M$35))),4)</f>
        <v>1.0144</v>
      </c>
      <c r="U30" s="3180">
        <f>ROUND(IF([9]项目基本情况!$B$8="出让",SUMPRODUCT(PRODUCT(1+N30:N$36)),SUMPRODUCT(PRODUCT(1+N30:N$35))),4)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ROUND(IF([9]项目基本情况!$B$8="出让",SUMPRODUCT(PRODUCT(1+L31:L$36)),SUMPRODUCT(PRODUCT(1+L31:L$35))),4)</f>
        <v>1.0210999999999999</v>
      </c>
      <c r="T31" s="3180">
        <f>ROUND(IF([9]项目基本情况!$B$8="出让",SUMPRODUCT(PRODUCT(1+M31:M$36)),SUMPRODUCT(PRODUCT(1+M31:M$35))),4)</f>
        <v>1.0114000000000001</v>
      </c>
      <c r="U31" s="3180">
        <f>ROUND(IF([9]项目基本情况!$B$8="出让",SUMPRODUCT(PRODUCT(1+N31:N$36)),SUMPRODUCT(PRODUCT(1+N31:N$35))),4)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2832</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ROUND(IF([9]项目基本情况!$B$8="出让",SUMPRODUCT(PRODUCT(1+L32:L$36)),SUMPRODUCT(PRODUCT(1+L32:L$35))),4)</f>
        <v>1.0222</v>
      </c>
      <c r="T32" s="3180">
        <f>ROUND(IF([9]项目基本情况!$B$8="出让",SUMPRODUCT(PRODUCT(1+M32:M$36)),SUMPRODUCT(PRODUCT(1+M32:M$35))),4)</f>
        <v>1.0127999999999999</v>
      </c>
      <c r="U32" s="3180">
        <f>ROUND(IF([9]项目基本情况!$B$8="出让",SUMPRODUCT(PRODUCT(1+N32:N$36)),SUMPRODUCT(PRODUCT(1+N32:N$35))),4)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2833</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ROUND(IF([9]项目基本情况!$B$8="出让",SUMPRODUCT(PRODUCT(1+L33:L$36)),SUMPRODUCT(PRODUCT(1+L33:L$35))),4)</f>
        <v>1.0161</v>
      </c>
      <c r="T33" s="3180">
        <f>ROUND(IF([9]项目基本情况!$B$8="出让",SUMPRODUCT(PRODUCT(1+M33:M$36)),SUMPRODUCT(PRODUCT(1+M33:M$35))),4)</f>
        <v>1.0082</v>
      </c>
      <c r="U33" s="3180">
        <f>ROUND(IF([9]项目基本情况!$B$8="出让",SUMPRODUCT(PRODUCT(1+N33:N$36)),SUMPRODUCT(PRODUCT(1+N33:N$35))),4)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2834</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ROUND(IF([9]项目基本情况!$B$8="出让",SUMPRODUCT(PRODUCT(1+L34:L$36)),SUMPRODUCT(PRODUCT(1+L34:L$35))),4)</f>
        <v>1.0102</v>
      </c>
      <c r="T34" s="3180">
        <f>ROUND(IF([9]项目基本情况!$B$8="出让",SUMPRODUCT(PRODUCT(1+M34:M$36)),SUMPRODUCT(PRODUCT(1+M34:M$35))),4)</f>
        <v>1.0074000000000001</v>
      </c>
      <c r="U34" s="3180">
        <f>ROUND(IF([9]项目基本情况!$B$8="出让",SUMPRODUCT(PRODUCT(1+N34:N$36)),SUMPRODUCT(PRODUCT(1+N34:N$35))),4)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2835</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ROUND(IF([9]项目基本情况!$B$8="出让",SUMPRODUCT(PRODUCT(1+L35:L$36)),SUMPRODUCT(PRODUCT(1+L35:L$35))),4)</f>
        <v>1.0055000000000001</v>
      </c>
      <c r="T35" s="3180">
        <f>ROUND(IF([9]项目基本情况!$B$8="出让",SUMPRODUCT(PRODUCT(1+M35:M$36)),SUMPRODUCT(PRODUCT(1+M35:M$35))),4)</f>
        <v>1.0045999999999999</v>
      </c>
      <c r="U35" s="3180">
        <f>ROUND(IF([9]项目基本情况!$B$8="出让",SUMPRODUCT(PRODUCT(1+N35:N$36)),SUMPRODUCT(PRODUCT(1+N35:N$35))),4)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2820</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4"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76" t="s">
        <v>452</v>
      </c>
      <c r="C1" s="4076"/>
      <c r="D1" s="4076"/>
      <c r="E1" s="4076"/>
      <c r="F1" s="4076"/>
      <c r="G1" s="4075" t="s">
        <v>453</v>
      </c>
      <c r="H1" s="4075"/>
      <c r="I1" s="4075"/>
      <c r="J1" s="4075"/>
      <c r="K1" s="4075"/>
      <c r="L1" s="4075"/>
      <c r="N1" s="4075" t="s">
        <v>454</v>
      </c>
      <c r="O1" s="4075"/>
      <c r="P1" s="4075"/>
      <c r="Q1" s="4075"/>
      <c r="S1" s="4075" t="s">
        <v>455</v>
      </c>
      <c r="T1" s="4075"/>
      <c r="U1" s="4075"/>
      <c r="V1" s="4075"/>
      <c r="X1" s="4074" t="s">
        <v>456</v>
      </c>
      <c r="Y1" s="4075"/>
      <c r="Z1" s="4075"/>
      <c r="AA1" s="4075"/>
      <c r="AB1" s="4075"/>
      <c r="AD1" s="4074" t="s">
        <v>457</v>
      </c>
      <c r="AE1" s="4075"/>
      <c r="AF1" s="4075"/>
      <c r="AG1" s="4075"/>
      <c r="AH1" s="407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7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7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7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8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407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7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7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8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7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7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7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7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7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7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7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7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7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7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7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7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7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7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7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8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7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7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7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7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7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7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7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7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7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7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7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7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7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7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7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7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7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7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7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7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7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7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7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7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7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7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7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7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7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7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7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7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7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7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7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7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7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7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7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7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7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7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7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7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45441</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3"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2304</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28" zoomScale="80" zoomScaleNormal="70" zoomScaleSheetLayoutView="80" workbookViewId="0">
      <selection activeCell="M17" sqref="M1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3497</v>
      </c>
      <c r="E1" s="3423" t="s">
        <v>3557</v>
      </c>
      <c r="F1" s="1879" t="s">
        <v>3573</v>
      </c>
      <c r="G1" s="1235" t="s">
        <v>1661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2251.8719999999998</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53616</v>
      </c>
      <c r="C3" s="354" t="s">
        <v>1663</v>
      </c>
      <c r="D3" s="353">
        <f>IF(D1="",'数据-汇总表'!E3,SUMIF('数据-汇总表'!$C19:$C33,D1,'数据-汇总表'!$E19:$E33))</f>
        <v>420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1767</v>
      </c>
      <c r="B4" s="356"/>
      <c r="C4" s="3906" t="s">
        <v>1665</v>
      </c>
      <c r="D4" s="3907"/>
      <c r="E4" s="3908" t="s">
        <v>1666</v>
      </c>
      <c r="F4" s="3909"/>
      <c r="G4" s="3906" t="s">
        <v>1667</v>
      </c>
      <c r="H4" s="3907"/>
      <c r="I4" s="3906" t="s">
        <v>1668</v>
      </c>
      <c r="J4" s="3907"/>
      <c r="K4" s="559" t="s">
        <v>1772</v>
      </c>
      <c r="L4" s="2712"/>
      <c r="M4" s="2713"/>
      <c r="N4" s="2713"/>
      <c r="O4" s="2713"/>
      <c r="P4" s="3910" t="s">
        <v>1670</v>
      </c>
      <c r="Q4" s="3911"/>
      <c r="R4" s="3916" t="s">
        <v>1666</v>
      </c>
      <c r="S4" s="3917"/>
      <c r="T4" s="3916" t="s">
        <v>1667</v>
      </c>
      <c r="U4" s="3917"/>
      <c r="V4" s="3901" t="s">
        <v>1668</v>
      </c>
      <c r="W4" s="3901"/>
      <c r="X4" s="3551"/>
      <c r="Y4" s="3916" t="s">
        <v>1670</v>
      </c>
      <c r="Z4" s="3917"/>
      <c r="AA4" s="3903" t="s">
        <v>1666</v>
      </c>
      <c r="AB4" s="3901" t="s">
        <v>1667</v>
      </c>
      <c r="AC4" s="3903" t="s">
        <v>1668</v>
      </c>
    </row>
    <row r="5" spans="1:29" ht="15">
      <c r="A5" s="358"/>
      <c r="B5" s="359"/>
      <c r="C5" s="3929" t="str">
        <f>'比较法-商业'!C5:D5</f>
        <v>澳金园国际中心</v>
      </c>
      <c r="D5" s="3930"/>
      <c r="E5" s="3924" t="s">
        <v>4072</v>
      </c>
      <c r="F5" s="3925"/>
      <c r="G5" s="3924" t="s">
        <v>4076</v>
      </c>
      <c r="H5" s="3925"/>
      <c r="I5" s="3929" t="s">
        <v>4074</v>
      </c>
      <c r="J5" s="3930"/>
      <c r="K5" s="559"/>
      <c r="L5" s="2712"/>
      <c r="M5" s="2713"/>
      <c r="N5" s="2713"/>
      <c r="O5" s="2713"/>
      <c r="P5" s="3912"/>
      <c r="Q5" s="3913"/>
      <c r="R5" s="3918"/>
      <c r="S5" s="3919"/>
      <c r="T5" s="3918"/>
      <c r="U5" s="3919"/>
      <c r="V5" s="3901"/>
      <c r="W5" s="3901"/>
      <c r="X5" s="3551"/>
      <c r="Y5" s="3918"/>
      <c r="Z5" s="3919"/>
      <c r="AA5" s="3904"/>
      <c r="AB5" s="3901"/>
      <c r="AC5" s="3904"/>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3551"/>
      <c r="Y6" s="3920"/>
      <c r="Z6" s="3921"/>
      <c r="AA6" s="3905"/>
      <c r="AB6" s="3901"/>
      <c r="AC6" s="3905"/>
    </row>
    <row r="7" spans="1:29" s="108" customFormat="1" ht="15.75" thickBot="1">
      <c r="A7" s="362" t="s">
        <v>1677</v>
      </c>
      <c r="B7" s="363"/>
      <c r="C7" s="364">
        <f>'数据-取费表'!B2</f>
        <v>45441</v>
      </c>
      <c r="D7" s="365">
        <v>100</v>
      </c>
      <c r="E7" s="366">
        <v>45413</v>
      </c>
      <c r="F7" s="367">
        <f>SUMIF(58:58,YEAR(E7)&amp;"-"&amp;MONTH(E7),59:59)</f>
        <v>100</v>
      </c>
      <c r="G7" s="366">
        <v>45413</v>
      </c>
      <c r="H7" s="365">
        <f>SUMIF(58:58,YEAR(G7)&amp;"-"&amp;MONTH(G7),59:59)</f>
        <v>100</v>
      </c>
      <c r="I7" s="366">
        <v>45413</v>
      </c>
      <c r="J7" s="365">
        <f>SUMIF(58:58,YEAR(I7)&amp;"-"&amp;MONTH(I7),59:59)</f>
        <v>100</v>
      </c>
      <c r="K7" s="560"/>
      <c r="L7" s="2714"/>
      <c r="M7" s="2715"/>
      <c r="N7" s="2715"/>
      <c r="O7" s="2715"/>
      <c r="P7" s="3926" t="s">
        <v>1678</v>
      </c>
      <c r="Q7" s="3928"/>
      <c r="R7" s="701" t="s">
        <v>14</v>
      </c>
      <c r="S7" s="702">
        <f t="shared" ref="S7:S15" si="0">F7</f>
        <v>100</v>
      </c>
      <c r="T7" s="701" t="s">
        <v>14</v>
      </c>
      <c r="U7" s="702">
        <f t="shared" ref="U7:U15" si="1">H7</f>
        <v>100</v>
      </c>
      <c r="V7" s="701" t="s">
        <v>14</v>
      </c>
      <c r="W7" s="702">
        <f t="shared" ref="W7:W15" si="2">J7</f>
        <v>100</v>
      </c>
      <c r="X7" s="703"/>
      <c r="Y7" s="3926" t="s">
        <v>1678</v>
      </c>
      <c r="Z7" s="3927"/>
      <c r="AA7" s="704">
        <f>D7/F7</f>
        <v>1</v>
      </c>
      <c r="AB7" s="704">
        <f>D7/H7</f>
        <v>1</v>
      </c>
      <c r="AC7" s="704">
        <f>D7/J7</f>
        <v>1</v>
      </c>
    </row>
    <row r="8" spans="1:29" s="108" customFormat="1" ht="15.75" thickBot="1">
      <c r="A8" s="362" t="s">
        <v>1679</v>
      </c>
      <c r="B8" s="363"/>
      <c r="C8" s="368" t="s">
        <v>3548</v>
      </c>
      <c r="D8" s="365">
        <v>100</v>
      </c>
      <c r="E8" s="368" t="s">
        <v>4073</v>
      </c>
      <c r="F8" s="367">
        <f>SUMIF(61:61,E8,62:62)-SUMIF(61:61,C8,62:62)+100</f>
        <v>102</v>
      </c>
      <c r="G8" s="368" t="s">
        <v>4073</v>
      </c>
      <c r="H8" s="365">
        <f>SUMIF(61:61,G8,62:62)-SUMIF(61:61,C8,62:62)+100</f>
        <v>102</v>
      </c>
      <c r="I8" s="368" t="s">
        <v>4073</v>
      </c>
      <c r="J8" s="365">
        <f>SUMIF(61:61,I8,62:62)-SUMIF(61:61,C8,62:62)+100</f>
        <v>102</v>
      </c>
      <c r="K8" s="560"/>
      <c r="L8" s="2714"/>
      <c r="M8" s="2715"/>
      <c r="N8" s="2715"/>
      <c r="O8" s="2715"/>
      <c r="P8" s="3926" t="s">
        <v>1681</v>
      </c>
      <c r="Q8" s="3927"/>
      <c r="R8" s="701" t="s">
        <v>14</v>
      </c>
      <c r="S8" s="702">
        <f t="shared" si="0"/>
        <v>102</v>
      </c>
      <c r="T8" s="701" t="s">
        <v>14</v>
      </c>
      <c r="U8" s="702">
        <f t="shared" si="1"/>
        <v>102</v>
      </c>
      <c r="V8" s="701" t="s">
        <v>14</v>
      </c>
      <c r="W8" s="702">
        <f t="shared" si="2"/>
        <v>102</v>
      </c>
      <c r="X8" s="703"/>
      <c r="Y8" s="3926" t="s">
        <v>1681</v>
      </c>
      <c r="Z8" s="3927"/>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536" t="s">
        <v>3549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902" t="s">
        <v>1684</v>
      </c>
      <c r="Q9" s="3546" t="str">
        <f t="shared" ref="Q9:Q15" si="6">B9</f>
        <v>用途</v>
      </c>
      <c r="R9" s="701" t="s">
        <v>14</v>
      </c>
      <c r="S9" s="702">
        <f t="shared" si="0"/>
        <v>100</v>
      </c>
      <c r="T9" s="701" t="s">
        <v>14</v>
      </c>
      <c r="U9" s="702">
        <f t="shared" si="1"/>
        <v>100</v>
      </c>
      <c r="V9" s="701" t="s">
        <v>14</v>
      </c>
      <c r="W9" s="702">
        <f t="shared" si="2"/>
        <v>100</v>
      </c>
      <c r="X9" s="703"/>
      <c r="Y9" s="3791" t="s">
        <v>1685</v>
      </c>
      <c r="Z9" s="3545" t="str">
        <f t="shared" ref="Z9:Z15" si="7">Q9</f>
        <v>用途</v>
      </c>
      <c r="AA9" s="704">
        <f t="shared" si="3"/>
        <v>1</v>
      </c>
      <c r="AB9" s="704">
        <f t="shared" si="4"/>
        <v>1</v>
      </c>
      <c r="AC9" s="704">
        <f t="shared" si="5"/>
        <v>1</v>
      </c>
    </row>
    <row r="10" spans="1:29" s="378" customFormat="1" ht="27">
      <c r="A10" s="374"/>
      <c r="B10" s="375" t="s">
        <v>1686</v>
      </c>
      <c r="C10" s="3700" t="str">
        <f>D65</f>
        <v>10-20</v>
      </c>
      <c r="D10" s="127">
        <v>100</v>
      </c>
      <c r="E10" s="3432" t="str">
        <f>C10</f>
        <v>10-20</v>
      </c>
      <c r="F10" s="376">
        <f>SUMIF(65:65,E10,66:66)-SUMIF(65:65,C10,66:66)+100</f>
        <v>100</v>
      </c>
      <c r="G10" s="3432" t="str">
        <f>E65</f>
        <v>20-30</v>
      </c>
      <c r="H10" s="127">
        <f>SUMIF(65:65,G10,66:66)-SUMIF(65:65,C10,66:66)+100</f>
        <v>102</v>
      </c>
      <c r="I10" s="3432" t="str">
        <f>F65</f>
        <v>30-40</v>
      </c>
      <c r="J10" s="127">
        <f>SUMIF(65:65,I10,66:66)-SUMIF(65:65,C10,66:66)+100</f>
        <v>104</v>
      </c>
      <c r="K10" s="560"/>
      <c r="L10" s="2716"/>
      <c r="M10" s="2717"/>
      <c r="N10" s="2717"/>
      <c r="O10" s="2717"/>
      <c r="P10" s="3902"/>
      <c r="Q10" s="3546" t="str">
        <f t="shared" si="6"/>
        <v>土地使用年限（年）</v>
      </c>
      <c r="R10" s="701" t="s">
        <v>14</v>
      </c>
      <c r="S10" s="702">
        <f t="shared" si="0"/>
        <v>100</v>
      </c>
      <c r="T10" s="701" t="s">
        <v>14</v>
      </c>
      <c r="U10" s="702">
        <f t="shared" si="1"/>
        <v>102</v>
      </c>
      <c r="V10" s="701" t="s">
        <v>14</v>
      </c>
      <c r="W10" s="702">
        <f t="shared" si="2"/>
        <v>104</v>
      </c>
      <c r="X10" s="703"/>
      <c r="Y10" s="3791"/>
      <c r="Z10" s="3545" t="str">
        <f t="shared" si="7"/>
        <v>土地使用年限（年）</v>
      </c>
      <c r="AA10" s="704">
        <f t="shared" si="3"/>
        <v>1</v>
      </c>
      <c r="AB10" s="704">
        <f t="shared" si="4"/>
        <v>0.98039215686274506</v>
      </c>
      <c r="AC10" s="704">
        <f t="shared" si="5"/>
        <v>0.96153846153846156</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902"/>
      <c r="Q11" s="3546" t="str">
        <f t="shared" si="6"/>
        <v>容积率</v>
      </c>
      <c r="R11" s="701" t="s">
        <v>14</v>
      </c>
      <c r="S11" s="702">
        <f t="shared" si="0"/>
        <v>100</v>
      </c>
      <c r="T11" s="701" t="s">
        <v>14</v>
      </c>
      <c r="U11" s="702">
        <f t="shared" si="1"/>
        <v>100</v>
      </c>
      <c r="V11" s="701" t="s">
        <v>14</v>
      </c>
      <c r="W11" s="702">
        <f t="shared" si="2"/>
        <v>100</v>
      </c>
      <c r="X11" s="703"/>
      <c r="Y11" s="3791"/>
      <c r="Z11" s="3545"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902"/>
      <c r="Q12" s="3546">
        <f t="shared" si="6"/>
        <v>111</v>
      </c>
      <c r="R12" s="701" t="s">
        <v>14</v>
      </c>
      <c r="S12" s="702">
        <f t="shared" si="0"/>
        <v>100</v>
      </c>
      <c r="T12" s="701" t="s">
        <v>14</v>
      </c>
      <c r="U12" s="702">
        <f t="shared" si="1"/>
        <v>100</v>
      </c>
      <c r="V12" s="701" t="s">
        <v>14</v>
      </c>
      <c r="W12" s="702">
        <f t="shared" si="2"/>
        <v>100</v>
      </c>
      <c r="X12" s="703"/>
      <c r="Y12" s="3791"/>
      <c r="Z12" s="3545">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902"/>
      <c r="Q13" s="3546">
        <f t="shared" si="6"/>
        <v>111</v>
      </c>
      <c r="R13" s="701" t="s">
        <v>14</v>
      </c>
      <c r="S13" s="702">
        <f t="shared" si="0"/>
        <v>100</v>
      </c>
      <c r="T13" s="701" t="s">
        <v>14</v>
      </c>
      <c r="U13" s="702">
        <f t="shared" si="1"/>
        <v>100</v>
      </c>
      <c r="V13" s="701" t="s">
        <v>14</v>
      </c>
      <c r="W13" s="702">
        <f t="shared" si="2"/>
        <v>100</v>
      </c>
      <c r="X13" s="703"/>
      <c r="Y13" s="3791"/>
      <c r="Z13" s="3545">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902"/>
      <c r="Q14" s="3546">
        <f t="shared" si="6"/>
        <v>111</v>
      </c>
      <c r="R14" s="701" t="s">
        <v>14</v>
      </c>
      <c r="S14" s="702">
        <f t="shared" si="0"/>
        <v>100</v>
      </c>
      <c r="T14" s="701" t="s">
        <v>14</v>
      </c>
      <c r="U14" s="702">
        <f t="shared" si="1"/>
        <v>100</v>
      </c>
      <c r="V14" s="701" t="s">
        <v>14</v>
      </c>
      <c r="W14" s="702">
        <f t="shared" si="2"/>
        <v>100</v>
      </c>
      <c r="X14" s="703"/>
      <c r="Y14" s="3791"/>
      <c r="Z14" s="3545">
        <f t="shared" si="7"/>
        <v>111</v>
      </c>
      <c r="AA14" s="704">
        <f t="shared" si="3"/>
        <v>1</v>
      </c>
      <c r="AB14" s="704">
        <f t="shared" si="4"/>
        <v>1</v>
      </c>
      <c r="AC14" s="704">
        <f t="shared" si="5"/>
        <v>1</v>
      </c>
    </row>
    <row r="15" spans="1:29" ht="18.75" customHeight="1">
      <c r="A15" s="391" t="s">
        <v>1688</v>
      </c>
      <c r="B15" s="61" t="s">
        <v>1775</v>
      </c>
      <c r="C15" s="1896" t="str">
        <f>估价对象房地状况!C4</f>
        <v>较好</v>
      </c>
      <c r="D15" s="392">
        <v>100</v>
      </c>
      <c r="E15" s="393"/>
      <c r="F15" s="394">
        <f>SUMIF(76:76,E16,77:77)-SUMIF(76:76,C16,77:77)+100</f>
        <v>95</v>
      </c>
      <c r="G15" s="395"/>
      <c r="H15" s="392">
        <f>SUMIF(76:76,G16,77:77)-SUMIF(76:76,C16,77:77)+100</f>
        <v>95</v>
      </c>
      <c r="I15" s="393"/>
      <c r="J15" s="392">
        <f>SUMIF(76:76,I16,77:77)-SUMIF(76:76,C16,77:77)+100</f>
        <v>95</v>
      </c>
      <c r="K15" s="563">
        <v>5</v>
      </c>
      <c r="L15" s="2719"/>
      <c r="M15" s="2713"/>
      <c r="N15" s="2713"/>
      <c r="O15" s="2713"/>
      <c r="P15" s="3892" t="s">
        <v>1689</v>
      </c>
      <c r="Q15" s="3547" t="str">
        <f t="shared" si="6"/>
        <v>商业繁华度</v>
      </c>
      <c r="R15" s="705" t="s">
        <v>14</v>
      </c>
      <c r="S15" s="706">
        <f t="shared" si="0"/>
        <v>95</v>
      </c>
      <c r="T15" s="705" t="s">
        <v>14</v>
      </c>
      <c r="U15" s="706">
        <f t="shared" si="1"/>
        <v>95</v>
      </c>
      <c r="V15" s="705" t="s">
        <v>14</v>
      </c>
      <c r="W15" s="706">
        <f t="shared" si="2"/>
        <v>95</v>
      </c>
      <c r="X15" s="3551"/>
      <c r="Y15" s="3894" t="s">
        <v>1689</v>
      </c>
      <c r="Z15" s="3550" t="str">
        <f t="shared" si="7"/>
        <v>商业繁华度</v>
      </c>
      <c r="AA15" s="3548">
        <f t="shared" si="3"/>
        <v>1.0526315789473684</v>
      </c>
      <c r="AB15" s="3548">
        <f t="shared" si="4"/>
        <v>1.0526315789473684</v>
      </c>
      <c r="AC15" s="3548">
        <f t="shared" si="5"/>
        <v>1.0526315789473684</v>
      </c>
    </row>
    <row r="16" spans="1:29" ht="18.75" customHeight="1">
      <c r="A16" s="379"/>
      <c r="B16" s="397"/>
      <c r="C16" s="398" t="s">
        <v>3495</v>
      </c>
      <c r="D16" s="399"/>
      <c r="E16" s="398" t="s">
        <v>3522</v>
      </c>
      <c r="F16" s="400"/>
      <c r="G16" s="398" t="s">
        <v>3522</v>
      </c>
      <c r="H16" s="401"/>
      <c r="I16" s="398" t="s">
        <v>3522</v>
      </c>
      <c r="J16" s="399"/>
      <c r="K16" s="564"/>
      <c r="L16" s="2719"/>
      <c r="M16" s="2713"/>
      <c r="N16" s="2713"/>
      <c r="O16" s="2713"/>
      <c r="P16" s="3893"/>
      <c r="Q16" s="3547"/>
      <c r="R16" s="705"/>
      <c r="S16" s="706"/>
      <c r="T16" s="705"/>
      <c r="U16" s="706"/>
      <c r="V16" s="705"/>
      <c r="W16" s="706"/>
      <c r="X16" s="3551"/>
      <c r="Y16" s="3895"/>
      <c r="Z16" s="3550"/>
      <c r="AA16" s="3548">
        <v>1</v>
      </c>
      <c r="AB16" s="3548">
        <v>1</v>
      </c>
      <c r="AC16" s="3548">
        <v>1</v>
      </c>
    </row>
    <row r="17" spans="1:29" ht="18.75" customHeight="1">
      <c r="A17" s="379"/>
      <c r="B17" s="402" t="s">
        <v>1257</v>
      </c>
      <c r="C17" s="1900" t="str">
        <f>估价对象房地状况!C6</f>
        <v>较好</v>
      </c>
      <c r="D17" s="401">
        <v>100</v>
      </c>
      <c r="E17" s="403"/>
      <c r="F17" s="404">
        <f>SUMIF(78:78,E18,79:79)-SUMIF(78:78,C18,79:79)+100</f>
        <v>95</v>
      </c>
      <c r="G17" s="405"/>
      <c r="H17" s="406">
        <f>SUMIF(78:78,G18,79:79)-SUMIF(78:78,C18,79:79)+100</f>
        <v>95</v>
      </c>
      <c r="I17" s="403"/>
      <c r="J17" s="406">
        <f>SUMIF(78:78,I18,79:79)-SUMIF(78:78,C18,79:79)+100</f>
        <v>95</v>
      </c>
      <c r="K17" s="563">
        <v>5</v>
      </c>
      <c r="L17" s="2719"/>
      <c r="M17" s="2713"/>
      <c r="N17" s="2713"/>
      <c r="O17" s="2713"/>
      <c r="P17" s="3893"/>
      <c r="Q17" s="3547" t="str">
        <f>B17</f>
        <v>交通便捷度</v>
      </c>
      <c r="R17" s="705" t="s">
        <v>14</v>
      </c>
      <c r="S17" s="706">
        <f>F17</f>
        <v>95</v>
      </c>
      <c r="T17" s="705" t="s">
        <v>14</v>
      </c>
      <c r="U17" s="706">
        <f>H17</f>
        <v>95</v>
      </c>
      <c r="V17" s="705" t="s">
        <v>14</v>
      </c>
      <c r="W17" s="706">
        <f>J17</f>
        <v>95</v>
      </c>
      <c r="X17" s="3551"/>
      <c r="Y17" s="3895"/>
      <c r="Z17" s="3550" t="str">
        <f>Q17</f>
        <v>交通便捷度</v>
      </c>
      <c r="AA17" s="3548">
        <f t="shared" si="3"/>
        <v>1.0526315789473684</v>
      </c>
      <c r="AB17" s="3548">
        <f t="shared" si="4"/>
        <v>1.0526315789473684</v>
      </c>
      <c r="AC17" s="3548">
        <f t="shared" si="5"/>
        <v>1.0526315789473684</v>
      </c>
    </row>
    <row r="18" spans="1:29" ht="18.75" customHeight="1">
      <c r="A18" s="379"/>
      <c r="B18" s="407"/>
      <c r="C18" s="1901" t="s">
        <v>3495</v>
      </c>
      <c r="D18" s="401"/>
      <c r="E18" s="398" t="s">
        <v>3522</v>
      </c>
      <c r="F18" s="404"/>
      <c r="G18" s="398" t="s">
        <v>3522</v>
      </c>
      <c r="H18" s="399"/>
      <c r="I18" s="398" t="s">
        <v>3522</v>
      </c>
      <c r="J18" s="399"/>
      <c r="K18" s="564"/>
      <c r="L18" s="2719"/>
      <c r="M18" s="2713"/>
      <c r="N18" s="2713"/>
      <c r="O18" s="2713"/>
      <c r="P18" s="3893"/>
      <c r="Q18" s="3547"/>
      <c r="R18" s="705"/>
      <c r="S18" s="706"/>
      <c r="T18" s="705"/>
      <c r="U18" s="706"/>
      <c r="V18" s="705"/>
      <c r="W18" s="706"/>
      <c r="X18" s="3551"/>
      <c r="Y18" s="3895"/>
      <c r="Z18" s="3550"/>
      <c r="AA18" s="3548">
        <v>1</v>
      </c>
      <c r="AB18" s="3548">
        <v>1</v>
      </c>
      <c r="AC18" s="3548">
        <v>1</v>
      </c>
    </row>
    <row r="19" spans="1:29" ht="18.75" customHeight="1">
      <c r="A19" s="379"/>
      <c r="B19" s="402" t="s">
        <v>1776</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893"/>
      <c r="Q19" s="3547" t="str">
        <f>B19</f>
        <v>公共配套设施</v>
      </c>
      <c r="R19" s="705" t="s">
        <v>14</v>
      </c>
      <c r="S19" s="706">
        <f>F19</f>
        <v>100</v>
      </c>
      <c r="T19" s="705" t="s">
        <v>14</v>
      </c>
      <c r="U19" s="706">
        <f>H19</f>
        <v>100</v>
      </c>
      <c r="V19" s="705" t="s">
        <v>14</v>
      </c>
      <c r="W19" s="706">
        <f>J19</f>
        <v>100</v>
      </c>
      <c r="X19" s="3551"/>
      <c r="Y19" s="3895"/>
      <c r="Z19" s="3550" t="str">
        <f>Q19</f>
        <v>公共配套设施</v>
      </c>
      <c r="AA19" s="3548">
        <f t="shared" si="3"/>
        <v>1</v>
      </c>
      <c r="AB19" s="3548">
        <f t="shared" si="4"/>
        <v>1</v>
      </c>
      <c r="AC19" s="3548">
        <f t="shared" si="5"/>
        <v>1</v>
      </c>
    </row>
    <row r="20" spans="1:29" ht="18.75" customHeight="1">
      <c r="A20" s="379"/>
      <c r="B20" s="407"/>
      <c r="C20" s="398" t="s">
        <v>3522</v>
      </c>
      <c r="D20" s="399"/>
      <c r="E20" s="398" t="s">
        <v>3522</v>
      </c>
      <c r="F20" s="400"/>
      <c r="G20" s="398" t="s">
        <v>3522</v>
      </c>
      <c r="H20" s="399"/>
      <c r="I20" s="398" t="s">
        <v>3522</v>
      </c>
      <c r="J20" s="399"/>
      <c r="K20" s="564"/>
      <c r="L20" s="2719"/>
      <c r="M20" s="2713"/>
      <c r="N20" s="2713"/>
      <c r="O20" s="2713"/>
      <c r="P20" s="3893"/>
      <c r="Q20" s="3547"/>
      <c r="R20" s="705"/>
      <c r="S20" s="706"/>
      <c r="T20" s="705"/>
      <c r="U20" s="706"/>
      <c r="V20" s="705"/>
      <c r="W20" s="706"/>
      <c r="X20" s="3551"/>
      <c r="Y20" s="3895"/>
      <c r="Z20" s="3550"/>
      <c r="AA20" s="3548">
        <v>1</v>
      </c>
      <c r="AB20" s="3548">
        <v>1</v>
      </c>
      <c r="AC20" s="3548">
        <v>1</v>
      </c>
    </row>
    <row r="21" spans="1:29" ht="18.75" customHeight="1">
      <c r="A21" s="379"/>
      <c r="B21" s="1131" t="s">
        <v>1777</v>
      </c>
      <c r="C21" s="1900"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893"/>
      <c r="Q21" s="3547" t="str">
        <f>B21</f>
        <v>基础设施水平</v>
      </c>
      <c r="R21" s="705" t="s">
        <v>14</v>
      </c>
      <c r="S21" s="706">
        <f>F21</f>
        <v>100</v>
      </c>
      <c r="T21" s="705" t="s">
        <v>14</v>
      </c>
      <c r="U21" s="706">
        <f>H21</f>
        <v>100</v>
      </c>
      <c r="V21" s="705" t="s">
        <v>14</v>
      </c>
      <c r="W21" s="706">
        <f>J21</f>
        <v>100</v>
      </c>
      <c r="X21" s="3551"/>
      <c r="Y21" s="3895"/>
      <c r="Z21" s="3550" t="str">
        <f>Q21</f>
        <v>基础设施水平</v>
      </c>
      <c r="AA21" s="3548">
        <f t="shared" ref="AA21" si="8">D21/F21</f>
        <v>1</v>
      </c>
      <c r="AB21" s="3548">
        <f t="shared" ref="AB21" si="9">D21/H21</f>
        <v>1</v>
      </c>
      <c r="AC21" s="3548">
        <f t="shared" ref="AC21" si="10">D21/J21</f>
        <v>1</v>
      </c>
    </row>
    <row r="22" spans="1:29" ht="18.75" customHeight="1">
      <c r="A22" s="379"/>
      <c r="B22" s="1131"/>
      <c r="C22" s="1901" t="s">
        <v>3970</v>
      </c>
      <c r="D22" s="399"/>
      <c r="E22" s="1901" t="s">
        <v>3970</v>
      </c>
      <c r="F22" s="400"/>
      <c r="G22" s="1901" t="s">
        <v>3970</v>
      </c>
      <c r="H22" s="399"/>
      <c r="I22" s="1901" t="s">
        <v>3970</v>
      </c>
      <c r="J22" s="399"/>
      <c r="K22" s="1130"/>
      <c r="L22" s="2719"/>
      <c r="M22" s="2713"/>
      <c r="N22" s="2713"/>
      <c r="O22" s="2713"/>
      <c r="P22" s="3893"/>
      <c r="Q22" s="3547"/>
      <c r="R22" s="705"/>
      <c r="S22" s="706"/>
      <c r="T22" s="705"/>
      <c r="U22" s="706"/>
      <c r="V22" s="705"/>
      <c r="W22" s="706"/>
      <c r="X22" s="3551"/>
      <c r="Y22" s="3895"/>
      <c r="Z22" s="3550"/>
      <c r="AA22" s="3548">
        <v>1</v>
      </c>
      <c r="AB22" s="3548">
        <v>1</v>
      </c>
      <c r="AC22" s="3548">
        <v>1</v>
      </c>
    </row>
    <row r="23" spans="1:29" ht="18.75" customHeight="1">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893"/>
      <c r="Q23" s="3547" t="str">
        <f>B23</f>
        <v>自然及人文环境</v>
      </c>
      <c r="R23" s="705" t="s">
        <v>14</v>
      </c>
      <c r="S23" s="706">
        <f>F23</f>
        <v>100</v>
      </c>
      <c r="T23" s="705" t="s">
        <v>14</v>
      </c>
      <c r="U23" s="706">
        <f>H23</f>
        <v>100</v>
      </c>
      <c r="V23" s="705" t="s">
        <v>14</v>
      </c>
      <c r="W23" s="706">
        <f>J23</f>
        <v>100</v>
      </c>
      <c r="X23" s="3551"/>
      <c r="Y23" s="3895"/>
      <c r="Z23" s="3550" t="str">
        <f>Q23</f>
        <v>自然及人文环境</v>
      </c>
      <c r="AA23" s="3548">
        <f t="shared" si="3"/>
        <v>1</v>
      </c>
      <c r="AB23" s="3548">
        <f t="shared" si="4"/>
        <v>1</v>
      </c>
      <c r="AC23" s="3548">
        <f t="shared" si="5"/>
        <v>1</v>
      </c>
    </row>
    <row r="24" spans="1:29" ht="15">
      <c r="A24" s="379"/>
      <c r="B24" s="407"/>
      <c r="C24" s="398" t="s">
        <v>3495</v>
      </c>
      <c r="D24" s="399"/>
      <c r="E24" s="398" t="s">
        <v>3495</v>
      </c>
      <c r="F24" s="400"/>
      <c r="G24" s="398" t="s">
        <v>3495</v>
      </c>
      <c r="H24" s="399"/>
      <c r="I24" s="398" t="s">
        <v>3495</v>
      </c>
      <c r="J24" s="399"/>
      <c r="K24" s="564"/>
      <c r="L24" s="2719"/>
      <c r="M24" s="2713"/>
      <c r="N24" s="2713"/>
      <c r="O24" s="2713"/>
      <c r="P24" s="3893"/>
      <c r="Q24" s="3547"/>
      <c r="R24" s="705"/>
      <c r="S24" s="706"/>
      <c r="T24" s="705"/>
      <c r="U24" s="706"/>
      <c r="V24" s="705"/>
      <c r="W24" s="706"/>
      <c r="X24" s="3551"/>
      <c r="Y24" s="3895"/>
      <c r="Z24" s="3550"/>
      <c r="AA24" s="3548">
        <v>1</v>
      </c>
      <c r="AB24" s="3548">
        <v>1</v>
      </c>
      <c r="AC24" s="3548">
        <v>1</v>
      </c>
    </row>
    <row r="25" spans="1:29" ht="15">
      <c r="A25" s="379"/>
      <c r="B25" s="375" t="s">
        <v>1778</v>
      </c>
      <c r="C25" s="565" t="s">
        <v>3580</v>
      </c>
      <c r="D25" s="386">
        <v>100</v>
      </c>
      <c r="E25" s="565" t="s">
        <v>4075</v>
      </c>
      <c r="F25" s="412">
        <f>SUMIF(86:86,E25,87:87)-SUMIF(86:86,C25,87:87)+100</f>
        <v>95</v>
      </c>
      <c r="G25" s="565" t="s">
        <v>4075</v>
      </c>
      <c r="H25" s="386">
        <f>SUMIF(86:86,G25,87:87)-SUMIF(86:86,C25,87:87)+100</f>
        <v>95</v>
      </c>
      <c r="I25" s="565" t="s">
        <v>4075</v>
      </c>
      <c r="J25" s="386">
        <f>SUMIF(86:86,I25,87:87)-SUMIF(86:86,C25,87:87)+100</f>
        <v>95</v>
      </c>
      <c r="K25" s="561">
        <v>5</v>
      </c>
      <c r="L25" s="2719"/>
      <c r="M25" s="2713"/>
      <c r="N25" s="2713"/>
      <c r="O25" s="2713"/>
      <c r="P25" s="3893"/>
      <c r="Q25" s="3547" t="str">
        <f t="shared" ref="Q25:Q46" si="11">B25</f>
        <v>临街状况</v>
      </c>
      <c r="R25" s="705" t="s">
        <v>14</v>
      </c>
      <c r="S25" s="706">
        <f>F25</f>
        <v>95</v>
      </c>
      <c r="T25" s="705" t="s">
        <v>14</v>
      </c>
      <c r="U25" s="706">
        <f>H25</f>
        <v>95</v>
      </c>
      <c r="V25" s="705" t="s">
        <v>14</v>
      </c>
      <c r="W25" s="706">
        <f>J25</f>
        <v>95</v>
      </c>
      <c r="X25" s="3551"/>
      <c r="Y25" s="3895"/>
      <c r="Z25" s="3550" t="str">
        <f>Q25</f>
        <v>临街状况</v>
      </c>
      <c r="AA25" s="3548">
        <f t="shared" si="3"/>
        <v>1.0526315789473684</v>
      </c>
      <c r="AB25" s="3548">
        <f t="shared" si="4"/>
        <v>1.0526315789473684</v>
      </c>
      <c r="AC25" s="3548">
        <f t="shared" si="5"/>
        <v>1.0526315789473684</v>
      </c>
    </row>
    <row r="26" spans="1:29" ht="15">
      <c r="A26" s="379"/>
      <c r="B26" s="1133" t="s">
        <v>1779</v>
      </c>
      <c r="C26" s="3537" t="s">
        <v>3550</v>
      </c>
      <c r="D26" s="386">
        <v>100</v>
      </c>
      <c r="E26" s="3537" t="s">
        <v>3550</v>
      </c>
      <c r="F26" s="412">
        <f>SUMIF(88:88,E26,89:89)-SUMIF(88:88,C26,89:89)+100</f>
        <v>100</v>
      </c>
      <c r="G26" s="3537" t="s">
        <v>4079</v>
      </c>
      <c r="H26" s="386">
        <f>SUMIF(88:88,G26,89:89)-SUMIF(88:88,C26,89:89)+100</f>
        <v>97</v>
      </c>
      <c r="I26" s="3537" t="s">
        <v>3550</v>
      </c>
      <c r="J26" s="386">
        <f>SUMIF(88:88,I26,89:89)-SUMIF(88:88,C26,89:89)+100</f>
        <v>100</v>
      </c>
      <c r="K26" s="562"/>
      <c r="L26" s="2719"/>
      <c r="M26" s="2713"/>
      <c r="N26" s="2713"/>
      <c r="O26" s="2713"/>
      <c r="P26" s="3893"/>
      <c r="Q26" s="3547" t="str">
        <f t="shared" si="11"/>
        <v>平面位置/可视性</v>
      </c>
      <c r="R26" s="705" t="s">
        <v>14</v>
      </c>
      <c r="S26" s="706">
        <f>F26</f>
        <v>100</v>
      </c>
      <c r="T26" s="705" t="s">
        <v>14</v>
      </c>
      <c r="U26" s="706">
        <f>H26</f>
        <v>97</v>
      </c>
      <c r="V26" s="705" t="s">
        <v>14</v>
      </c>
      <c r="W26" s="706">
        <f>J26</f>
        <v>100</v>
      </c>
      <c r="X26" s="3551"/>
      <c r="Y26" s="3895"/>
      <c r="Z26" s="3550" t="str">
        <f>Q26</f>
        <v>平面位置/可视性</v>
      </c>
      <c r="AA26" s="3548">
        <f t="shared" si="3"/>
        <v>1</v>
      </c>
      <c r="AB26" s="3548">
        <f t="shared" si="4"/>
        <v>1.0309278350515463</v>
      </c>
      <c r="AC26" s="3548">
        <f t="shared" si="5"/>
        <v>1</v>
      </c>
    </row>
    <row r="27" spans="1:29" s="108" customFormat="1" ht="15">
      <c r="A27" s="382"/>
      <c r="B27" s="402" t="s">
        <v>1780</v>
      </c>
      <c r="C27" s="1956" t="s">
        <v>3522</v>
      </c>
      <c r="D27" s="413">
        <v>100</v>
      </c>
      <c r="E27" s="1956" t="s">
        <v>3522</v>
      </c>
      <c r="F27" s="415">
        <f>SUMIF(90:90,E27,91:91)-SUMIF(90:90,C27,91:91)+100</f>
        <v>100</v>
      </c>
      <c r="G27" s="1956" t="s">
        <v>3522</v>
      </c>
      <c r="H27" s="413">
        <f>SUMIF(90:90,G27,91:91)-SUMIF(90:90,C27,91:91)+100</f>
        <v>100</v>
      </c>
      <c r="I27" s="1956" t="s">
        <v>3522</v>
      </c>
      <c r="J27" s="413">
        <f>SUMIF(90:90,I27,91:91)-SUMIF(90:90,C27,91:91)+100</f>
        <v>100</v>
      </c>
      <c r="K27" s="561">
        <v>2</v>
      </c>
      <c r="L27" s="2714"/>
      <c r="M27" s="2715"/>
      <c r="N27" s="2715"/>
      <c r="O27" s="2715"/>
      <c r="P27" s="3893"/>
      <c r="Q27" s="3546" t="str">
        <f t="shared" si="11"/>
        <v>人流量</v>
      </c>
      <c r="R27" s="701" t="s">
        <v>14</v>
      </c>
      <c r="S27" s="702">
        <f>F27</f>
        <v>100</v>
      </c>
      <c r="T27" s="701" t="s">
        <v>14</v>
      </c>
      <c r="U27" s="702">
        <f>H27</f>
        <v>100</v>
      </c>
      <c r="V27" s="701" t="s">
        <v>14</v>
      </c>
      <c r="W27" s="702">
        <f>J27</f>
        <v>100</v>
      </c>
      <c r="X27" s="703"/>
      <c r="Y27" s="3895"/>
      <c r="Z27" s="3545" t="str">
        <f>Q27</f>
        <v>人流量</v>
      </c>
      <c r="AA27" s="3548">
        <f>D27/F27</f>
        <v>1</v>
      </c>
      <c r="AB27" s="3548">
        <f>D27/H27</f>
        <v>1</v>
      </c>
      <c r="AC27" s="3548">
        <f>D27/J27</f>
        <v>1</v>
      </c>
    </row>
    <row r="28" spans="1:29" ht="15">
      <c r="A28" s="379"/>
      <c r="B28" s="375" t="s">
        <v>1781</v>
      </c>
      <c r="C28" s="565" t="s">
        <v>3497</v>
      </c>
      <c r="D28" s="386">
        <v>100</v>
      </c>
      <c r="E28" s="565" t="s">
        <v>3497</v>
      </c>
      <c r="F28" s="412">
        <f>SUMIF(92:92,E28,93:93)-SUMIF(92:92,C28,93:93)+100</f>
        <v>100</v>
      </c>
      <c r="G28" s="565" t="s">
        <v>3497</v>
      </c>
      <c r="H28" s="386">
        <f>SUMIF(92:92,G28,93:93)-SUMIF(92:92,C28,93:93)+100</f>
        <v>100</v>
      </c>
      <c r="I28" s="565" t="s">
        <v>3497</v>
      </c>
      <c r="J28" s="386">
        <f>SUMIF(92:92,I28,93:93)-SUMIF(92:92,C28,93:93)+100</f>
        <v>100</v>
      </c>
      <c r="K28" s="562"/>
      <c r="L28" s="2719"/>
      <c r="M28" s="2713"/>
      <c r="N28" s="2713"/>
      <c r="O28" s="2713"/>
      <c r="P28" s="3893"/>
      <c r="Q28" s="3547" t="str">
        <f t="shared" si="11"/>
        <v>楼层</v>
      </c>
      <c r="R28" s="705" t="s">
        <v>14</v>
      </c>
      <c r="S28" s="706">
        <f t="shared" ref="S28:S46" si="12">F28</f>
        <v>100</v>
      </c>
      <c r="T28" s="705" t="s">
        <v>14</v>
      </c>
      <c r="U28" s="706">
        <f t="shared" ref="U28:U46" si="13">H28</f>
        <v>100</v>
      </c>
      <c r="V28" s="705" t="s">
        <v>14</v>
      </c>
      <c r="W28" s="706">
        <f t="shared" ref="W28:W46" si="14">J28</f>
        <v>100</v>
      </c>
      <c r="X28" s="3551"/>
      <c r="Y28" s="3895"/>
      <c r="Z28" s="3550" t="str">
        <f t="shared" ref="Z28:Z46" si="15">Q28</f>
        <v>楼层</v>
      </c>
      <c r="AA28" s="3548">
        <f t="shared" si="3"/>
        <v>1</v>
      </c>
      <c r="AB28" s="3548">
        <f t="shared" si="4"/>
        <v>1</v>
      </c>
      <c r="AC28" s="354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93"/>
      <c r="Q29" s="3547">
        <f t="shared" si="11"/>
        <v>111</v>
      </c>
      <c r="R29" s="705" t="s">
        <v>14</v>
      </c>
      <c r="S29" s="706">
        <f t="shared" si="12"/>
        <v>100</v>
      </c>
      <c r="T29" s="705" t="s">
        <v>14</v>
      </c>
      <c r="U29" s="706">
        <f t="shared" si="13"/>
        <v>100</v>
      </c>
      <c r="V29" s="705" t="s">
        <v>14</v>
      </c>
      <c r="W29" s="706">
        <f t="shared" si="14"/>
        <v>100</v>
      </c>
      <c r="X29" s="3551"/>
      <c r="Y29" s="3895"/>
      <c r="Z29" s="3550">
        <f t="shared" si="15"/>
        <v>111</v>
      </c>
      <c r="AA29" s="3548">
        <f t="shared" si="3"/>
        <v>1</v>
      </c>
      <c r="AB29" s="3548">
        <f t="shared" si="4"/>
        <v>1</v>
      </c>
      <c r="AC29" s="354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93"/>
      <c r="Q30" s="3547">
        <f t="shared" si="11"/>
        <v>111</v>
      </c>
      <c r="R30" s="705" t="s">
        <v>14</v>
      </c>
      <c r="S30" s="706">
        <f t="shared" si="12"/>
        <v>100</v>
      </c>
      <c r="T30" s="705" t="s">
        <v>14</v>
      </c>
      <c r="U30" s="706">
        <f t="shared" si="13"/>
        <v>100</v>
      </c>
      <c r="V30" s="705" t="s">
        <v>14</v>
      </c>
      <c r="W30" s="706">
        <f t="shared" si="14"/>
        <v>100</v>
      </c>
      <c r="X30" s="3551"/>
      <c r="Y30" s="3895"/>
      <c r="Z30" s="3550">
        <f t="shared" si="15"/>
        <v>111</v>
      </c>
      <c r="AA30" s="3548">
        <f t="shared" si="3"/>
        <v>1</v>
      </c>
      <c r="AB30" s="3548">
        <f t="shared" si="4"/>
        <v>1</v>
      </c>
      <c r="AC30" s="354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93"/>
      <c r="Q31" s="3547">
        <f t="shared" si="11"/>
        <v>111</v>
      </c>
      <c r="R31" s="705" t="s">
        <v>14</v>
      </c>
      <c r="S31" s="706">
        <f t="shared" si="12"/>
        <v>100</v>
      </c>
      <c r="T31" s="705" t="s">
        <v>14</v>
      </c>
      <c r="U31" s="706">
        <f t="shared" si="13"/>
        <v>100</v>
      </c>
      <c r="V31" s="705" t="s">
        <v>14</v>
      </c>
      <c r="W31" s="706">
        <f t="shared" si="14"/>
        <v>100</v>
      </c>
      <c r="X31" s="3551"/>
      <c r="Y31" s="3895"/>
      <c r="Z31" s="3550">
        <f t="shared" si="15"/>
        <v>111</v>
      </c>
      <c r="AA31" s="3548">
        <f t="shared" si="3"/>
        <v>1</v>
      </c>
      <c r="AB31" s="3548">
        <f t="shared" si="4"/>
        <v>1</v>
      </c>
      <c r="AC31" s="3548">
        <f t="shared" si="5"/>
        <v>1</v>
      </c>
    </row>
    <row r="32" spans="1:29" ht="15">
      <c r="A32" s="391" t="s">
        <v>1692</v>
      </c>
      <c r="B32" s="63" t="s">
        <v>1782</v>
      </c>
      <c r="C32" s="1910" t="s">
        <v>3551</v>
      </c>
      <c r="D32" s="418">
        <v>100</v>
      </c>
      <c r="E32" s="1910" t="s">
        <v>3498</v>
      </c>
      <c r="F32" s="412">
        <f>SUMIF(100:100,E32,101:101)-SUMIF(100:100,C32,101:101)+100</f>
        <v>95</v>
      </c>
      <c r="G32" s="1910" t="s">
        <v>3498</v>
      </c>
      <c r="H32" s="386">
        <f>SUMIF(100:100,G32,101:101)-SUMIF(100:100,C32,101:101)+100</f>
        <v>95</v>
      </c>
      <c r="I32" s="1910" t="s">
        <v>3498</v>
      </c>
      <c r="J32" s="418">
        <f>SUMIF(100:100,I32,101:101)-SUMIF(100:100,C32,101:101)+100</f>
        <v>95</v>
      </c>
      <c r="K32" s="561">
        <v>5</v>
      </c>
      <c r="L32" s="2719"/>
      <c r="M32" s="2713"/>
      <c r="N32" s="2713"/>
      <c r="O32" s="2713"/>
      <c r="P32" s="3896" t="s">
        <v>1694</v>
      </c>
      <c r="Q32" s="3547" t="str">
        <f t="shared" si="11"/>
        <v>商业类型</v>
      </c>
      <c r="R32" s="705" t="s">
        <v>14</v>
      </c>
      <c r="S32" s="706">
        <f t="shared" si="12"/>
        <v>95</v>
      </c>
      <c r="T32" s="705" t="s">
        <v>14</v>
      </c>
      <c r="U32" s="706">
        <f t="shared" si="13"/>
        <v>95</v>
      </c>
      <c r="V32" s="705" t="s">
        <v>14</v>
      </c>
      <c r="W32" s="706">
        <f t="shared" si="14"/>
        <v>95</v>
      </c>
      <c r="X32" s="3551"/>
      <c r="Y32" s="3899" t="s">
        <v>1694</v>
      </c>
      <c r="Z32" s="3550" t="str">
        <f t="shared" si="15"/>
        <v>商业类型</v>
      </c>
      <c r="AA32" s="3548">
        <f t="shared" si="3"/>
        <v>1.0526315789473684</v>
      </c>
      <c r="AB32" s="3548">
        <f t="shared" si="4"/>
        <v>1.0526315789473684</v>
      </c>
      <c r="AC32" s="3548">
        <f t="shared" si="5"/>
        <v>1.0526315789473684</v>
      </c>
    </row>
    <row r="33" spans="1:29" s="422" customFormat="1" ht="15">
      <c r="A33" s="419"/>
      <c r="B33" s="375" t="s">
        <v>1695</v>
      </c>
      <c r="C33" s="420">
        <f>'数据-汇总表'!F19</f>
        <v>420</v>
      </c>
      <c r="D33" s="127">
        <v>100</v>
      </c>
      <c r="E33" s="381">
        <v>224.85</v>
      </c>
      <c r="F33" s="376">
        <f>LOOKUP(E33,103:103,104:104)-LOOKUP(C33,103:103,104:104)+100</f>
        <v>101</v>
      </c>
      <c r="G33" s="380">
        <v>106.89</v>
      </c>
      <c r="H33" s="127">
        <f>LOOKUP(G33,103:103,104:104)-LOOKUP(C33,103:103,104:104)+100</f>
        <v>102</v>
      </c>
      <c r="I33" s="380">
        <v>41</v>
      </c>
      <c r="J33" s="127">
        <f>LOOKUP(I33,103:103,104:104)-LOOKUP(C33,103:103,104:104)+100</f>
        <v>104</v>
      </c>
      <c r="K33" s="562"/>
      <c r="L33" s="2718"/>
      <c r="M33" s="2720"/>
      <c r="N33" s="2720"/>
      <c r="O33" s="2720"/>
      <c r="P33" s="3897"/>
      <c r="Q33" s="707" t="str">
        <f t="shared" si="11"/>
        <v>项目建筑规模</v>
      </c>
      <c r="R33" s="708" t="s">
        <v>14</v>
      </c>
      <c r="S33" s="709">
        <f t="shared" si="12"/>
        <v>101</v>
      </c>
      <c r="T33" s="708" t="s">
        <v>14</v>
      </c>
      <c r="U33" s="709">
        <f t="shared" si="13"/>
        <v>102</v>
      </c>
      <c r="V33" s="708" t="s">
        <v>14</v>
      </c>
      <c r="W33" s="709">
        <f t="shared" si="14"/>
        <v>104</v>
      </c>
      <c r="X33" s="710"/>
      <c r="Y33" s="3899"/>
      <c r="Z33" s="711" t="str">
        <f t="shared" si="15"/>
        <v>项目建筑规模</v>
      </c>
      <c r="AA33" s="3548">
        <f t="shared" si="3"/>
        <v>0.99009900990099009</v>
      </c>
      <c r="AB33" s="3548">
        <f t="shared" si="4"/>
        <v>0.98039215686274506</v>
      </c>
      <c r="AC33" s="3548">
        <f t="shared" si="5"/>
        <v>0.96153846153846156</v>
      </c>
    </row>
    <row r="34" spans="1:29" ht="15">
      <c r="A34" s="423"/>
      <c r="B34" s="375" t="s">
        <v>1696</v>
      </c>
      <c r="C34" s="1912" t="s">
        <v>3499</v>
      </c>
      <c r="D34" s="386">
        <v>100</v>
      </c>
      <c r="E34" s="1912" t="s">
        <v>3499</v>
      </c>
      <c r="F34" s="412">
        <f>SUMIF(105:105,E34,106:106)-SUMIF(105:105,C34,106:106)+100</f>
        <v>100</v>
      </c>
      <c r="G34" s="1912" t="s">
        <v>3499</v>
      </c>
      <c r="H34" s="386">
        <f>SUMIF(105:105,G34,106:106)-SUMIF(105:105,C34,106:106)+100</f>
        <v>100</v>
      </c>
      <c r="I34" s="1912" t="s">
        <v>3499</v>
      </c>
      <c r="J34" s="386">
        <f>SUMIF(105:105,I34,106:106)-SUMIF(105:105,C34,106:106)+100</f>
        <v>100</v>
      </c>
      <c r="K34" s="561">
        <v>2</v>
      </c>
      <c r="L34" s="2719"/>
      <c r="M34" s="2713"/>
      <c r="N34" s="2713"/>
      <c r="O34" s="2713"/>
      <c r="P34" s="3897"/>
      <c r="Q34" s="3547" t="str">
        <f t="shared" si="11"/>
        <v>建筑结构</v>
      </c>
      <c r="R34" s="705" t="s">
        <v>14</v>
      </c>
      <c r="S34" s="706">
        <f t="shared" si="12"/>
        <v>100</v>
      </c>
      <c r="T34" s="705" t="s">
        <v>14</v>
      </c>
      <c r="U34" s="706">
        <f t="shared" si="13"/>
        <v>100</v>
      </c>
      <c r="V34" s="705" t="s">
        <v>14</v>
      </c>
      <c r="W34" s="706">
        <f t="shared" si="14"/>
        <v>100</v>
      </c>
      <c r="X34" s="3551"/>
      <c r="Y34" s="3899"/>
      <c r="Z34" s="3550" t="str">
        <f t="shared" si="15"/>
        <v>建筑结构</v>
      </c>
      <c r="AA34" s="3548">
        <f t="shared" si="3"/>
        <v>1</v>
      </c>
      <c r="AB34" s="3548">
        <f t="shared" si="4"/>
        <v>1</v>
      </c>
      <c r="AC34" s="3548">
        <f t="shared" si="5"/>
        <v>1</v>
      </c>
    </row>
    <row r="35" spans="1:29" ht="15">
      <c r="A35" s="423"/>
      <c r="B35" s="375" t="s">
        <v>1783</v>
      </c>
      <c r="C35" s="1906" t="s">
        <v>3500</v>
      </c>
      <c r="D35" s="386">
        <v>100</v>
      </c>
      <c r="E35" s="1906" t="s">
        <v>3500</v>
      </c>
      <c r="F35" s="412">
        <f>SUMIF(107:107,E35,108:108)-SUMIF(107:107,C35,108:108)+100</f>
        <v>100</v>
      </c>
      <c r="G35" s="1906" t="s">
        <v>3500</v>
      </c>
      <c r="H35" s="386">
        <f>SUMIF(107:107,G35,108:108)-SUMIF(107:107,C35,108:108)+100</f>
        <v>100</v>
      </c>
      <c r="I35" s="1906" t="s">
        <v>3500</v>
      </c>
      <c r="J35" s="386">
        <f>SUMIF(107:107,I35,108:108)-SUMIF(107:107,C35,108:108)+100</f>
        <v>100</v>
      </c>
      <c r="K35" s="561">
        <v>2</v>
      </c>
      <c r="L35" s="2719"/>
      <c r="M35" s="2713"/>
      <c r="N35" s="2713"/>
      <c r="O35" s="2713"/>
      <c r="P35" s="3897"/>
      <c r="Q35" s="3547" t="str">
        <f t="shared" si="11"/>
        <v>公共部分装修</v>
      </c>
      <c r="R35" s="705" t="s">
        <v>14</v>
      </c>
      <c r="S35" s="706">
        <f t="shared" si="12"/>
        <v>100</v>
      </c>
      <c r="T35" s="705" t="s">
        <v>14</v>
      </c>
      <c r="U35" s="706">
        <f t="shared" si="13"/>
        <v>100</v>
      </c>
      <c r="V35" s="705" t="s">
        <v>14</v>
      </c>
      <c r="W35" s="706">
        <f t="shared" si="14"/>
        <v>100</v>
      </c>
      <c r="X35" s="3551"/>
      <c r="Y35" s="3899"/>
      <c r="Z35" s="3550" t="str">
        <f t="shared" si="15"/>
        <v>公共部分装修</v>
      </c>
      <c r="AA35" s="3548">
        <f t="shared" si="3"/>
        <v>1</v>
      </c>
      <c r="AB35" s="3548">
        <f t="shared" si="4"/>
        <v>1</v>
      </c>
      <c r="AC35" s="3548">
        <f t="shared" si="5"/>
        <v>1</v>
      </c>
    </row>
    <row r="36" spans="1:29" ht="15">
      <c r="A36" s="423"/>
      <c r="B36" s="375" t="s">
        <v>1784</v>
      </c>
      <c r="C36" s="425">
        <v>0.7</v>
      </c>
      <c r="D36" s="386">
        <v>100</v>
      </c>
      <c r="E36" s="425">
        <v>0.7</v>
      </c>
      <c r="F36" s="412">
        <f>LOOKUP(E36,110:110,111:111)-LOOKUP(C36,110:110,111:111)+100</f>
        <v>100</v>
      </c>
      <c r="G36" s="425">
        <v>0.85</v>
      </c>
      <c r="H36" s="412">
        <f>LOOKUP(G36,110:110,111:111)-LOOKUP(C36,110:110,111:111)+100</f>
        <v>100</v>
      </c>
      <c r="I36" s="425">
        <v>0.9</v>
      </c>
      <c r="J36" s="386">
        <f>LOOKUP(I36,110:110,111:111)-LOOKUP(C36,110:110,111:111)+100</f>
        <v>100</v>
      </c>
      <c r="K36" s="561"/>
      <c r="L36" s="2719"/>
      <c r="M36" s="2713"/>
      <c r="N36" s="2713"/>
      <c r="O36" s="2713"/>
      <c r="P36" s="3897"/>
      <c r="Q36" s="3547" t="str">
        <f t="shared" si="11"/>
        <v>成新度</v>
      </c>
      <c r="R36" s="705" t="s">
        <v>14</v>
      </c>
      <c r="S36" s="706">
        <f t="shared" si="12"/>
        <v>100</v>
      </c>
      <c r="T36" s="705" t="s">
        <v>14</v>
      </c>
      <c r="U36" s="706">
        <f t="shared" si="13"/>
        <v>100</v>
      </c>
      <c r="V36" s="705" t="s">
        <v>14</v>
      </c>
      <c r="W36" s="706">
        <f t="shared" si="14"/>
        <v>100</v>
      </c>
      <c r="X36" s="3551"/>
      <c r="Y36" s="3899"/>
      <c r="Z36" s="3550" t="str">
        <f t="shared" si="15"/>
        <v>成新度</v>
      </c>
      <c r="AA36" s="3548">
        <f t="shared" si="3"/>
        <v>1</v>
      </c>
      <c r="AB36" s="3548">
        <f t="shared" si="4"/>
        <v>1</v>
      </c>
      <c r="AC36" s="3548">
        <f t="shared" si="5"/>
        <v>1</v>
      </c>
    </row>
    <row r="37" spans="1:29" s="108" customFormat="1" ht="15">
      <c r="A37" s="424"/>
      <c r="B37" s="375" t="s">
        <v>1785</v>
      </c>
      <c r="C37" s="1906" t="s">
        <v>3970</v>
      </c>
      <c r="D37" s="127">
        <v>100</v>
      </c>
      <c r="E37" s="1906" t="s">
        <v>3970</v>
      </c>
      <c r="F37" s="412">
        <f>SUMIF(112:112,E37,113:113)-SUMIF(112:112,C37,113:113)+100</f>
        <v>100</v>
      </c>
      <c r="G37" s="1906" t="s">
        <v>3970</v>
      </c>
      <c r="H37" s="386">
        <f>SUMIF(112:112,G37,113:113)-SUMIF(112:112,C37,113:113)+100</f>
        <v>100</v>
      </c>
      <c r="I37" s="1906" t="s">
        <v>3970</v>
      </c>
      <c r="J37" s="386">
        <f>SUMIF(112:112,I37,113:113)-SUMIF(112:112,C37,113:113)+100</f>
        <v>100</v>
      </c>
      <c r="K37" s="561">
        <v>1</v>
      </c>
      <c r="L37" s="2714"/>
      <c r="M37" s="2715"/>
      <c r="N37" s="2715"/>
      <c r="O37" s="2715"/>
      <c r="P37" s="3897"/>
      <c r="Q37" s="3546" t="str">
        <f t="shared" si="11"/>
        <v>市政基础设施</v>
      </c>
      <c r="R37" s="701" t="s">
        <v>14</v>
      </c>
      <c r="S37" s="702">
        <f t="shared" si="12"/>
        <v>100</v>
      </c>
      <c r="T37" s="701" t="s">
        <v>14</v>
      </c>
      <c r="U37" s="702">
        <f t="shared" si="13"/>
        <v>100</v>
      </c>
      <c r="V37" s="701" t="s">
        <v>14</v>
      </c>
      <c r="W37" s="702">
        <f t="shared" si="14"/>
        <v>100</v>
      </c>
      <c r="X37" s="703"/>
      <c r="Y37" s="3899"/>
      <c r="Z37" s="3545"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97" t="s">
        <v>1694</v>
      </c>
      <c r="Q38" s="3547" t="str">
        <f t="shared" si="11"/>
        <v>业态</v>
      </c>
      <c r="R38" s="705" t="s">
        <v>14</v>
      </c>
      <c r="S38" s="706">
        <f t="shared" si="12"/>
        <v>100</v>
      </c>
      <c r="T38" s="705" t="s">
        <v>14</v>
      </c>
      <c r="U38" s="706">
        <f t="shared" si="13"/>
        <v>100</v>
      </c>
      <c r="V38" s="705" t="s">
        <v>14</v>
      </c>
      <c r="W38" s="706">
        <f t="shared" si="14"/>
        <v>100</v>
      </c>
      <c r="X38" s="3551"/>
      <c r="Y38" s="3899" t="s">
        <v>1694</v>
      </c>
      <c r="Z38" s="3550" t="str">
        <f t="shared" si="15"/>
        <v>业态</v>
      </c>
      <c r="AA38" s="3548">
        <f t="shared" si="3"/>
        <v>1</v>
      </c>
      <c r="AB38" s="3548">
        <f t="shared" si="4"/>
        <v>1</v>
      </c>
      <c r="AC38" s="3548">
        <f t="shared" si="5"/>
        <v>1</v>
      </c>
    </row>
    <row r="39" spans="1:29" ht="15">
      <c r="A39" s="423"/>
      <c r="B39" s="375" t="s">
        <v>1787</v>
      </c>
      <c r="C39" s="1906" t="s">
        <v>3501</v>
      </c>
      <c r="D39" s="386">
        <v>100</v>
      </c>
      <c r="E39" s="1906" t="s">
        <v>3501</v>
      </c>
      <c r="F39" s="412">
        <f>SUMIF(116:116,E39,117:117)-SUMIF(116:116,C39,117:117)+100</f>
        <v>100</v>
      </c>
      <c r="G39" s="1906" t="s">
        <v>3501</v>
      </c>
      <c r="H39" s="386">
        <f>SUMIF(116:116,G39,117:117)-SUMIF(116:116,C39,117:117)+100</f>
        <v>100</v>
      </c>
      <c r="I39" s="1906" t="s">
        <v>3501</v>
      </c>
      <c r="J39" s="386">
        <f>SUMIF(116:116,I39,117:117)-SUMIF(116:116,C39,117:117)+100</f>
        <v>100</v>
      </c>
      <c r="K39" s="561">
        <v>5</v>
      </c>
      <c r="L39" s="2719"/>
      <c r="M39" s="2713"/>
      <c r="N39" s="2713"/>
      <c r="O39" s="2713"/>
      <c r="P39" s="3897"/>
      <c r="Q39" s="3547" t="str">
        <f t="shared" si="11"/>
        <v>层高</v>
      </c>
      <c r="R39" s="705" t="s">
        <v>14</v>
      </c>
      <c r="S39" s="706">
        <f t="shared" si="12"/>
        <v>100</v>
      </c>
      <c r="T39" s="705" t="s">
        <v>14</v>
      </c>
      <c r="U39" s="706">
        <f t="shared" si="13"/>
        <v>100</v>
      </c>
      <c r="V39" s="705" t="s">
        <v>14</v>
      </c>
      <c r="W39" s="706">
        <f t="shared" si="14"/>
        <v>100</v>
      </c>
      <c r="X39" s="3551"/>
      <c r="Y39" s="3899"/>
      <c r="Z39" s="3550" t="str">
        <f t="shared" si="15"/>
        <v>层高</v>
      </c>
      <c r="AA39" s="3548">
        <f t="shared" si="3"/>
        <v>1</v>
      </c>
      <c r="AB39" s="3548">
        <f t="shared" si="4"/>
        <v>1</v>
      </c>
      <c r="AC39" s="3548">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897"/>
      <c r="Q40" s="3547" t="str">
        <f t="shared" si="11"/>
        <v>单套建筑面积</v>
      </c>
      <c r="R40" s="705" t="s">
        <v>14</v>
      </c>
      <c r="S40" s="706">
        <f t="shared" si="12"/>
        <v>100</v>
      </c>
      <c r="T40" s="705" t="s">
        <v>14</v>
      </c>
      <c r="U40" s="706">
        <f t="shared" si="13"/>
        <v>100</v>
      </c>
      <c r="V40" s="705" t="s">
        <v>14</v>
      </c>
      <c r="W40" s="706">
        <f t="shared" si="14"/>
        <v>100</v>
      </c>
      <c r="X40" s="3551"/>
      <c r="Y40" s="3899"/>
      <c r="Z40" s="3550" t="str">
        <f t="shared" si="15"/>
        <v>单套建筑面积</v>
      </c>
      <c r="AA40" s="3548">
        <f t="shared" si="3"/>
        <v>1</v>
      </c>
      <c r="AB40" s="3548">
        <f t="shared" si="4"/>
        <v>1</v>
      </c>
      <c r="AC40" s="3548">
        <f t="shared" si="5"/>
        <v>1</v>
      </c>
    </row>
    <row r="41" spans="1:29" s="422" customFormat="1" ht="15">
      <c r="A41" s="419"/>
      <c r="B41" s="3549" t="s">
        <v>1789</v>
      </c>
      <c r="C41" s="565" t="s">
        <v>3502</v>
      </c>
      <c r="D41" s="386">
        <v>100</v>
      </c>
      <c r="E41" s="565" t="s">
        <v>3502</v>
      </c>
      <c r="F41" s="412">
        <f>SUMIF(120:120,E41,121:121)-SUMIF(120:120,C41,121:121)+100</f>
        <v>100</v>
      </c>
      <c r="G41" s="565" t="s">
        <v>3502</v>
      </c>
      <c r="H41" s="386">
        <f>SUMIF(120:120,G41,121:121)-SUMIF(120:120,C41,121:121)+100</f>
        <v>100</v>
      </c>
      <c r="I41" s="565" t="s">
        <v>3502</v>
      </c>
      <c r="J41" s="386">
        <f>SUMIF(120:120,I41,121:121)-SUMIF(120:120,C41,121:121)+100</f>
        <v>100</v>
      </c>
      <c r="K41" s="561">
        <v>2</v>
      </c>
      <c r="L41" s="2718"/>
      <c r="M41" s="2720"/>
      <c r="N41" s="2720"/>
      <c r="O41" s="2720"/>
      <c r="P41" s="3897"/>
      <c r="Q41" s="707" t="str">
        <f t="shared" si="11"/>
        <v>进深比</v>
      </c>
      <c r="R41" s="708" t="s">
        <v>14</v>
      </c>
      <c r="S41" s="709">
        <f t="shared" si="12"/>
        <v>100</v>
      </c>
      <c r="T41" s="708" t="s">
        <v>14</v>
      </c>
      <c r="U41" s="709">
        <f t="shared" si="13"/>
        <v>100</v>
      </c>
      <c r="V41" s="708" t="s">
        <v>14</v>
      </c>
      <c r="W41" s="709">
        <f t="shared" si="14"/>
        <v>100</v>
      </c>
      <c r="X41" s="710"/>
      <c r="Y41" s="3899"/>
      <c r="Z41" s="711" t="str">
        <f t="shared" si="15"/>
        <v>进深比</v>
      </c>
      <c r="AA41" s="3548">
        <f t="shared" si="3"/>
        <v>1</v>
      </c>
      <c r="AB41" s="3548">
        <f t="shared" si="4"/>
        <v>1</v>
      </c>
      <c r="AC41" s="3548">
        <f t="shared" si="5"/>
        <v>1</v>
      </c>
    </row>
    <row r="42" spans="1:29" ht="15">
      <c r="A42" s="423"/>
      <c r="B42" s="375" t="s">
        <v>1790</v>
      </c>
      <c r="C42" s="411" t="s">
        <v>3574</v>
      </c>
      <c r="D42" s="386">
        <v>100</v>
      </c>
      <c r="E42" s="411" t="s">
        <v>3574</v>
      </c>
      <c r="F42" s="412">
        <f>SUMIF(122:122,E42,123:123)-SUMIF(122:122,C42,123:123)+100</f>
        <v>100</v>
      </c>
      <c r="G42" s="411" t="s">
        <v>3574</v>
      </c>
      <c r="H42" s="386">
        <f>SUMIF(122:122,G42,123:123)-SUMIF(122:122,C42,123:123)+100</f>
        <v>100</v>
      </c>
      <c r="I42" s="411" t="s">
        <v>3574</v>
      </c>
      <c r="J42" s="386">
        <f>SUMIF(122:122,I42,123:123)-SUMIF(122:122,C42,123:123)+100</f>
        <v>100</v>
      </c>
      <c r="K42" s="561">
        <v>2</v>
      </c>
      <c r="L42" s="2719"/>
      <c r="M42" s="2713"/>
      <c r="N42" s="2713"/>
      <c r="O42" s="2713"/>
      <c r="P42" s="3897"/>
      <c r="Q42" s="3547" t="str">
        <f t="shared" si="11"/>
        <v>内部装修</v>
      </c>
      <c r="R42" s="705" t="s">
        <v>14</v>
      </c>
      <c r="S42" s="706">
        <f t="shared" si="12"/>
        <v>100</v>
      </c>
      <c r="T42" s="705" t="s">
        <v>14</v>
      </c>
      <c r="U42" s="706">
        <f t="shared" si="13"/>
        <v>100</v>
      </c>
      <c r="V42" s="705" t="s">
        <v>14</v>
      </c>
      <c r="W42" s="706">
        <f t="shared" si="14"/>
        <v>100</v>
      </c>
      <c r="X42" s="3551"/>
      <c r="Y42" s="3899"/>
      <c r="Z42" s="3550" t="str">
        <f t="shared" si="15"/>
        <v>内部装修</v>
      </c>
      <c r="AA42" s="3548">
        <f t="shared" si="3"/>
        <v>1</v>
      </c>
      <c r="AB42" s="3548">
        <f t="shared" si="4"/>
        <v>1</v>
      </c>
      <c r="AC42" s="3548">
        <f t="shared" si="5"/>
        <v>1</v>
      </c>
    </row>
    <row r="43" spans="1:29" ht="15">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19"/>
      <c r="M43" s="2713"/>
      <c r="N43" s="2713"/>
      <c r="O43" s="2713"/>
      <c r="P43" s="3897"/>
      <c r="Q43" s="3547" t="str">
        <f t="shared" si="11"/>
        <v>内部装修维护情况</v>
      </c>
      <c r="R43" s="705" t="s">
        <v>14</v>
      </c>
      <c r="S43" s="706">
        <f t="shared" si="12"/>
        <v>100</v>
      </c>
      <c r="T43" s="705" t="s">
        <v>14</v>
      </c>
      <c r="U43" s="706">
        <f t="shared" si="13"/>
        <v>100</v>
      </c>
      <c r="V43" s="705" t="s">
        <v>14</v>
      </c>
      <c r="W43" s="706">
        <f t="shared" si="14"/>
        <v>100</v>
      </c>
      <c r="X43" s="3551"/>
      <c r="Y43" s="3899"/>
      <c r="Z43" s="3550" t="str">
        <f t="shared" si="15"/>
        <v>内部装修维护情况</v>
      </c>
      <c r="AA43" s="3548">
        <f t="shared" si="3"/>
        <v>1</v>
      </c>
      <c r="AB43" s="3548">
        <f t="shared" si="4"/>
        <v>1</v>
      </c>
      <c r="AC43" s="3548">
        <f t="shared" si="5"/>
        <v>1</v>
      </c>
    </row>
    <row r="44" spans="1:29" s="108" customFormat="1" ht="15">
      <c r="A44" s="424"/>
      <c r="B44" s="3552" t="s">
        <v>3576</v>
      </c>
      <c r="C44" s="420">
        <v>2005</v>
      </c>
      <c r="D44" s="127">
        <v>100</v>
      </c>
      <c r="E44" s="385">
        <v>2006</v>
      </c>
      <c r="F44" s="376">
        <f>SUMIF(126:126,E44,127:127)-SUMIF(126:126,C44,127:127)+100</f>
        <v>100</v>
      </c>
      <c r="G44" s="385">
        <v>2013</v>
      </c>
      <c r="H44" s="127">
        <f>SUMIF(126:126,G44,127:127)-SUMIF(126:126,C44,127:127)+100</f>
        <v>100</v>
      </c>
      <c r="I44" s="385">
        <v>2021</v>
      </c>
      <c r="J44" s="127">
        <f>SUMIF(126:126,I44,127:127)-SUMIF(126:126,C44,127:127)+100</f>
        <v>100</v>
      </c>
      <c r="K44" s="562"/>
      <c r="L44" s="2714"/>
      <c r="M44" s="2715"/>
      <c r="N44" s="2715"/>
      <c r="O44" s="2715"/>
      <c r="P44" s="3897"/>
      <c r="Q44" s="3546" t="str">
        <f t="shared" si="11"/>
        <v>建成时间</v>
      </c>
      <c r="R44" s="701" t="s">
        <v>14</v>
      </c>
      <c r="S44" s="702">
        <f t="shared" si="12"/>
        <v>100</v>
      </c>
      <c r="T44" s="701" t="s">
        <v>14</v>
      </c>
      <c r="U44" s="702">
        <f t="shared" si="13"/>
        <v>100</v>
      </c>
      <c r="V44" s="701" t="s">
        <v>14</v>
      </c>
      <c r="W44" s="702">
        <f t="shared" si="14"/>
        <v>100</v>
      </c>
      <c r="X44" s="703"/>
      <c r="Y44" s="3899"/>
      <c r="Z44" s="3545"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97"/>
      <c r="Q45" s="3547">
        <f t="shared" si="11"/>
        <v>111</v>
      </c>
      <c r="R45" s="705" t="s">
        <v>14</v>
      </c>
      <c r="S45" s="706">
        <f t="shared" si="12"/>
        <v>100</v>
      </c>
      <c r="T45" s="705" t="s">
        <v>14</v>
      </c>
      <c r="U45" s="706">
        <f t="shared" si="13"/>
        <v>100</v>
      </c>
      <c r="V45" s="705" t="s">
        <v>14</v>
      </c>
      <c r="W45" s="706">
        <f t="shared" si="14"/>
        <v>100</v>
      </c>
      <c r="X45" s="3551"/>
      <c r="Y45" s="3899"/>
      <c r="Z45" s="3550">
        <f t="shared" si="15"/>
        <v>111</v>
      </c>
      <c r="AA45" s="3548">
        <f t="shared" si="3"/>
        <v>1</v>
      </c>
      <c r="AB45" s="3548">
        <f t="shared" si="4"/>
        <v>1</v>
      </c>
      <c r="AC45" s="354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98"/>
      <c r="Q46" s="3547">
        <f t="shared" si="11"/>
        <v>111</v>
      </c>
      <c r="R46" s="705" t="s">
        <v>14</v>
      </c>
      <c r="S46" s="706">
        <f t="shared" si="12"/>
        <v>100</v>
      </c>
      <c r="T46" s="705" t="s">
        <v>14</v>
      </c>
      <c r="U46" s="706">
        <f t="shared" si="13"/>
        <v>100</v>
      </c>
      <c r="V46" s="705" t="s">
        <v>14</v>
      </c>
      <c r="W46" s="706">
        <f t="shared" si="14"/>
        <v>100</v>
      </c>
      <c r="X46" s="3551"/>
      <c r="Y46" s="3900"/>
      <c r="Z46" s="3550">
        <f t="shared" si="15"/>
        <v>111</v>
      </c>
      <c r="AA46" s="3548">
        <f t="shared" si="3"/>
        <v>1</v>
      </c>
      <c r="AB46" s="3548">
        <f t="shared" si="4"/>
        <v>1</v>
      </c>
      <c r="AC46" s="3548">
        <f t="shared" si="5"/>
        <v>1</v>
      </c>
    </row>
    <row r="47" spans="1:29" ht="15">
      <c r="A47" s="430" t="s">
        <v>1706</v>
      </c>
      <c r="B47" s="431"/>
      <c r="C47" s="1154" t="s">
        <v>0</v>
      </c>
      <c r="D47" s="1155"/>
      <c r="E47" s="1156">
        <v>44475</v>
      </c>
      <c r="F47" s="1157"/>
      <c r="G47" s="1158">
        <v>44906</v>
      </c>
      <c r="H47" s="1159"/>
      <c r="I47" s="1156">
        <v>48781</v>
      </c>
      <c r="J47" s="1159"/>
      <c r="K47" s="714"/>
      <c r="L47" s="2721"/>
      <c r="M47" s="2722"/>
      <c r="N47" s="2713"/>
      <c r="O47" s="2722"/>
      <c r="P47" s="3887" t="str">
        <f>A47</f>
        <v>成交单价（元/平方米）</v>
      </c>
      <c r="Q47" s="3887"/>
      <c r="R47" s="3901">
        <f>E47</f>
        <v>44475</v>
      </c>
      <c r="S47" s="3901"/>
      <c r="T47" s="3901">
        <f>G47</f>
        <v>44906</v>
      </c>
      <c r="U47" s="3901"/>
      <c r="V47" s="3901">
        <f>I47</f>
        <v>48781</v>
      </c>
      <c r="W47" s="3901"/>
      <c r="X47" s="690"/>
      <c r="Y47" s="712"/>
      <c r="Z47" s="690"/>
      <c r="AA47" s="690"/>
      <c r="AB47" s="690"/>
      <c r="AC47" s="690"/>
    </row>
    <row r="48" spans="1:29" ht="15.75" thickBot="1">
      <c r="A48" s="437" t="s">
        <v>1791</v>
      </c>
      <c r="B48" s="438"/>
      <c r="C48" s="1160">
        <f>R49</f>
        <v>53616</v>
      </c>
      <c r="D48" s="2317" t="s">
        <v>2136</v>
      </c>
      <c r="E48" s="1161">
        <f>R48</f>
        <v>53003</v>
      </c>
      <c r="F48" s="2318"/>
      <c r="G48" s="1160">
        <f>T48</f>
        <v>53560</v>
      </c>
      <c r="H48" s="2318"/>
      <c r="I48" s="1161">
        <f>V48</f>
        <v>54286</v>
      </c>
      <c r="J48" s="2318"/>
      <c r="K48" s="2320">
        <f>F48+H48+J48</f>
        <v>0</v>
      </c>
      <c r="L48" s="2721"/>
      <c r="M48" s="2722"/>
      <c r="N48" s="2713"/>
      <c r="O48" s="2722"/>
      <c r="P48" s="3887" t="str">
        <f>A48</f>
        <v>比较价值（元/平方米）</v>
      </c>
      <c r="Q48" s="3887"/>
      <c r="R48" s="3888">
        <f>IF(F1="售价",ROUND(PRODUCT(R47,AA7:AA46),0),ROUND(PRODUCT(R47,AA7:AA46),1))</f>
        <v>53003</v>
      </c>
      <c r="S48" s="3888"/>
      <c r="T48" s="3888">
        <f>IF(F1="售价",ROUND(PRODUCT(T47,AB7:AB46),0),ROUND(PRODUCT(T47,AB7:AB46),1))</f>
        <v>53560</v>
      </c>
      <c r="U48" s="3888"/>
      <c r="V48" s="3888">
        <f>IF(F1="售价",ROUND(PRODUCT(V47,AC7:AC46),0),ROUND(PRODUCT(V47,AC7:AC46),1))</f>
        <v>54286</v>
      </c>
      <c r="W48" s="3888"/>
      <c r="X48" s="690"/>
      <c r="Y48" s="690"/>
      <c r="Z48" s="690"/>
      <c r="AA48" s="690"/>
      <c r="AB48" s="690"/>
      <c r="AC48" s="690"/>
    </row>
    <row r="49" spans="1:29" ht="15.75" thickBot="1">
      <c r="A49" s="441" t="s">
        <v>1708</v>
      </c>
      <c r="B49" s="442"/>
      <c r="C49" s="1163">
        <f>R49</f>
        <v>53616</v>
      </c>
      <c r="D49" s="1163"/>
      <c r="E49" s="1163"/>
      <c r="F49" s="1163"/>
      <c r="G49" s="1163"/>
      <c r="H49" s="1163"/>
      <c r="I49" s="1163"/>
      <c r="J49" s="1163"/>
      <c r="K49" s="715"/>
      <c r="L49" s="2721"/>
      <c r="M49" s="2722"/>
      <c r="N49" s="2713"/>
      <c r="O49" s="2722"/>
      <c r="P49" s="3889" t="str">
        <f>A49</f>
        <v>估价对象XX用房的比较价值（楼面单价，元/平方米）</v>
      </c>
      <c r="Q49" s="3890"/>
      <c r="R49" s="3891">
        <f>IF(F1="售价",ROUND(IF(D48="简单平均",AVERAGE(R48:V48),R48*F48+T48*H48+V48*J48),0),ROUND(IF(D48="简单平均",AVERAGE(R48:V48),R48*F48+T48*H48+V48*J48),1))</f>
        <v>53616</v>
      </c>
      <c r="S49" s="3891"/>
      <c r="T49" s="3891"/>
      <c r="U49" s="3891"/>
      <c r="V49" s="3891"/>
      <c r="W49" s="389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0.19174817313097248</v>
      </c>
      <c r="F52" s="449" t="str">
        <f>IF(OR(E52&gt;=0.3,E52&lt;=-0.3),"超过30%","")</f>
        <v/>
      </c>
      <c r="G52" s="448">
        <f>IF(G47&lt;G48,G48/G47-1,G47/G48-1)</f>
        <v>0.19271366855208649</v>
      </c>
      <c r="H52" s="449" t="str">
        <f>IF(OR(G52&gt;=0.3,G52&lt;=-0.3),"超过30%","")</f>
        <v/>
      </c>
      <c r="I52" s="448">
        <f>IF(I47&lt;I48,I48/I47-1,I47/I48-1)</f>
        <v>0.11285131506119184</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1710</v>
      </c>
      <c r="D53" s="450"/>
      <c r="E53" s="448">
        <f>IF(E48&lt;G48,G48/E48-1,E48/G48-1)</f>
        <v>1.0508839122313818E-2</v>
      </c>
      <c r="F53" s="449" t="str">
        <f>IF(OR(E53&gt;=0.2,E53&lt;=-0.2),"超过20%","")</f>
        <v/>
      </c>
      <c r="G53" s="448">
        <f>IF(G48&lt;I48,I48/G48-1,G48/I48-1)</f>
        <v>1.3554891710231498E-2</v>
      </c>
      <c r="H53" s="449" t="str">
        <f>IF(OR(G53&gt;=0.2,G53&lt;=-0.2),"超过20%","")</f>
        <v/>
      </c>
      <c r="I53" s="448">
        <f>IF(I48&lt;E48,E48/I48-1,I48/E48-1)</f>
        <v>2.4206177008848639E-2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1711</v>
      </c>
      <c r="D54" s="450"/>
      <c r="E54" s="448">
        <f>IF(E47&lt;G47,G47/E47-1,E47/G47-1)</f>
        <v>9.6908375491848719E-3</v>
      </c>
      <c r="F54" s="449" t="str">
        <f>IF(OR(E54&gt;=0.3,E54&lt;=-0.3),"超过30%","")</f>
        <v/>
      </c>
      <c r="G54" s="448">
        <f>IF(G47&lt;I47,I47/G47-1,G47/I47-1)</f>
        <v>8.6291364182959907E-2</v>
      </c>
      <c r="H54" s="449" t="str">
        <f>IF(OR(G54&gt;=0.3,G54&lt;=-0.3),"超过30%","")</f>
        <v/>
      </c>
      <c r="I54" s="448">
        <f>IF(I47&lt;E47,E47/I47-1,I47/E47-1)</f>
        <v>9.6818437324339479E-2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1712</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3562">
        <f t="shared" ref="P58:AA58" si="17">EDATE(O58,-1)</f>
        <v>45017</v>
      </c>
      <c r="Q58" s="3562">
        <f t="shared" si="17"/>
        <v>44986</v>
      </c>
      <c r="R58" s="3562">
        <f t="shared" si="17"/>
        <v>44958</v>
      </c>
      <c r="S58" s="3562">
        <f t="shared" si="17"/>
        <v>44927</v>
      </c>
      <c r="T58" s="3562">
        <f t="shared" si="17"/>
        <v>44896</v>
      </c>
      <c r="U58" s="3562">
        <f t="shared" si="17"/>
        <v>44866</v>
      </c>
      <c r="V58" s="3562">
        <f t="shared" si="17"/>
        <v>44835</v>
      </c>
      <c r="W58" s="3562">
        <f t="shared" si="17"/>
        <v>44805</v>
      </c>
      <c r="X58" s="3562">
        <f t="shared" si="17"/>
        <v>44774</v>
      </c>
      <c r="Y58" s="3562">
        <f t="shared" si="17"/>
        <v>44743</v>
      </c>
      <c r="Z58" s="3562">
        <f t="shared" si="17"/>
        <v>44713</v>
      </c>
      <c r="AA58" s="3562">
        <f t="shared" si="17"/>
        <v>44682</v>
      </c>
      <c r="AB58" s="2738"/>
      <c r="AC58" s="2738"/>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461">
        <v>100</v>
      </c>
      <c r="R59" s="461">
        <v>100</v>
      </c>
      <c r="S59" s="461">
        <v>100</v>
      </c>
      <c r="T59" s="461">
        <v>100</v>
      </c>
      <c r="U59" s="461">
        <v>100</v>
      </c>
      <c r="V59" s="461">
        <v>100</v>
      </c>
      <c r="W59" s="461">
        <v>100</v>
      </c>
      <c r="X59" s="461">
        <v>100</v>
      </c>
      <c r="Y59" s="461">
        <v>100</v>
      </c>
      <c r="Z59" s="461">
        <v>100</v>
      </c>
      <c r="AA59" s="461">
        <v>100</v>
      </c>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1716</v>
      </c>
      <c r="D61" s="3531" t="s">
        <v>3527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3554" t="s">
        <v>3606</v>
      </c>
      <c r="D65" s="3554" t="s">
        <v>3607</v>
      </c>
      <c r="E65" s="3554" t="s">
        <v>3608</v>
      </c>
      <c r="F65" s="3554" t="s">
        <v>3605</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102</v>
      </c>
      <c r="E66" s="485">
        <f t="shared" ref="E66:F66" si="18">D66+2</f>
        <v>104</v>
      </c>
      <c r="F66" s="485">
        <f t="shared" si="18"/>
        <v>106</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0（含）-1</v>
      </c>
      <c r="D67" s="496" t="str">
        <f t="shared" ref="D67:L67" si="19">D68&amp;"（含）"&amp;"-"&amp;E68</f>
        <v>1（含）-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95</v>
      </c>
      <c r="E79" s="493">
        <f>D79-$K17</f>
        <v>90</v>
      </c>
      <c r="F79" s="493">
        <f>E79-$K17</f>
        <v>85</v>
      </c>
      <c r="G79" s="493">
        <f>F79-$K17</f>
        <v>80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21">D83-$K21</f>
        <v>96</v>
      </c>
      <c r="F83" s="493">
        <f t="shared" si="21"/>
        <v>94</v>
      </c>
      <c r="G83" s="493">
        <f t="shared" si="21"/>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3532" t="s">
        <v>3528</v>
      </c>
      <c r="D86" s="3532" t="s">
        <v>3529</v>
      </c>
      <c r="E86" s="3532" t="s">
        <v>3530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2">C87-$K25</f>
        <v>95</v>
      </c>
      <c r="E87" s="493">
        <f t="shared" si="22"/>
        <v>90</v>
      </c>
      <c r="F87" s="493">
        <f t="shared" si="22"/>
        <v>85</v>
      </c>
      <c r="G87" s="493">
        <f t="shared" si="22"/>
        <v>80</v>
      </c>
      <c r="H87" s="493">
        <f t="shared" si="22"/>
        <v>75</v>
      </c>
      <c r="I87" s="493">
        <f t="shared" si="22"/>
        <v>70</v>
      </c>
      <c r="J87" s="493">
        <f t="shared" si="22"/>
        <v>65</v>
      </c>
      <c r="K87" s="493">
        <f t="shared" si="22"/>
        <v>60</v>
      </c>
      <c r="L87" s="493">
        <f t="shared" si="22"/>
        <v>55</v>
      </c>
      <c r="M87" s="493">
        <f t="shared" si="22"/>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3531</v>
      </c>
      <c r="D88" s="503" t="s">
        <v>3532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C89-3</f>
        <v>97</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3523</v>
      </c>
      <c r="D90" s="503" t="s">
        <v>3495</v>
      </c>
      <c r="E90" s="503" t="s">
        <v>3522</v>
      </c>
      <c r="F90" s="503" t="s">
        <v>3533</v>
      </c>
      <c r="G90" s="503" t="s">
        <v>3526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3534</v>
      </c>
      <c r="D92" s="503" t="s">
        <v>3535</v>
      </c>
      <c r="E92" s="3533" t="s">
        <v>3536</v>
      </c>
      <c r="F92" s="3532" t="s">
        <v>3537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3533" t="s">
        <v>3538</v>
      </c>
      <c r="D100" s="3534" t="s">
        <v>3539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95</v>
      </c>
      <c r="E101" s="493">
        <f t="shared" si="24"/>
        <v>90</v>
      </c>
      <c r="F101" s="493">
        <f t="shared" si="24"/>
        <v>85</v>
      </c>
      <c r="G101" s="493">
        <f t="shared" si="24"/>
        <v>80</v>
      </c>
      <c r="H101" s="493">
        <f t="shared" si="24"/>
        <v>75</v>
      </c>
      <c r="I101" s="493">
        <f t="shared" si="24"/>
        <v>70</v>
      </c>
      <c r="J101" s="493">
        <f t="shared" si="24"/>
        <v>65</v>
      </c>
      <c r="K101" s="493">
        <f t="shared" si="24"/>
        <v>60</v>
      </c>
      <c r="L101" s="493">
        <f t="shared" si="24"/>
        <v>55</v>
      </c>
      <c r="M101" s="494">
        <f t="shared" si="24"/>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0(含)-30</v>
      </c>
      <c r="D102" s="527" t="str">
        <f t="shared" ref="D102:L102" si="25">D103&amp;"(含)"&amp;"-"&amp;E103</f>
        <v>30(含)-50</v>
      </c>
      <c r="E102" s="527" t="str">
        <f t="shared" si="25"/>
        <v>50(含)-100</v>
      </c>
      <c r="F102" s="527" t="str">
        <f t="shared" si="25"/>
        <v>100(含)-200</v>
      </c>
      <c r="G102" s="527" t="str">
        <f t="shared" si="25"/>
        <v>200(含)-400</v>
      </c>
      <c r="H102" s="527" t="str">
        <f t="shared" si="25"/>
        <v>400(含)-800</v>
      </c>
      <c r="I102" s="527" t="str">
        <f t="shared" si="25"/>
        <v>800(含)-2000</v>
      </c>
      <c r="J102" s="527" t="str">
        <f t="shared" si="25"/>
        <v>2000(含)-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6">D104-1</f>
        <v>98</v>
      </c>
      <c r="F104" s="485">
        <f t="shared" si="26"/>
        <v>97</v>
      </c>
      <c r="G104" s="485">
        <f t="shared" si="26"/>
        <v>96</v>
      </c>
      <c r="H104" s="485">
        <f t="shared" si="26"/>
        <v>95</v>
      </c>
      <c r="I104" s="485">
        <f t="shared" si="26"/>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532" t="s">
        <v>3540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3532" t="s">
        <v>3541</v>
      </c>
      <c r="D107" s="3532" t="s">
        <v>3542</v>
      </c>
      <c r="E107" s="3532" t="s">
        <v>3543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9">D111+$K36</f>
        <v>100</v>
      </c>
      <c r="F111" s="493">
        <f t="shared" si="29"/>
        <v>100</v>
      </c>
      <c r="G111" s="493">
        <f t="shared" si="29"/>
        <v>100</v>
      </c>
      <c r="H111" s="493">
        <f t="shared" si="29"/>
        <v>100</v>
      </c>
      <c r="I111" s="493">
        <f t="shared" si="29"/>
        <v>100</v>
      </c>
      <c r="J111" s="493">
        <f t="shared" si="29"/>
        <v>100</v>
      </c>
      <c r="K111" s="493">
        <f t="shared" si="29"/>
        <v>100</v>
      </c>
      <c r="L111" s="493">
        <f t="shared" si="29"/>
        <v>100</v>
      </c>
      <c r="M111" s="493">
        <f t="shared" si="29"/>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532" t="s">
        <v>3544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3532" t="s">
        <v>3545</v>
      </c>
      <c r="D116" s="3532" t="s">
        <v>3546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3535" t="s">
        <v>3547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2">D121-$K41</f>
        <v>96</v>
      </c>
      <c r="F121" s="493">
        <f t="shared" si="32"/>
        <v>94</v>
      </c>
      <c r="G121" s="493">
        <f t="shared" si="32"/>
        <v>92</v>
      </c>
      <c r="H121" s="493">
        <f t="shared" si="32"/>
        <v>90</v>
      </c>
      <c r="I121" s="493">
        <f t="shared" si="32"/>
        <v>88</v>
      </c>
      <c r="J121" s="493">
        <f t="shared" si="32"/>
        <v>86</v>
      </c>
      <c r="K121" s="493">
        <f t="shared" si="32"/>
        <v>84</v>
      </c>
      <c r="L121" s="493">
        <f t="shared" si="32"/>
        <v>82</v>
      </c>
      <c r="M121" s="494">
        <f t="shared" si="32"/>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532" t="s">
        <v>3541</v>
      </c>
      <c r="D122" s="3532" t="s">
        <v>3542</v>
      </c>
      <c r="E122" s="3532" t="s">
        <v>3543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建成时间</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5:Y110"/>
  <sheetViews>
    <sheetView zoomScaleNormal="100" workbookViewId="0">
      <selection activeCell="M40" sqref="M40"/>
    </sheetView>
  </sheetViews>
  <sheetFormatPr defaultColWidth="9" defaultRowHeight="12"/>
  <cols>
    <col min="1" max="24" width="9" style="3696"/>
    <col min="25" max="25" width="9.375" style="3696" bestFit="1" customWidth="1"/>
    <col min="26" max="16384" width="9" style="3696"/>
  </cols>
  <sheetData>
    <row r="5" spans="10:25">
      <c r="U5" s="3696" t="s">
        <v>4056</v>
      </c>
      <c r="V5" s="3696" t="s">
        <v>4057</v>
      </c>
      <c r="W5" s="3696">
        <v>297.89</v>
      </c>
      <c r="X5" s="3696">
        <v>25858</v>
      </c>
    </row>
    <row r="13" spans="10:25">
      <c r="J13" s="3697" t="s">
        <v>4058</v>
      </c>
      <c r="K13" s="3697"/>
      <c r="L13" s="3697">
        <v>200</v>
      </c>
      <c r="M13" s="3697">
        <f>608/L13*10000</f>
        <v>30400</v>
      </c>
      <c r="N13" s="3697">
        <v>10</v>
      </c>
      <c r="O13" s="3697" t="s">
        <v>4059</v>
      </c>
      <c r="P13" s="3697"/>
      <c r="Q13" s="3697"/>
    </row>
    <row r="16" spans="10:25">
      <c r="U16" s="3696" t="s">
        <v>4060</v>
      </c>
      <c r="V16" s="3696" t="s">
        <v>4061</v>
      </c>
      <c r="W16" s="3696">
        <v>221</v>
      </c>
      <c r="X16" s="3696">
        <v>40500</v>
      </c>
      <c r="Y16" s="3698">
        <v>44958</v>
      </c>
    </row>
    <row r="17" spans="21:25">
      <c r="W17" s="3696">
        <v>396.18</v>
      </c>
      <c r="X17" s="3696">
        <v>40445</v>
      </c>
      <c r="Y17" s="3698">
        <v>44959</v>
      </c>
    </row>
    <row r="18" spans="21:25">
      <c r="W18" s="3696">
        <v>419.45</v>
      </c>
      <c r="X18" s="3696">
        <v>40500</v>
      </c>
      <c r="Y18" s="3698">
        <v>44960</v>
      </c>
    </row>
    <row r="19" spans="21:25">
      <c r="W19" s="3696">
        <v>197.98</v>
      </c>
      <c r="X19" s="3696">
        <v>40500</v>
      </c>
      <c r="Y19" s="3698">
        <v>44961</v>
      </c>
    </row>
    <row r="24" spans="21:25">
      <c r="U24" s="3696" t="s">
        <v>4062</v>
      </c>
      <c r="V24" s="3696" t="s">
        <v>4063</v>
      </c>
      <c r="W24" s="3696">
        <v>513.77</v>
      </c>
      <c r="X24" s="3696">
        <v>43000</v>
      </c>
      <c r="Y24" s="3699">
        <v>45231</v>
      </c>
    </row>
    <row r="32" spans="21:25">
      <c r="U32" s="3696" t="s">
        <v>4064</v>
      </c>
      <c r="V32" s="3696" t="s">
        <v>4063</v>
      </c>
      <c r="W32" s="3696">
        <v>26</v>
      </c>
      <c r="X32" s="3696">
        <v>40000</v>
      </c>
    </row>
    <row r="55" spans="10:17">
      <c r="J55" s="3697" t="s">
        <v>4065</v>
      </c>
      <c r="K55" s="3697"/>
      <c r="L55" s="3697">
        <v>200</v>
      </c>
      <c r="M55" s="3697">
        <f>618/L55*10000</f>
        <v>30900</v>
      </c>
      <c r="N55" s="3697">
        <v>8</v>
      </c>
      <c r="O55" s="3697" t="s">
        <v>4066</v>
      </c>
      <c r="P55" s="3697"/>
      <c r="Q55" s="3697"/>
    </row>
    <row r="76" spans="10:17">
      <c r="J76" s="3697" t="s">
        <v>4067</v>
      </c>
      <c r="K76" s="3697"/>
      <c r="L76" s="3697">
        <v>150</v>
      </c>
      <c r="M76" s="3697">
        <f>ROUND(500/L76*10000,0)</f>
        <v>33333</v>
      </c>
      <c r="N76" s="3697">
        <v>6</v>
      </c>
      <c r="O76" s="3697" t="s">
        <v>4066</v>
      </c>
      <c r="P76" s="3697"/>
      <c r="Q76" s="3697"/>
    </row>
    <row r="101" spans="1:17">
      <c r="J101" s="3697"/>
      <c r="K101" s="3697"/>
      <c r="L101" s="3697"/>
      <c r="M101" s="3697"/>
      <c r="N101" s="3697"/>
      <c r="O101" s="3697"/>
      <c r="P101" s="3697"/>
      <c r="Q101" s="3697"/>
    </row>
    <row r="110" spans="1:17">
      <c r="A110" s="3696" t="s">
        <v>4067</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116"/>
  <sheetViews>
    <sheetView zoomScaleNormal="100" zoomScaleSheetLayoutView="100" workbookViewId="0">
      <pane ySplit="2" topLeftCell="A3" activePane="bottomLeft" state="frozen"/>
      <selection pane="bottomLeft" activeCell="H50" sqref="H50"/>
    </sheetView>
  </sheetViews>
  <sheetFormatPr defaultColWidth="11" defaultRowHeight="12"/>
  <cols>
    <col min="1" max="1" width="5.625" style="3567" bestFit="1" customWidth="1"/>
    <col min="2" max="2" width="17.125" style="3567" bestFit="1" customWidth="1"/>
    <col min="3" max="3" width="27.25" style="3567" bestFit="1" customWidth="1"/>
    <col min="4" max="4" width="17.125" style="3567" bestFit="1" customWidth="1"/>
    <col min="5" max="5" width="10.25" style="3567" bestFit="1" customWidth="1"/>
    <col min="6" max="6" width="14.625" style="3637" customWidth="1"/>
    <col min="7" max="7" width="10.25" style="3637" bestFit="1" customWidth="1"/>
    <col min="8" max="8" width="10.5" style="3637" bestFit="1" customWidth="1"/>
    <col min="9" max="9" width="15.5" style="3637" bestFit="1" customWidth="1"/>
    <col min="10" max="10" width="10.5" style="3567" bestFit="1" customWidth="1"/>
    <col min="11" max="11" width="9.75" style="3567" bestFit="1" customWidth="1"/>
    <col min="12" max="13" width="12.25" style="3567" bestFit="1" customWidth="1"/>
    <col min="14" max="14" width="7.5" style="3567" bestFit="1" customWidth="1"/>
    <col min="15" max="15" width="6" style="3567" bestFit="1" customWidth="1"/>
    <col min="16" max="256" width="11" style="3567"/>
    <col min="257" max="257" width="5.625" style="3567" bestFit="1" customWidth="1"/>
    <col min="258" max="258" width="17.125" style="3567" bestFit="1" customWidth="1"/>
    <col min="259" max="259" width="27.25" style="3567" bestFit="1" customWidth="1"/>
    <col min="260" max="260" width="17.125" style="3567" bestFit="1" customWidth="1"/>
    <col min="261" max="261" width="10.25" style="3567" bestFit="1" customWidth="1"/>
    <col min="262" max="262" width="14.625" style="3567" customWidth="1"/>
    <col min="263" max="263" width="10.25" style="3567" bestFit="1" customWidth="1"/>
    <col min="264" max="266" width="10.5" style="3567" bestFit="1" customWidth="1"/>
    <col min="267" max="267" width="9.75" style="3567" bestFit="1" customWidth="1"/>
    <col min="268" max="269" width="12.25" style="3567" bestFit="1" customWidth="1"/>
    <col min="270" max="270" width="7.5" style="3567" bestFit="1" customWidth="1"/>
    <col min="271" max="271" width="6" style="3567" bestFit="1" customWidth="1"/>
    <col min="272" max="512" width="11" style="3567"/>
    <col min="513" max="513" width="5.625" style="3567" bestFit="1" customWidth="1"/>
    <col min="514" max="514" width="17.125" style="3567" bestFit="1" customWidth="1"/>
    <col min="515" max="515" width="27.25" style="3567" bestFit="1" customWidth="1"/>
    <col min="516" max="516" width="17.125" style="3567" bestFit="1" customWidth="1"/>
    <col min="517" max="517" width="10.25" style="3567" bestFit="1" customWidth="1"/>
    <col min="518" max="518" width="14.625" style="3567" customWidth="1"/>
    <col min="519" max="519" width="10.25" style="3567" bestFit="1" customWidth="1"/>
    <col min="520" max="522" width="10.5" style="3567" bestFit="1" customWidth="1"/>
    <col min="523" max="523" width="9.75" style="3567" bestFit="1" customWidth="1"/>
    <col min="524" max="525" width="12.25" style="3567" bestFit="1" customWidth="1"/>
    <col min="526" max="526" width="7.5" style="3567" bestFit="1" customWidth="1"/>
    <col min="527" max="527" width="6" style="3567" bestFit="1" customWidth="1"/>
    <col min="528" max="768" width="11" style="3567"/>
    <col min="769" max="769" width="5.625" style="3567" bestFit="1" customWidth="1"/>
    <col min="770" max="770" width="17.125" style="3567" bestFit="1" customWidth="1"/>
    <col min="771" max="771" width="27.25" style="3567" bestFit="1" customWidth="1"/>
    <col min="772" max="772" width="17.125" style="3567" bestFit="1" customWidth="1"/>
    <col min="773" max="773" width="10.25" style="3567" bestFit="1" customWidth="1"/>
    <col min="774" max="774" width="14.625" style="3567" customWidth="1"/>
    <col min="775" max="775" width="10.25" style="3567" bestFit="1" customWidth="1"/>
    <col min="776" max="778" width="10.5" style="3567" bestFit="1" customWidth="1"/>
    <col min="779" max="779" width="9.75" style="3567" bestFit="1" customWidth="1"/>
    <col min="780" max="781" width="12.25" style="3567" bestFit="1" customWidth="1"/>
    <col min="782" max="782" width="7.5" style="3567" bestFit="1" customWidth="1"/>
    <col min="783" max="783" width="6" style="3567" bestFit="1" customWidth="1"/>
    <col min="784" max="1024" width="11" style="3567"/>
    <col min="1025" max="1025" width="5.625" style="3567" bestFit="1" customWidth="1"/>
    <col min="1026" max="1026" width="17.125" style="3567" bestFit="1" customWidth="1"/>
    <col min="1027" max="1027" width="27.25" style="3567" bestFit="1" customWidth="1"/>
    <col min="1028" max="1028" width="17.125" style="3567" bestFit="1" customWidth="1"/>
    <col min="1029" max="1029" width="10.25" style="3567" bestFit="1" customWidth="1"/>
    <col min="1030" max="1030" width="14.625" style="3567" customWidth="1"/>
    <col min="1031" max="1031" width="10.25" style="3567" bestFit="1" customWidth="1"/>
    <col min="1032" max="1034" width="10.5" style="3567" bestFit="1" customWidth="1"/>
    <col min="1035" max="1035" width="9.75" style="3567" bestFit="1" customWidth="1"/>
    <col min="1036" max="1037" width="12.25" style="3567" bestFit="1" customWidth="1"/>
    <col min="1038" max="1038" width="7.5" style="3567" bestFit="1" customWidth="1"/>
    <col min="1039" max="1039" width="6" style="3567" bestFit="1" customWidth="1"/>
    <col min="1040" max="1280" width="11" style="3567"/>
    <col min="1281" max="1281" width="5.625" style="3567" bestFit="1" customWidth="1"/>
    <col min="1282" max="1282" width="17.125" style="3567" bestFit="1" customWidth="1"/>
    <col min="1283" max="1283" width="27.25" style="3567" bestFit="1" customWidth="1"/>
    <col min="1284" max="1284" width="17.125" style="3567" bestFit="1" customWidth="1"/>
    <col min="1285" max="1285" width="10.25" style="3567" bestFit="1" customWidth="1"/>
    <col min="1286" max="1286" width="14.625" style="3567" customWidth="1"/>
    <col min="1287" max="1287" width="10.25" style="3567" bestFit="1" customWidth="1"/>
    <col min="1288" max="1290" width="10.5" style="3567" bestFit="1" customWidth="1"/>
    <col min="1291" max="1291" width="9.75" style="3567" bestFit="1" customWidth="1"/>
    <col min="1292" max="1293" width="12.25" style="3567" bestFit="1" customWidth="1"/>
    <col min="1294" max="1294" width="7.5" style="3567" bestFit="1" customWidth="1"/>
    <col min="1295" max="1295" width="6" style="3567" bestFit="1" customWidth="1"/>
    <col min="1296" max="1536" width="11" style="3567"/>
    <col min="1537" max="1537" width="5.625" style="3567" bestFit="1" customWidth="1"/>
    <col min="1538" max="1538" width="17.125" style="3567" bestFit="1" customWidth="1"/>
    <col min="1539" max="1539" width="27.25" style="3567" bestFit="1" customWidth="1"/>
    <col min="1540" max="1540" width="17.125" style="3567" bestFit="1" customWidth="1"/>
    <col min="1541" max="1541" width="10.25" style="3567" bestFit="1" customWidth="1"/>
    <col min="1542" max="1542" width="14.625" style="3567" customWidth="1"/>
    <col min="1543" max="1543" width="10.25" style="3567" bestFit="1" customWidth="1"/>
    <col min="1544" max="1546" width="10.5" style="3567" bestFit="1" customWidth="1"/>
    <col min="1547" max="1547" width="9.75" style="3567" bestFit="1" customWidth="1"/>
    <col min="1548" max="1549" width="12.25" style="3567" bestFit="1" customWidth="1"/>
    <col min="1550" max="1550" width="7.5" style="3567" bestFit="1" customWidth="1"/>
    <col min="1551" max="1551" width="6" style="3567" bestFit="1" customWidth="1"/>
    <col min="1552" max="1792" width="11" style="3567"/>
    <col min="1793" max="1793" width="5.625" style="3567" bestFit="1" customWidth="1"/>
    <col min="1794" max="1794" width="17.125" style="3567" bestFit="1" customWidth="1"/>
    <col min="1795" max="1795" width="27.25" style="3567" bestFit="1" customWidth="1"/>
    <col min="1796" max="1796" width="17.125" style="3567" bestFit="1" customWidth="1"/>
    <col min="1797" max="1797" width="10.25" style="3567" bestFit="1" customWidth="1"/>
    <col min="1798" max="1798" width="14.625" style="3567" customWidth="1"/>
    <col min="1799" max="1799" width="10.25" style="3567" bestFit="1" customWidth="1"/>
    <col min="1800" max="1802" width="10.5" style="3567" bestFit="1" customWidth="1"/>
    <col min="1803" max="1803" width="9.75" style="3567" bestFit="1" customWidth="1"/>
    <col min="1804" max="1805" width="12.25" style="3567" bestFit="1" customWidth="1"/>
    <col min="1806" max="1806" width="7.5" style="3567" bestFit="1" customWidth="1"/>
    <col min="1807" max="1807" width="6" style="3567" bestFit="1" customWidth="1"/>
    <col min="1808" max="2048" width="11" style="3567"/>
    <col min="2049" max="2049" width="5.625" style="3567" bestFit="1" customWidth="1"/>
    <col min="2050" max="2050" width="17.125" style="3567" bestFit="1" customWidth="1"/>
    <col min="2051" max="2051" width="27.25" style="3567" bestFit="1" customWidth="1"/>
    <col min="2052" max="2052" width="17.125" style="3567" bestFit="1" customWidth="1"/>
    <col min="2053" max="2053" width="10.25" style="3567" bestFit="1" customWidth="1"/>
    <col min="2054" max="2054" width="14.625" style="3567" customWidth="1"/>
    <col min="2055" max="2055" width="10.25" style="3567" bestFit="1" customWidth="1"/>
    <col min="2056" max="2058" width="10.5" style="3567" bestFit="1" customWidth="1"/>
    <col min="2059" max="2059" width="9.75" style="3567" bestFit="1" customWidth="1"/>
    <col min="2060" max="2061" width="12.25" style="3567" bestFit="1" customWidth="1"/>
    <col min="2062" max="2062" width="7.5" style="3567" bestFit="1" customWidth="1"/>
    <col min="2063" max="2063" width="6" style="3567" bestFit="1" customWidth="1"/>
    <col min="2064" max="2304" width="11" style="3567"/>
    <col min="2305" max="2305" width="5.625" style="3567" bestFit="1" customWidth="1"/>
    <col min="2306" max="2306" width="17.125" style="3567" bestFit="1" customWidth="1"/>
    <col min="2307" max="2307" width="27.25" style="3567" bestFit="1" customWidth="1"/>
    <col min="2308" max="2308" width="17.125" style="3567" bestFit="1" customWidth="1"/>
    <col min="2309" max="2309" width="10.25" style="3567" bestFit="1" customWidth="1"/>
    <col min="2310" max="2310" width="14.625" style="3567" customWidth="1"/>
    <col min="2311" max="2311" width="10.25" style="3567" bestFit="1" customWidth="1"/>
    <col min="2312" max="2314" width="10.5" style="3567" bestFit="1" customWidth="1"/>
    <col min="2315" max="2315" width="9.75" style="3567" bestFit="1" customWidth="1"/>
    <col min="2316" max="2317" width="12.25" style="3567" bestFit="1" customWidth="1"/>
    <col min="2318" max="2318" width="7.5" style="3567" bestFit="1" customWidth="1"/>
    <col min="2319" max="2319" width="6" style="3567" bestFit="1" customWidth="1"/>
    <col min="2320" max="2560" width="11" style="3567"/>
    <col min="2561" max="2561" width="5.625" style="3567" bestFit="1" customWidth="1"/>
    <col min="2562" max="2562" width="17.125" style="3567" bestFit="1" customWidth="1"/>
    <col min="2563" max="2563" width="27.25" style="3567" bestFit="1" customWidth="1"/>
    <col min="2564" max="2564" width="17.125" style="3567" bestFit="1" customWidth="1"/>
    <col min="2565" max="2565" width="10.25" style="3567" bestFit="1" customWidth="1"/>
    <col min="2566" max="2566" width="14.625" style="3567" customWidth="1"/>
    <col min="2567" max="2567" width="10.25" style="3567" bestFit="1" customWidth="1"/>
    <col min="2568" max="2570" width="10.5" style="3567" bestFit="1" customWidth="1"/>
    <col min="2571" max="2571" width="9.75" style="3567" bestFit="1" customWidth="1"/>
    <col min="2572" max="2573" width="12.25" style="3567" bestFit="1" customWidth="1"/>
    <col min="2574" max="2574" width="7.5" style="3567" bestFit="1" customWidth="1"/>
    <col min="2575" max="2575" width="6" style="3567" bestFit="1" customWidth="1"/>
    <col min="2576" max="2816" width="11" style="3567"/>
    <col min="2817" max="2817" width="5.625" style="3567" bestFit="1" customWidth="1"/>
    <col min="2818" max="2818" width="17.125" style="3567" bestFit="1" customWidth="1"/>
    <col min="2819" max="2819" width="27.25" style="3567" bestFit="1" customWidth="1"/>
    <col min="2820" max="2820" width="17.125" style="3567" bestFit="1" customWidth="1"/>
    <col min="2821" max="2821" width="10.25" style="3567" bestFit="1" customWidth="1"/>
    <col min="2822" max="2822" width="14.625" style="3567" customWidth="1"/>
    <col min="2823" max="2823" width="10.25" style="3567" bestFit="1" customWidth="1"/>
    <col min="2824" max="2826" width="10.5" style="3567" bestFit="1" customWidth="1"/>
    <col min="2827" max="2827" width="9.75" style="3567" bestFit="1" customWidth="1"/>
    <col min="2828" max="2829" width="12.25" style="3567" bestFit="1" customWidth="1"/>
    <col min="2830" max="2830" width="7.5" style="3567" bestFit="1" customWidth="1"/>
    <col min="2831" max="2831" width="6" style="3567" bestFit="1" customWidth="1"/>
    <col min="2832" max="3072" width="11" style="3567"/>
    <col min="3073" max="3073" width="5.625" style="3567" bestFit="1" customWidth="1"/>
    <col min="3074" max="3074" width="17.125" style="3567" bestFit="1" customWidth="1"/>
    <col min="3075" max="3075" width="27.25" style="3567" bestFit="1" customWidth="1"/>
    <col min="3076" max="3076" width="17.125" style="3567" bestFit="1" customWidth="1"/>
    <col min="3077" max="3077" width="10.25" style="3567" bestFit="1" customWidth="1"/>
    <col min="3078" max="3078" width="14.625" style="3567" customWidth="1"/>
    <col min="3079" max="3079" width="10.25" style="3567" bestFit="1" customWidth="1"/>
    <col min="3080" max="3082" width="10.5" style="3567" bestFit="1" customWidth="1"/>
    <col min="3083" max="3083" width="9.75" style="3567" bestFit="1" customWidth="1"/>
    <col min="3084" max="3085" width="12.25" style="3567" bestFit="1" customWidth="1"/>
    <col min="3086" max="3086" width="7.5" style="3567" bestFit="1" customWidth="1"/>
    <col min="3087" max="3087" width="6" style="3567" bestFit="1" customWidth="1"/>
    <col min="3088" max="3328" width="11" style="3567"/>
    <col min="3329" max="3329" width="5.625" style="3567" bestFit="1" customWidth="1"/>
    <col min="3330" max="3330" width="17.125" style="3567" bestFit="1" customWidth="1"/>
    <col min="3331" max="3331" width="27.25" style="3567" bestFit="1" customWidth="1"/>
    <col min="3332" max="3332" width="17.125" style="3567" bestFit="1" customWidth="1"/>
    <col min="3333" max="3333" width="10.25" style="3567" bestFit="1" customWidth="1"/>
    <col min="3334" max="3334" width="14.625" style="3567" customWidth="1"/>
    <col min="3335" max="3335" width="10.25" style="3567" bestFit="1" customWidth="1"/>
    <col min="3336" max="3338" width="10.5" style="3567" bestFit="1" customWidth="1"/>
    <col min="3339" max="3339" width="9.75" style="3567" bestFit="1" customWidth="1"/>
    <col min="3340" max="3341" width="12.25" style="3567" bestFit="1" customWidth="1"/>
    <col min="3342" max="3342" width="7.5" style="3567" bestFit="1" customWidth="1"/>
    <col min="3343" max="3343" width="6" style="3567" bestFit="1" customWidth="1"/>
    <col min="3344" max="3584" width="11" style="3567"/>
    <col min="3585" max="3585" width="5.625" style="3567" bestFit="1" customWidth="1"/>
    <col min="3586" max="3586" width="17.125" style="3567" bestFit="1" customWidth="1"/>
    <col min="3587" max="3587" width="27.25" style="3567" bestFit="1" customWidth="1"/>
    <col min="3588" max="3588" width="17.125" style="3567" bestFit="1" customWidth="1"/>
    <col min="3589" max="3589" width="10.25" style="3567" bestFit="1" customWidth="1"/>
    <col min="3590" max="3590" width="14.625" style="3567" customWidth="1"/>
    <col min="3591" max="3591" width="10.25" style="3567" bestFit="1" customWidth="1"/>
    <col min="3592" max="3594" width="10.5" style="3567" bestFit="1" customWidth="1"/>
    <col min="3595" max="3595" width="9.75" style="3567" bestFit="1" customWidth="1"/>
    <col min="3596" max="3597" width="12.25" style="3567" bestFit="1" customWidth="1"/>
    <col min="3598" max="3598" width="7.5" style="3567" bestFit="1" customWidth="1"/>
    <col min="3599" max="3599" width="6" style="3567" bestFit="1" customWidth="1"/>
    <col min="3600" max="3840" width="11" style="3567"/>
    <col min="3841" max="3841" width="5.625" style="3567" bestFit="1" customWidth="1"/>
    <col min="3842" max="3842" width="17.125" style="3567" bestFit="1" customWidth="1"/>
    <col min="3843" max="3843" width="27.25" style="3567" bestFit="1" customWidth="1"/>
    <col min="3844" max="3844" width="17.125" style="3567" bestFit="1" customWidth="1"/>
    <col min="3845" max="3845" width="10.25" style="3567" bestFit="1" customWidth="1"/>
    <col min="3846" max="3846" width="14.625" style="3567" customWidth="1"/>
    <col min="3847" max="3847" width="10.25" style="3567" bestFit="1" customWidth="1"/>
    <col min="3848" max="3850" width="10.5" style="3567" bestFit="1" customWidth="1"/>
    <col min="3851" max="3851" width="9.75" style="3567" bestFit="1" customWidth="1"/>
    <col min="3852" max="3853" width="12.25" style="3567" bestFit="1" customWidth="1"/>
    <col min="3854" max="3854" width="7.5" style="3567" bestFit="1" customWidth="1"/>
    <col min="3855" max="3855" width="6" style="3567" bestFit="1" customWidth="1"/>
    <col min="3856" max="4096" width="11" style="3567"/>
    <col min="4097" max="4097" width="5.625" style="3567" bestFit="1" customWidth="1"/>
    <col min="4098" max="4098" width="17.125" style="3567" bestFit="1" customWidth="1"/>
    <col min="4099" max="4099" width="27.25" style="3567" bestFit="1" customWidth="1"/>
    <col min="4100" max="4100" width="17.125" style="3567" bestFit="1" customWidth="1"/>
    <col min="4101" max="4101" width="10.25" style="3567" bestFit="1" customWidth="1"/>
    <col min="4102" max="4102" width="14.625" style="3567" customWidth="1"/>
    <col min="4103" max="4103" width="10.25" style="3567" bestFit="1" customWidth="1"/>
    <col min="4104" max="4106" width="10.5" style="3567" bestFit="1" customWidth="1"/>
    <col min="4107" max="4107" width="9.75" style="3567" bestFit="1" customWidth="1"/>
    <col min="4108" max="4109" width="12.25" style="3567" bestFit="1" customWidth="1"/>
    <col min="4110" max="4110" width="7.5" style="3567" bestFit="1" customWidth="1"/>
    <col min="4111" max="4111" width="6" style="3567" bestFit="1" customWidth="1"/>
    <col min="4112" max="4352" width="11" style="3567"/>
    <col min="4353" max="4353" width="5.625" style="3567" bestFit="1" customWidth="1"/>
    <col min="4354" max="4354" width="17.125" style="3567" bestFit="1" customWidth="1"/>
    <col min="4355" max="4355" width="27.25" style="3567" bestFit="1" customWidth="1"/>
    <col min="4356" max="4356" width="17.125" style="3567" bestFit="1" customWidth="1"/>
    <col min="4357" max="4357" width="10.25" style="3567" bestFit="1" customWidth="1"/>
    <col min="4358" max="4358" width="14.625" style="3567" customWidth="1"/>
    <col min="4359" max="4359" width="10.25" style="3567" bestFit="1" customWidth="1"/>
    <col min="4360" max="4362" width="10.5" style="3567" bestFit="1" customWidth="1"/>
    <col min="4363" max="4363" width="9.75" style="3567" bestFit="1" customWidth="1"/>
    <col min="4364" max="4365" width="12.25" style="3567" bestFit="1" customWidth="1"/>
    <col min="4366" max="4366" width="7.5" style="3567" bestFit="1" customWidth="1"/>
    <col min="4367" max="4367" width="6" style="3567" bestFit="1" customWidth="1"/>
    <col min="4368" max="4608" width="11" style="3567"/>
    <col min="4609" max="4609" width="5.625" style="3567" bestFit="1" customWidth="1"/>
    <col min="4610" max="4610" width="17.125" style="3567" bestFit="1" customWidth="1"/>
    <col min="4611" max="4611" width="27.25" style="3567" bestFit="1" customWidth="1"/>
    <col min="4612" max="4612" width="17.125" style="3567" bestFit="1" customWidth="1"/>
    <col min="4613" max="4613" width="10.25" style="3567" bestFit="1" customWidth="1"/>
    <col min="4614" max="4614" width="14.625" style="3567" customWidth="1"/>
    <col min="4615" max="4615" width="10.25" style="3567" bestFit="1" customWidth="1"/>
    <col min="4616" max="4618" width="10.5" style="3567" bestFit="1" customWidth="1"/>
    <col min="4619" max="4619" width="9.75" style="3567" bestFit="1" customWidth="1"/>
    <col min="4620" max="4621" width="12.25" style="3567" bestFit="1" customWidth="1"/>
    <col min="4622" max="4622" width="7.5" style="3567" bestFit="1" customWidth="1"/>
    <col min="4623" max="4623" width="6" style="3567" bestFit="1" customWidth="1"/>
    <col min="4624" max="4864" width="11" style="3567"/>
    <col min="4865" max="4865" width="5.625" style="3567" bestFit="1" customWidth="1"/>
    <col min="4866" max="4866" width="17.125" style="3567" bestFit="1" customWidth="1"/>
    <col min="4867" max="4867" width="27.25" style="3567" bestFit="1" customWidth="1"/>
    <col min="4868" max="4868" width="17.125" style="3567" bestFit="1" customWidth="1"/>
    <col min="4869" max="4869" width="10.25" style="3567" bestFit="1" customWidth="1"/>
    <col min="4870" max="4870" width="14.625" style="3567" customWidth="1"/>
    <col min="4871" max="4871" width="10.25" style="3567" bestFit="1" customWidth="1"/>
    <col min="4872" max="4874" width="10.5" style="3567" bestFit="1" customWidth="1"/>
    <col min="4875" max="4875" width="9.75" style="3567" bestFit="1" customWidth="1"/>
    <col min="4876" max="4877" width="12.25" style="3567" bestFit="1" customWidth="1"/>
    <col min="4878" max="4878" width="7.5" style="3567" bestFit="1" customWidth="1"/>
    <col min="4879" max="4879" width="6" style="3567" bestFit="1" customWidth="1"/>
    <col min="4880" max="5120" width="11" style="3567"/>
    <col min="5121" max="5121" width="5.625" style="3567" bestFit="1" customWidth="1"/>
    <col min="5122" max="5122" width="17.125" style="3567" bestFit="1" customWidth="1"/>
    <col min="5123" max="5123" width="27.25" style="3567" bestFit="1" customWidth="1"/>
    <col min="5124" max="5124" width="17.125" style="3567" bestFit="1" customWidth="1"/>
    <col min="5125" max="5125" width="10.25" style="3567" bestFit="1" customWidth="1"/>
    <col min="5126" max="5126" width="14.625" style="3567" customWidth="1"/>
    <col min="5127" max="5127" width="10.25" style="3567" bestFit="1" customWidth="1"/>
    <col min="5128" max="5130" width="10.5" style="3567" bestFit="1" customWidth="1"/>
    <col min="5131" max="5131" width="9.75" style="3567" bestFit="1" customWidth="1"/>
    <col min="5132" max="5133" width="12.25" style="3567" bestFit="1" customWidth="1"/>
    <col min="5134" max="5134" width="7.5" style="3567" bestFit="1" customWidth="1"/>
    <col min="5135" max="5135" width="6" style="3567" bestFit="1" customWidth="1"/>
    <col min="5136" max="5376" width="11" style="3567"/>
    <col min="5377" max="5377" width="5.625" style="3567" bestFit="1" customWidth="1"/>
    <col min="5378" max="5378" width="17.125" style="3567" bestFit="1" customWidth="1"/>
    <col min="5379" max="5379" width="27.25" style="3567" bestFit="1" customWidth="1"/>
    <col min="5380" max="5380" width="17.125" style="3567" bestFit="1" customWidth="1"/>
    <col min="5381" max="5381" width="10.25" style="3567" bestFit="1" customWidth="1"/>
    <col min="5382" max="5382" width="14.625" style="3567" customWidth="1"/>
    <col min="5383" max="5383" width="10.25" style="3567" bestFit="1" customWidth="1"/>
    <col min="5384" max="5386" width="10.5" style="3567" bestFit="1" customWidth="1"/>
    <col min="5387" max="5387" width="9.75" style="3567" bestFit="1" customWidth="1"/>
    <col min="5388" max="5389" width="12.25" style="3567" bestFit="1" customWidth="1"/>
    <col min="5390" max="5390" width="7.5" style="3567" bestFit="1" customWidth="1"/>
    <col min="5391" max="5391" width="6" style="3567" bestFit="1" customWidth="1"/>
    <col min="5392" max="5632" width="11" style="3567"/>
    <col min="5633" max="5633" width="5.625" style="3567" bestFit="1" customWidth="1"/>
    <col min="5634" max="5634" width="17.125" style="3567" bestFit="1" customWidth="1"/>
    <col min="5635" max="5635" width="27.25" style="3567" bestFit="1" customWidth="1"/>
    <col min="5636" max="5636" width="17.125" style="3567" bestFit="1" customWidth="1"/>
    <col min="5637" max="5637" width="10.25" style="3567" bestFit="1" customWidth="1"/>
    <col min="5638" max="5638" width="14.625" style="3567" customWidth="1"/>
    <col min="5639" max="5639" width="10.25" style="3567" bestFit="1" customWidth="1"/>
    <col min="5640" max="5642" width="10.5" style="3567" bestFit="1" customWidth="1"/>
    <col min="5643" max="5643" width="9.75" style="3567" bestFit="1" customWidth="1"/>
    <col min="5644" max="5645" width="12.25" style="3567" bestFit="1" customWidth="1"/>
    <col min="5646" max="5646" width="7.5" style="3567" bestFit="1" customWidth="1"/>
    <col min="5647" max="5647" width="6" style="3567" bestFit="1" customWidth="1"/>
    <col min="5648" max="5888" width="11" style="3567"/>
    <col min="5889" max="5889" width="5.625" style="3567" bestFit="1" customWidth="1"/>
    <col min="5890" max="5890" width="17.125" style="3567" bestFit="1" customWidth="1"/>
    <col min="5891" max="5891" width="27.25" style="3567" bestFit="1" customWidth="1"/>
    <col min="5892" max="5892" width="17.125" style="3567" bestFit="1" customWidth="1"/>
    <col min="5893" max="5893" width="10.25" style="3567" bestFit="1" customWidth="1"/>
    <col min="5894" max="5894" width="14.625" style="3567" customWidth="1"/>
    <col min="5895" max="5895" width="10.25" style="3567" bestFit="1" customWidth="1"/>
    <col min="5896" max="5898" width="10.5" style="3567" bestFit="1" customWidth="1"/>
    <col min="5899" max="5899" width="9.75" style="3567" bestFit="1" customWidth="1"/>
    <col min="5900" max="5901" width="12.25" style="3567" bestFit="1" customWidth="1"/>
    <col min="5902" max="5902" width="7.5" style="3567" bestFit="1" customWidth="1"/>
    <col min="5903" max="5903" width="6" style="3567" bestFit="1" customWidth="1"/>
    <col min="5904" max="6144" width="11" style="3567"/>
    <col min="6145" max="6145" width="5.625" style="3567" bestFit="1" customWidth="1"/>
    <col min="6146" max="6146" width="17.125" style="3567" bestFit="1" customWidth="1"/>
    <col min="6147" max="6147" width="27.25" style="3567" bestFit="1" customWidth="1"/>
    <col min="6148" max="6148" width="17.125" style="3567" bestFit="1" customWidth="1"/>
    <col min="6149" max="6149" width="10.25" style="3567" bestFit="1" customWidth="1"/>
    <col min="6150" max="6150" width="14.625" style="3567" customWidth="1"/>
    <col min="6151" max="6151" width="10.25" style="3567" bestFit="1" customWidth="1"/>
    <col min="6152" max="6154" width="10.5" style="3567" bestFit="1" customWidth="1"/>
    <col min="6155" max="6155" width="9.75" style="3567" bestFit="1" customWidth="1"/>
    <col min="6156" max="6157" width="12.25" style="3567" bestFit="1" customWidth="1"/>
    <col min="6158" max="6158" width="7.5" style="3567" bestFit="1" customWidth="1"/>
    <col min="6159" max="6159" width="6" style="3567" bestFit="1" customWidth="1"/>
    <col min="6160" max="6400" width="11" style="3567"/>
    <col min="6401" max="6401" width="5.625" style="3567" bestFit="1" customWidth="1"/>
    <col min="6402" max="6402" width="17.125" style="3567" bestFit="1" customWidth="1"/>
    <col min="6403" max="6403" width="27.25" style="3567" bestFit="1" customWidth="1"/>
    <col min="6404" max="6404" width="17.125" style="3567" bestFit="1" customWidth="1"/>
    <col min="6405" max="6405" width="10.25" style="3567" bestFit="1" customWidth="1"/>
    <col min="6406" max="6406" width="14.625" style="3567" customWidth="1"/>
    <col min="6407" max="6407" width="10.25" style="3567" bestFit="1" customWidth="1"/>
    <col min="6408" max="6410" width="10.5" style="3567" bestFit="1" customWidth="1"/>
    <col min="6411" max="6411" width="9.75" style="3567" bestFit="1" customWidth="1"/>
    <col min="6412" max="6413" width="12.25" style="3567" bestFit="1" customWidth="1"/>
    <col min="6414" max="6414" width="7.5" style="3567" bestFit="1" customWidth="1"/>
    <col min="6415" max="6415" width="6" style="3567" bestFit="1" customWidth="1"/>
    <col min="6416" max="6656" width="11" style="3567"/>
    <col min="6657" max="6657" width="5.625" style="3567" bestFit="1" customWidth="1"/>
    <col min="6658" max="6658" width="17.125" style="3567" bestFit="1" customWidth="1"/>
    <col min="6659" max="6659" width="27.25" style="3567" bestFit="1" customWidth="1"/>
    <col min="6660" max="6660" width="17.125" style="3567" bestFit="1" customWidth="1"/>
    <col min="6661" max="6661" width="10.25" style="3567" bestFit="1" customWidth="1"/>
    <col min="6662" max="6662" width="14.625" style="3567" customWidth="1"/>
    <col min="6663" max="6663" width="10.25" style="3567" bestFit="1" customWidth="1"/>
    <col min="6664" max="6666" width="10.5" style="3567" bestFit="1" customWidth="1"/>
    <col min="6667" max="6667" width="9.75" style="3567" bestFit="1" customWidth="1"/>
    <col min="6668" max="6669" width="12.25" style="3567" bestFit="1" customWidth="1"/>
    <col min="6670" max="6670" width="7.5" style="3567" bestFit="1" customWidth="1"/>
    <col min="6671" max="6671" width="6" style="3567" bestFit="1" customWidth="1"/>
    <col min="6672" max="6912" width="11" style="3567"/>
    <col min="6913" max="6913" width="5.625" style="3567" bestFit="1" customWidth="1"/>
    <col min="6914" max="6914" width="17.125" style="3567" bestFit="1" customWidth="1"/>
    <col min="6915" max="6915" width="27.25" style="3567" bestFit="1" customWidth="1"/>
    <col min="6916" max="6916" width="17.125" style="3567" bestFit="1" customWidth="1"/>
    <col min="6917" max="6917" width="10.25" style="3567" bestFit="1" customWidth="1"/>
    <col min="6918" max="6918" width="14.625" style="3567" customWidth="1"/>
    <col min="6919" max="6919" width="10.25" style="3567" bestFit="1" customWidth="1"/>
    <col min="6920" max="6922" width="10.5" style="3567" bestFit="1" customWidth="1"/>
    <col min="6923" max="6923" width="9.75" style="3567" bestFit="1" customWidth="1"/>
    <col min="6924" max="6925" width="12.25" style="3567" bestFit="1" customWidth="1"/>
    <col min="6926" max="6926" width="7.5" style="3567" bestFit="1" customWidth="1"/>
    <col min="6927" max="6927" width="6" style="3567" bestFit="1" customWidth="1"/>
    <col min="6928" max="7168" width="11" style="3567"/>
    <col min="7169" max="7169" width="5.625" style="3567" bestFit="1" customWidth="1"/>
    <col min="7170" max="7170" width="17.125" style="3567" bestFit="1" customWidth="1"/>
    <col min="7171" max="7171" width="27.25" style="3567" bestFit="1" customWidth="1"/>
    <col min="7172" max="7172" width="17.125" style="3567" bestFit="1" customWidth="1"/>
    <col min="7173" max="7173" width="10.25" style="3567" bestFit="1" customWidth="1"/>
    <col min="7174" max="7174" width="14.625" style="3567" customWidth="1"/>
    <col min="7175" max="7175" width="10.25" style="3567" bestFit="1" customWidth="1"/>
    <col min="7176" max="7178" width="10.5" style="3567" bestFit="1" customWidth="1"/>
    <col min="7179" max="7179" width="9.75" style="3567" bestFit="1" customWidth="1"/>
    <col min="7180" max="7181" width="12.25" style="3567" bestFit="1" customWidth="1"/>
    <col min="7182" max="7182" width="7.5" style="3567" bestFit="1" customWidth="1"/>
    <col min="7183" max="7183" width="6" style="3567" bestFit="1" customWidth="1"/>
    <col min="7184" max="7424" width="11" style="3567"/>
    <col min="7425" max="7425" width="5.625" style="3567" bestFit="1" customWidth="1"/>
    <col min="7426" max="7426" width="17.125" style="3567" bestFit="1" customWidth="1"/>
    <col min="7427" max="7427" width="27.25" style="3567" bestFit="1" customWidth="1"/>
    <col min="7428" max="7428" width="17.125" style="3567" bestFit="1" customWidth="1"/>
    <col min="7429" max="7429" width="10.25" style="3567" bestFit="1" customWidth="1"/>
    <col min="7430" max="7430" width="14.625" style="3567" customWidth="1"/>
    <col min="7431" max="7431" width="10.25" style="3567" bestFit="1" customWidth="1"/>
    <col min="7432" max="7434" width="10.5" style="3567" bestFit="1" customWidth="1"/>
    <col min="7435" max="7435" width="9.75" style="3567" bestFit="1" customWidth="1"/>
    <col min="7436" max="7437" width="12.25" style="3567" bestFit="1" customWidth="1"/>
    <col min="7438" max="7438" width="7.5" style="3567" bestFit="1" customWidth="1"/>
    <col min="7439" max="7439" width="6" style="3567" bestFit="1" customWidth="1"/>
    <col min="7440" max="7680" width="11" style="3567"/>
    <col min="7681" max="7681" width="5.625" style="3567" bestFit="1" customWidth="1"/>
    <col min="7682" max="7682" width="17.125" style="3567" bestFit="1" customWidth="1"/>
    <col min="7683" max="7683" width="27.25" style="3567" bestFit="1" customWidth="1"/>
    <col min="7684" max="7684" width="17.125" style="3567" bestFit="1" customWidth="1"/>
    <col min="7685" max="7685" width="10.25" style="3567" bestFit="1" customWidth="1"/>
    <col min="7686" max="7686" width="14.625" style="3567" customWidth="1"/>
    <col min="7687" max="7687" width="10.25" style="3567" bestFit="1" customWidth="1"/>
    <col min="7688" max="7690" width="10.5" style="3567" bestFit="1" customWidth="1"/>
    <col min="7691" max="7691" width="9.75" style="3567" bestFit="1" customWidth="1"/>
    <col min="7692" max="7693" width="12.25" style="3567" bestFit="1" customWidth="1"/>
    <col min="7694" max="7694" width="7.5" style="3567" bestFit="1" customWidth="1"/>
    <col min="7695" max="7695" width="6" style="3567" bestFit="1" customWidth="1"/>
    <col min="7696" max="7936" width="11" style="3567"/>
    <col min="7937" max="7937" width="5.625" style="3567" bestFit="1" customWidth="1"/>
    <col min="7938" max="7938" width="17.125" style="3567" bestFit="1" customWidth="1"/>
    <col min="7939" max="7939" width="27.25" style="3567" bestFit="1" customWidth="1"/>
    <col min="7940" max="7940" width="17.125" style="3567" bestFit="1" customWidth="1"/>
    <col min="7941" max="7941" width="10.25" style="3567" bestFit="1" customWidth="1"/>
    <col min="7942" max="7942" width="14.625" style="3567" customWidth="1"/>
    <col min="7943" max="7943" width="10.25" style="3567" bestFit="1" customWidth="1"/>
    <col min="7944" max="7946" width="10.5" style="3567" bestFit="1" customWidth="1"/>
    <col min="7947" max="7947" width="9.75" style="3567" bestFit="1" customWidth="1"/>
    <col min="7948" max="7949" width="12.25" style="3567" bestFit="1" customWidth="1"/>
    <col min="7950" max="7950" width="7.5" style="3567" bestFit="1" customWidth="1"/>
    <col min="7951" max="7951" width="6" style="3567" bestFit="1" customWidth="1"/>
    <col min="7952" max="8192" width="11" style="3567"/>
    <col min="8193" max="8193" width="5.625" style="3567" bestFit="1" customWidth="1"/>
    <col min="8194" max="8194" width="17.125" style="3567" bestFit="1" customWidth="1"/>
    <col min="8195" max="8195" width="27.25" style="3567" bestFit="1" customWidth="1"/>
    <col min="8196" max="8196" width="17.125" style="3567" bestFit="1" customWidth="1"/>
    <col min="8197" max="8197" width="10.25" style="3567" bestFit="1" customWidth="1"/>
    <col min="8198" max="8198" width="14.625" style="3567" customWidth="1"/>
    <col min="8199" max="8199" width="10.25" style="3567" bestFit="1" customWidth="1"/>
    <col min="8200" max="8202" width="10.5" style="3567" bestFit="1" customWidth="1"/>
    <col min="8203" max="8203" width="9.75" style="3567" bestFit="1" customWidth="1"/>
    <col min="8204" max="8205" width="12.25" style="3567" bestFit="1" customWidth="1"/>
    <col min="8206" max="8206" width="7.5" style="3567" bestFit="1" customWidth="1"/>
    <col min="8207" max="8207" width="6" style="3567" bestFit="1" customWidth="1"/>
    <col min="8208" max="8448" width="11" style="3567"/>
    <col min="8449" max="8449" width="5.625" style="3567" bestFit="1" customWidth="1"/>
    <col min="8450" max="8450" width="17.125" style="3567" bestFit="1" customWidth="1"/>
    <col min="8451" max="8451" width="27.25" style="3567" bestFit="1" customWidth="1"/>
    <col min="8452" max="8452" width="17.125" style="3567" bestFit="1" customWidth="1"/>
    <col min="8453" max="8453" width="10.25" style="3567" bestFit="1" customWidth="1"/>
    <col min="8454" max="8454" width="14.625" style="3567" customWidth="1"/>
    <col min="8455" max="8455" width="10.25" style="3567" bestFit="1" customWidth="1"/>
    <col min="8456" max="8458" width="10.5" style="3567" bestFit="1" customWidth="1"/>
    <col min="8459" max="8459" width="9.75" style="3567" bestFit="1" customWidth="1"/>
    <col min="8460" max="8461" width="12.25" style="3567" bestFit="1" customWidth="1"/>
    <col min="8462" max="8462" width="7.5" style="3567" bestFit="1" customWidth="1"/>
    <col min="8463" max="8463" width="6" style="3567" bestFit="1" customWidth="1"/>
    <col min="8464" max="8704" width="11" style="3567"/>
    <col min="8705" max="8705" width="5.625" style="3567" bestFit="1" customWidth="1"/>
    <col min="8706" max="8706" width="17.125" style="3567" bestFit="1" customWidth="1"/>
    <col min="8707" max="8707" width="27.25" style="3567" bestFit="1" customWidth="1"/>
    <col min="8708" max="8708" width="17.125" style="3567" bestFit="1" customWidth="1"/>
    <col min="8709" max="8709" width="10.25" style="3567" bestFit="1" customWidth="1"/>
    <col min="8710" max="8710" width="14.625" style="3567" customWidth="1"/>
    <col min="8711" max="8711" width="10.25" style="3567" bestFit="1" customWidth="1"/>
    <col min="8712" max="8714" width="10.5" style="3567" bestFit="1" customWidth="1"/>
    <col min="8715" max="8715" width="9.75" style="3567" bestFit="1" customWidth="1"/>
    <col min="8716" max="8717" width="12.25" style="3567" bestFit="1" customWidth="1"/>
    <col min="8718" max="8718" width="7.5" style="3567" bestFit="1" customWidth="1"/>
    <col min="8719" max="8719" width="6" style="3567" bestFit="1" customWidth="1"/>
    <col min="8720" max="8960" width="11" style="3567"/>
    <col min="8961" max="8961" width="5.625" style="3567" bestFit="1" customWidth="1"/>
    <col min="8962" max="8962" width="17.125" style="3567" bestFit="1" customWidth="1"/>
    <col min="8963" max="8963" width="27.25" style="3567" bestFit="1" customWidth="1"/>
    <col min="8964" max="8964" width="17.125" style="3567" bestFit="1" customWidth="1"/>
    <col min="8965" max="8965" width="10.25" style="3567" bestFit="1" customWidth="1"/>
    <col min="8966" max="8966" width="14.625" style="3567" customWidth="1"/>
    <col min="8967" max="8967" width="10.25" style="3567" bestFit="1" customWidth="1"/>
    <col min="8968" max="8970" width="10.5" style="3567" bestFit="1" customWidth="1"/>
    <col min="8971" max="8971" width="9.75" style="3567" bestFit="1" customWidth="1"/>
    <col min="8972" max="8973" width="12.25" style="3567" bestFit="1" customWidth="1"/>
    <col min="8974" max="8974" width="7.5" style="3567" bestFit="1" customWidth="1"/>
    <col min="8975" max="8975" width="6" style="3567" bestFit="1" customWidth="1"/>
    <col min="8976" max="9216" width="11" style="3567"/>
    <col min="9217" max="9217" width="5.625" style="3567" bestFit="1" customWidth="1"/>
    <col min="9218" max="9218" width="17.125" style="3567" bestFit="1" customWidth="1"/>
    <col min="9219" max="9219" width="27.25" style="3567" bestFit="1" customWidth="1"/>
    <col min="9220" max="9220" width="17.125" style="3567" bestFit="1" customWidth="1"/>
    <col min="9221" max="9221" width="10.25" style="3567" bestFit="1" customWidth="1"/>
    <col min="9222" max="9222" width="14.625" style="3567" customWidth="1"/>
    <col min="9223" max="9223" width="10.25" style="3567" bestFit="1" customWidth="1"/>
    <col min="9224" max="9226" width="10.5" style="3567" bestFit="1" customWidth="1"/>
    <col min="9227" max="9227" width="9.75" style="3567" bestFit="1" customWidth="1"/>
    <col min="9228" max="9229" width="12.25" style="3567" bestFit="1" customWidth="1"/>
    <col min="9230" max="9230" width="7.5" style="3567" bestFit="1" customWidth="1"/>
    <col min="9231" max="9231" width="6" style="3567" bestFit="1" customWidth="1"/>
    <col min="9232" max="9472" width="11" style="3567"/>
    <col min="9473" max="9473" width="5.625" style="3567" bestFit="1" customWidth="1"/>
    <col min="9474" max="9474" width="17.125" style="3567" bestFit="1" customWidth="1"/>
    <col min="9475" max="9475" width="27.25" style="3567" bestFit="1" customWidth="1"/>
    <col min="9476" max="9476" width="17.125" style="3567" bestFit="1" customWidth="1"/>
    <col min="9477" max="9477" width="10.25" style="3567" bestFit="1" customWidth="1"/>
    <col min="9478" max="9478" width="14.625" style="3567" customWidth="1"/>
    <col min="9479" max="9479" width="10.25" style="3567" bestFit="1" customWidth="1"/>
    <col min="9480" max="9482" width="10.5" style="3567" bestFit="1" customWidth="1"/>
    <col min="9483" max="9483" width="9.75" style="3567" bestFit="1" customWidth="1"/>
    <col min="9484" max="9485" width="12.25" style="3567" bestFit="1" customWidth="1"/>
    <col min="9486" max="9486" width="7.5" style="3567" bestFit="1" customWidth="1"/>
    <col min="9487" max="9487" width="6" style="3567" bestFit="1" customWidth="1"/>
    <col min="9488" max="9728" width="11" style="3567"/>
    <col min="9729" max="9729" width="5.625" style="3567" bestFit="1" customWidth="1"/>
    <col min="9730" max="9730" width="17.125" style="3567" bestFit="1" customWidth="1"/>
    <col min="9731" max="9731" width="27.25" style="3567" bestFit="1" customWidth="1"/>
    <col min="9732" max="9732" width="17.125" style="3567" bestFit="1" customWidth="1"/>
    <col min="9733" max="9733" width="10.25" style="3567" bestFit="1" customWidth="1"/>
    <col min="9734" max="9734" width="14.625" style="3567" customWidth="1"/>
    <col min="9735" max="9735" width="10.25" style="3567" bestFit="1" customWidth="1"/>
    <col min="9736" max="9738" width="10.5" style="3567" bestFit="1" customWidth="1"/>
    <col min="9739" max="9739" width="9.75" style="3567" bestFit="1" customWidth="1"/>
    <col min="9740" max="9741" width="12.25" style="3567" bestFit="1" customWidth="1"/>
    <col min="9742" max="9742" width="7.5" style="3567" bestFit="1" customWidth="1"/>
    <col min="9743" max="9743" width="6" style="3567" bestFit="1" customWidth="1"/>
    <col min="9744" max="9984" width="11" style="3567"/>
    <col min="9985" max="9985" width="5.625" style="3567" bestFit="1" customWidth="1"/>
    <col min="9986" max="9986" width="17.125" style="3567" bestFit="1" customWidth="1"/>
    <col min="9987" max="9987" width="27.25" style="3567" bestFit="1" customWidth="1"/>
    <col min="9988" max="9988" width="17.125" style="3567" bestFit="1" customWidth="1"/>
    <col min="9989" max="9989" width="10.25" style="3567" bestFit="1" customWidth="1"/>
    <col min="9990" max="9990" width="14.625" style="3567" customWidth="1"/>
    <col min="9991" max="9991" width="10.25" style="3567" bestFit="1" customWidth="1"/>
    <col min="9992" max="9994" width="10.5" style="3567" bestFit="1" customWidth="1"/>
    <col min="9995" max="9995" width="9.75" style="3567" bestFit="1" customWidth="1"/>
    <col min="9996" max="9997" width="12.25" style="3567" bestFit="1" customWidth="1"/>
    <col min="9998" max="9998" width="7.5" style="3567" bestFit="1" customWidth="1"/>
    <col min="9999" max="9999" width="6" style="3567" bestFit="1" customWidth="1"/>
    <col min="10000" max="10240" width="11" style="3567"/>
    <col min="10241" max="10241" width="5.625" style="3567" bestFit="1" customWidth="1"/>
    <col min="10242" max="10242" width="17.125" style="3567" bestFit="1" customWidth="1"/>
    <col min="10243" max="10243" width="27.25" style="3567" bestFit="1" customWidth="1"/>
    <col min="10244" max="10244" width="17.125" style="3567" bestFit="1" customWidth="1"/>
    <col min="10245" max="10245" width="10.25" style="3567" bestFit="1" customWidth="1"/>
    <col min="10246" max="10246" width="14.625" style="3567" customWidth="1"/>
    <col min="10247" max="10247" width="10.25" style="3567" bestFit="1" customWidth="1"/>
    <col min="10248" max="10250" width="10.5" style="3567" bestFit="1" customWidth="1"/>
    <col min="10251" max="10251" width="9.75" style="3567" bestFit="1" customWidth="1"/>
    <col min="10252" max="10253" width="12.25" style="3567" bestFit="1" customWidth="1"/>
    <col min="10254" max="10254" width="7.5" style="3567" bestFit="1" customWidth="1"/>
    <col min="10255" max="10255" width="6" style="3567" bestFit="1" customWidth="1"/>
    <col min="10256" max="10496" width="11" style="3567"/>
    <col min="10497" max="10497" width="5.625" style="3567" bestFit="1" customWidth="1"/>
    <col min="10498" max="10498" width="17.125" style="3567" bestFit="1" customWidth="1"/>
    <col min="10499" max="10499" width="27.25" style="3567" bestFit="1" customWidth="1"/>
    <col min="10500" max="10500" width="17.125" style="3567" bestFit="1" customWidth="1"/>
    <col min="10501" max="10501" width="10.25" style="3567" bestFit="1" customWidth="1"/>
    <col min="10502" max="10502" width="14.625" style="3567" customWidth="1"/>
    <col min="10503" max="10503" width="10.25" style="3567" bestFit="1" customWidth="1"/>
    <col min="10504" max="10506" width="10.5" style="3567" bestFit="1" customWidth="1"/>
    <col min="10507" max="10507" width="9.75" style="3567" bestFit="1" customWidth="1"/>
    <col min="10508" max="10509" width="12.25" style="3567" bestFit="1" customWidth="1"/>
    <col min="10510" max="10510" width="7.5" style="3567" bestFit="1" customWidth="1"/>
    <col min="10511" max="10511" width="6" style="3567" bestFit="1" customWidth="1"/>
    <col min="10512" max="10752" width="11" style="3567"/>
    <col min="10753" max="10753" width="5.625" style="3567" bestFit="1" customWidth="1"/>
    <col min="10754" max="10754" width="17.125" style="3567" bestFit="1" customWidth="1"/>
    <col min="10755" max="10755" width="27.25" style="3567" bestFit="1" customWidth="1"/>
    <col min="10756" max="10756" width="17.125" style="3567" bestFit="1" customWidth="1"/>
    <col min="10757" max="10757" width="10.25" style="3567" bestFit="1" customWidth="1"/>
    <col min="10758" max="10758" width="14.625" style="3567" customWidth="1"/>
    <col min="10759" max="10759" width="10.25" style="3567" bestFit="1" customWidth="1"/>
    <col min="10760" max="10762" width="10.5" style="3567" bestFit="1" customWidth="1"/>
    <col min="10763" max="10763" width="9.75" style="3567" bestFit="1" customWidth="1"/>
    <col min="10764" max="10765" width="12.25" style="3567" bestFit="1" customWidth="1"/>
    <col min="10766" max="10766" width="7.5" style="3567" bestFit="1" customWidth="1"/>
    <col min="10767" max="10767" width="6" style="3567" bestFit="1" customWidth="1"/>
    <col min="10768" max="11008" width="11" style="3567"/>
    <col min="11009" max="11009" width="5.625" style="3567" bestFit="1" customWidth="1"/>
    <col min="11010" max="11010" width="17.125" style="3567" bestFit="1" customWidth="1"/>
    <col min="11011" max="11011" width="27.25" style="3567" bestFit="1" customWidth="1"/>
    <col min="11012" max="11012" width="17.125" style="3567" bestFit="1" customWidth="1"/>
    <col min="11013" max="11013" width="10.25" style="3567" bestFit="1" customWidth="1"/>
    <col min="11014" max="11014" width="14.625" style="3567" customWidth="1"/>
    <col min="11015" max="11015" width="10.25" style="3567" bestFit="1" customWidth="1"/>
    <col min="11016" max="11018" width="10.5" style="3567" bestFit="1" customWidth="1"/>
    <col min="11019" max="11019" width="9.75" style="3567" bestFit="1" customWidth="1"/>
    <col min="11020" max="11021" width="12.25" style="3567" bestFit="1" customWidth="1"/>
    <col min="11022" max="11022" width="7.5" style="3567" bestFit="1" customWidth="1"/>
    <col min="11023" max="11023" width="6" style="3567" bestFit="1" customWidth="1"/>
    <col min="11024" max="11264" width="11" style="3567"/>
    <col min="11265" max="11265" width="5.625" style="3567" bestFit="1" customWidth="1"/>
    <col min="11266" max="11266" width="17.125" style="3567" bestFit="1" customWidth="1"/>
    <col min="11267" max="11267" width="27.25" style="3567" bestFit="1" customWidth="1"/>
    <col min="11268" max="11268" width="17.125" style="3567" bestFit="1" customWidth="1"/>
    <col min="11269" max="11269" width="10.25" style="3567" bestFit="1" customWidth="1"/>
    <col min="11270" max="11270" width="14.625" style="3567" customWidth="1"/>
    <col min="11271" max="11271" width="10.25" style="3567" bestFit="1" customWidth="1"/>
    <col min="11272" max="11274" width="10.5" style="3567" bestFit="1" customWidth="1"/>
    <col min="11275" max="11275" width="9.75" style="3567" bestFit="1" customWidth="1"/>
    <col min="11276" max="11277" width="12.25" style="3567" bestFit="1" customWidth="1"/>
    <col min="11278" max="11278" width="7.5" style="3567" bestFit="1" customWidth="1"/>
    <col min="11279" max="11279" width="6" style="3567" bestFit="1" customWidth="1"/>
    <col min="11280" max="11520" width="11" style="3567"/>
    <col min="11521" max="11521" width="5.625" style="3567" bestFit="1" customWidth="1"/>
    <col min="11522" max="11522" width="17.125" style="3567" bestFit="1" customWidth="1"/>
    <col min="11523" max="11523" width="27.25" style="3567" bestFit="1" customWidth="1"/>
    <col min="11524" max="11524" width="17.125" style="3567" bestFit="1" customWidth="1"/>
    <col min="11525" max="11525" width="10.25" style="3567" bestFit="1" customWidth="1"/>
    <col min="11526" max="11526" width="14.625" style="3567" customWidth="1"/>
    <col min="11527" max="11527" width="10.25" style="3567" bestFit="1" customWidth="1"/>
    <col min="11528" max="11530" width="10.5" style="3567" bestFit="1" customWidth="1"/>
    <col min="11531" max="11531" width="9.75" style="3567" bestFit="1" customWidth="1"/>
    <col min="11532" max="11533" width="12.25" style="3567" bestFit="1" customWidth="1"/>
    <col min="11534" max="11534" width="7.5" style="3567" bestFit="1" customWidth="1"/>
    <col min="11535" max="11535" width="6" style="3567" bestFit="1" customWidth="1"/>
    <col min="11536" max="11776" width="11" style="3567"/>
    <col min="11777" max="11777" width="5.625" style="3567" bestFit="1" customWidth="1"/>
    <col min="11778" max="11778" width="17.125" style="3567" bestFit="1" customWidth="1"/>
    <col min="11779" max="11779" width="27.25" style="3567" bestFit="1" customWidth="1"/>
    <col min="11780" max="11780" width="17.125" style="3567" bestFit="1" customWidth="1"/>
    <col min="11781" max="11781" width="10.25" style="3567" bestFit="1" customWidth="1"/>
    <col min="11782" max="11782" width="14.625" style="3567" customWidth="1"/>
    <col min="11783" max="11783" width="10.25" style="3567" bestFit="1" customWidth="1"/>
    <col min="11784" max="11786" width="10.5" style="3567" bestFit="1" customWidth="1"/>
    <col min="11787" max="11787" width="9.75" style="3567" bestFit="1" customWidth="1"/>
    <col min="11788" max="11789" width="12.25" style="3567" bestFit="1" customWidth="1"/>
    <col min="11790" max="11790" width="7.5" style="3567" bestFit="1" customWidth="1"/>
    <col min="11791" max="11791" width="6" style="3567" bestFit="1" customWidth="1"/>
    <col min="11792" max="12032" width="11" style="3567"/>
    <col min="12033" max="12033" width="5.625" style="3567" bestFit="1" customWidth="1"/>
    <col min="12034" max="12034" width="17.125" style="3567" bestFit="1" customWidth="1"/>
    <col min="12035" max="12035" width="27.25" style="3567" bestFit="1" customWidth="1"/>
    <col min="12036" max="12036" width="17.125" style="3567" bestFit="1" customWidth="1"/>
    <col min="12037" max="12037" width="10.25" style="3567" bestFit="1" customWidth="1"/>
    <col min="12038" max="12038" width="14.625" style="3567" customWidth="1"/>
    <col min="12039" max="12039" width="10.25" style="3567" bestFit="1" customWidth="1"/>
    <col min="12040" max="12042" width="10.5" style="3567" bestFit="1" customWidth="1"/>
    <col min="12043" max="12043" width="9.75" style="3567" bestFit="1" customWidth="1"/>
    <col min="12044" max="12045" width="12.25" style="3567" bestFit="1" customWidth="1"/>
    <col min="12046" max="12046" width="7.5" style="3567" bestFit="1" customWidth="1"/>
    <col min="12047" max="12047" width="6" style="3567" bestFit="1" customWidth="1"/>
    <col min="12048" max="12288" width="11" style="3567"/>
    <col min="12289" max="12289" width="5.625" style="3567" bestFit="1" customWidth="1"/>
    <col min="12290" max="12290" width="17.125" style="3567" bestFit="1" customWidth="1"/>
    <col min="12291" max="12291" width="27.25" style="3567" bestFit="1" customWidth="1"/>
    <col min="12292" max="12292" width="17.125" style="3567" bestFit="1" customWidth="1"/>
    <col min="12293" max="12293" width="10.25" style="3567" bestFit="1" customWidth="1"/>
    <col min="12294" max="12294" width="14.625" style="3567" customWidth="1"/>
    <col min="12295" max="12295" width="10.25" style="3567" bestFit="1" customWidth="1"/>
    <col min="12296" max="12298" width="10.5" style="3567" bestFit="1" customWidth="1"/>
    <col min="12299" max="12299" width="9.75" style="3567" bestFit="1" customWidth="1"/>
    <col min="12300" max="12301" width="12.25" style="3567" bestFit="1" customWidth="1"/>
    <col min="12302" max="12302" width="7.5" style="3567" bestFit="1" customWidth="1"/>
    <col min="12303" max="12303" width="6" style="3567" bestFit="1" customWidth="1"/>
    <col min="12304" max="12544" width="11" style="3567"/>
    <col min="12545" max="12545" width="5.625" style="3567" bestFit="1" customWidth="1"/>
    <col min="12546" max="12546" width="17.125" style="3567" bestFit="1" customWidth="1"/>
    <col min="12547" max="12547" width="27.25" style="3567" bestFit="1" customWidth="1"/>
    <col min="12548" max="12548" width="17.125" style="3567" bestFit="1" customWidth="1"/>
    <col min="12549" max="12549" width="10.25" style="3567" bestFit="1" customWidth="1"/>
    <col min="12550" max="12550" width="14.625" style="3567" customWidth="1"/>
    <col min="12551" max="12551" width="10.25" style="3567" bestFit="1" customWidth="1"/>
    <col min="12552" max="12554" width="10.5" style="3567" bestFit="1" customWidth="1"/>
    <col min="12555" max="12555" width="9.75" style="3567" bestFit="1" customWidth="1"/>
    <col min="12556" max="12557" width="12.25" style="3567" bestFit="1" customWidth="1"/>
    <col min="12558" max="12558" width="7.5" style="3567" bestFit="1" customWidth="1"/>
    <col min="12559" max="12559" width="6" style="3567" bestFit="1" customWidth="1"/>
    <col min="12560" max="12800" width="11" style="3567"/>
    <col min="12801" max="12801" width="5.625" style="3567" bestFit="1" customWidth="1"/>
    <col min="12802" max="12802" width="17.125" style="3567" bestFit="1" customWidth="1"/>
    <col min="12803" max="12803" width="27.25" style="3567" bestFit="1" customWidth="1"/>
    <col min="12804" max="12804" width="17.125" style="3567" bestFit="1" customWidth="1"/>
    <col min="12805" max="12805" width="10.25" style="3567" bestFit="1" customWidth="1"/>
    <col min="12806" max="12806" width="14.625" style="3567" customWidth="1"/>
    <col min="12807" max="12807" width="10.25" style="3567" bestFit="1" customWidth="1"/>
    <col min="12808" max="12810" width="10.5" style="3567" bestFit="1" customWidth="1"/>
    <col min="12811" max="12811" width="9.75" style="3567" bestFit="1" customWidth="1"/>
    <col min="12812" max="12813" width="12.25" style="3567" bestFit="1" customWidth="1"/>
    <col min="12814" max="12814" width="7.5" style="3567" bestFit="1" customWidth="1"/>
    <col min="12815" max="12815" width="6" style="3567" bestFit="1" customWidth="1"/>
    <col min="12816" max="13056" width="11" style="3567"/>
    <col min="13057" max="13057" width="5.625" style="3567" bestFit="1" customWidth="1"/>
    <col min="13058" max="13058" width="17.125" style="3567" bestFit="1" customWidth="1"/>
    <col min="13059" max="13059" width="27.25" style="3567" bestFit="1" customWidth="1"/>
    <col min="13060" max="13060" width="17.125" style="3567" bestFit="1" customWidth="1"/>
    <col min="13061" max="13061" width="10.25" style="3567" bestFit="1" customWidth="1"/>
    <col min="13062" max="13062" width="14.625" style="3567" customWidth="1"/>
    <col min="13063" max="13063" width="10.25" style="3567" bestFit="1" customWidth="1"/>
    <col min="13064" max="13066" width="10.5" style="3567" bestFit="1" customWidth="1"/>
    <col min="13067" max="13067" width="9.75" style="3567" bestFit="1" customWidth="1"/>
    <col min="13068" max="13069" width="12.25" style="3567" bestFit="1" customWidth="1"/>
    <col min="13070" max="13070" width="7.5" style="3567" bestFit="1" customWidth="1"/>
    <col min="13071" max="13071" width="6" style="3567" bestFit="1" customWidth="1"/>
    <col min="13072" max="13312" width="11" style="3567"/>
    <col min="13313" max="13313" width="5.625" style="3567" bestFit="1" customWidth="1"/>
    <col min="13314" max="13314" width="17.125" style="3567" bestFit="1" customWidth="1"/>
    <col min="13315" max="13315" width="27.25" style="3567" bestFit="1" customWidth="1"/>
    <col min="13316" max="13316" width="17.125" style="3567" bestFit="1" customWidth="1"/>
    <col min="13317" max="13317" width="10.25" style="3567" bestFit="1" customWidth="1"/>
    <col min="13318" max="13318" width="14.625" style="3567" customWidth="1"/>
    <col min="13319" max="13319" width="10.25" style="3567" bestFit="1" customWidth="1"/>
    <col min="13320" max="13322" width="10.5" style="3567" bestFit="1" customWidth="1"/>
    <col min="13323" max="13323" width="9.75" style="3567" bestFit="1" customWidth="1"/>
    <col min="13324" max="13325" width="12.25" style="3567" bestFit="1" customWidth="1"/>
    <col min="13326" max="13326" width="7.5" style="3567" bestFit="1" customWidth="1"/>
    <col min="13327" max="13327" width="6" style="3567" bestFit="1" customWidth="1"/>
    <col min="13328" max="13568" width="11" style="3567"/>
    <col min="13569" max="13569" width="5.625" style="3567" bestFit="1" customWidth="1"/>
    <col min="13570" max="13570" width="17.125" style="3567" bestFit="1" customWidth="1"/>
    <col min="13571" max="13571" width="27.25" style="3567" bestFit="1" customWidth="1"/>
    <col min="13572" max="13572" width="17.125" style="3567" bestFit="1" customWidth="1"/>
    <col min="13573" max="13573" width="10.25" style="3567" bestFit="1" customWidth="1"/>
    <col min="13574" max="13574" width="14.625" style="3567" customWidth="1"/>
    <col min="13575" max="13575" width="10.25" style="3567" bestFit="1" customWidth="1"/>
    <col min="13576" max="13578" width="10.5" style="3567" bestFit="1" customWidth="1"/>
    <col min="13579" max="13579" width="9.75" style="3567" bestFit="1" customWidth="1"/>
    <col min="13580" max="13581" width="12.25" style="3567" bestFit="1" customWidth="1"/>
    <col min="13582" max="13582" width="7.5" style="3567" bestFit="1" customWidth="1"/>
    <col min="13583" max="13583" width="6" style="3567" bestFit="1" customWidth="1"/>
    <col min="13584" max="13824" width="11" style="3567"/>
    <col min="13825" max="13825" width="5.625" style="3567" bestFit="1" customWidth="1"/>
    <col min="13826" max="13826" width="17.125" style="3567" bestFit="1" customWidth="1"/>
    <col min="13827" max="13827" width="27.25" style="3567" bestFit="1" customWidth="1"/>
    <col min="13828" max="13828" width="17.125" style="3567" bestFit="1" customWidth="1"/>
    <col min="13829" max="13829" width="10.25" style="3567" bestFit="1" customWidth="1"/>
    <col min="13830" max="13830" width="14.625" style="3567" customWidth="1"/>
    <col min="13831" max="13831" width="10.25" style="3567" bestFit="1" customWidth="1"/>
    <col min="13832" max="13834" width="10.5" style="3567" bestFit="1" customWidth="1"/>
    <col min="13835" max="13835" width="9.75" style="3567" bestFit="1" customWidth="1"/>
    <col min="13836" max="13837" width="12.25" style="3567" bestFit="1" customWidth="1"/>
    <col min="13838" max="13838" width="7.5" style="3567" bestFit="1" customWidth="1"/>
    <col min="13839" max="13839" width="6" style="3567" bestFit="1" customWidth="1"/>
    <col min="13840" max="14080" width="11" style="3567"/>
    <col min="14081" max="14081" width="5.625" style="3567" bestFit="1" customWidth="1"/>
    <col min="14082" max="14082" width="17.125" style="3567" bestFit="1" customWidth="1"/>
    <col min="14083" max="14083" width="27.25" style="3567" bestFit="1" customWidth="1"/>
    <col min="14084" max="14084" width="17.125" style="3567" bestFit="1" customWidth="1"/>
    <col min="14085" max="14085" width="10.25" style="3567" bestFit="1" customWidth="1"/>
    <col min="14086" max="14086" width="14.625" style="3567" customWidth="1"/>
    <col min="14087" max="14087" width="10.25" style="3567" bestFit="1" customWidth="1"/>
    <col min="14088" max="14090" width="10.5" style="3567" bestFit="1" customWidth="1"/>
    <col min="14091" max="14091" width="9.75" style="3567" bestFit="1" customWidth="1"/>
    <col min="14092" max="14093" width="12.25" style="3567" bestFit="1" customWidth="1"/>
    <col min="14094" max="14094" width="7.5" style="3567" bestFit="1" customWidth="1"/>
    <col min="14095" max="14095" width="6" style="3567" bestFit="1" customWidth="1"/>
    <col min="14096" max="14336" width="11" style="3567"/>
    <col min="14337" max="14337" width="5.625" style="3567" bestFit="1" customWidth="1"/>
    <col min="14338" max="14338" width="17.125" style="3567" bestFit="1" customWidth="1"/>
    <col min="14339" max="14339" width="27.25" style="3567" bestFit="1" customWidth="1"/>
    <col min="14340" max="14340" width="17.125" style="3567" bestFit="1" customWidth="1"/>
    <col min="14341" max="14341" width="10.25" style="3567" bestFit="1" customWidth="1"/>
    <col min="14342" max="14342" width="14.625" style="3567" customWidth="1"/>
    <col min="14343" max="14343" width="10.25" style="3567" bestFit="1" customWidth="1"/>
    <col min="14344" max="14346" width="10.5" style="3567" bestFit="1" customWidth="1"/>
    <col min="14347" max="14347" width="9.75" style="3567" bestFit="1" customWidth="1"/>
    <col min="14348" max="14349" width="12.25" style="3567" bestFit="1" customWidth="1"/>
    <col min="14350" max="14350" width="7.5" style="3567" bestFit="1" customWidth="1"/>
    <col min="14351" max="14351" width="6" style="3567" bestFit="1" customWidth="1"/>
    <col min="14352" max="14592" width="11" style="3567"/>
    <col min="14593" max="14593" width="5.625" style="3567" bestFit="1" customWidth="1"/>
    <col min="14594" max="14594" width="17.125" style="3567" bestFit="1" customWidth="1"/>
    <col min="14595" max="14595" width="27.25" style="3567" bestFit="1" customWidth="1"/>
    <col min="14596" max="14596" width="17.125" style="3567" bestFit="1" customWidth="1"/>
    <col min="14597" max="14597" width="10.25" style="3567" bestFit="1" customWidth="1"/>
    <col min="14598" max="14598" width="14.625" style="3567" customWidth="1"/>
    <col min="14599" max="14599" width="10.25" style="3567" bestFit="1" customWidth="1"/>
    <col min="14600" max="14602" width="10.5" style="3567" bestFit="1" customWidth="1"/>
    <col min="14603" max="14603" width="9.75" style="3567" bestFit="1" customWidth="1"/>
    <col min="14604" max="14605" width="12.25" style="3567" bestFit="1" customWidth="1"/>
    <col min="14606" max="14606" width="7.5" style="3567" bestFit="1" customWidth="1"/>
    <col min="14607" max="14607" width="6" style="3567" bestFit="1" customWidth="1"/>
    <col min="14608" max="14848" width="11" style="3567"/>
    <col min="14849" max="14849" width="5.625" style="3567" bestFit="1" customWidth="1"/>
    <col min="14850" max="14850" width="17.125" style="3567" bestFit="1" customWidth="1"/>
    <col min="14851" max="14851" width="27.25" style="3567" bestFit="1" customWidth="1"/>
    <col min="14852" max="14852" width="17.125" style="3567" bestFit="1" customWidth="1"/>
    <col min="14853" max="14853" width="10.25" style="3567" bestFit="1" customWidth="1"/>
    <col min="14854" max="14854" width="14.625" style="3567" customWidth="1"/>
    <col min="14855" max="14855" width="10.25" style="3567" bestFit="1" customWidth="1"/>
    <col min="14856" max="14858" width="10.5" style="3567" bestFit="1" customWidth="1"/>
    <col min="14859" max="14859" width="9.75" style="3567" bestFit="1" customWidth="1"/>
    <col min="14860" max="14861" width="12.25" style="3567" bestFit="1" customWidth="1"/>
    <col min="14862" max="14862" width="7.5" style="3567" bestFit="1" customWidth="1"/>
    <col min="14863" max="14863" width="6" style="3567" bestFit="1" customWidth="1"/>
    <col min="14864" max="15104" width="11" style="3567"/>
    <col min="15105" max="15105" width="5.625" style="3567" bestFit="1" customWidth="1"/>
    <col min="15106" max="15106" width="17.125" style="3567" bestFit="1" customWidth="1"/>
    <col min="15107" max="15107" width="27.25" style="3567" bestFit="1" customWidth="1"/>
    <col min="15108" max="15108" width="17.125" style="3567" bestFit="1" customWidth="1"/>
    <col min="15109" max="15109" width="10.25" style="3567" bestFit="1" customWidth="1"/>
    <col min="15110" max="15110" width="14.625" style="3567" customWidth="1"/>
    <col min="15111" max="15111" width="10.25" style="3567" bestFit="1" customWidth="1"/>
    <col min="15112" max="15114" width="10.5" style="3567" bestFit="1" customWidth="1"/>
    <col min="15115" max="15115" width="9.75" style="3567" bestFit="1" customWidth="1"/>
    <col min="15116" max="15117" width="12.25" style="3567" bestFit="1" customWidth="1"/>
    <col min="15118" max="15118" width="7.5" style="3567" bestFit="1" customWidth="1"/>
    <col min="15119" max="15119" width="6" style="3567" bestFit="1" customWidth="1"/>
    <col min="15120" max="15360" width="11" style="3567"/>
    <col min="15361" max="15361" width="5.625" style="3567" bestFit="1" customWidth="1"/>
    <col min="15362" max="15362" width="17.125" style="3567" bestFit="1" customWidth="1"/>
    <col min="15363" max="15363" width="27.25" style="3567" bestFit="1" customWidth="1"/>
    <col min="15364" max="15364" width="17.125" style="3567" bestFit="1" customWidth="1"/>
    <col min="15365" max="15365" width="10.25" style="3567" bestFit="1" customWidth="1"/>
    <col min="15366" max="15366" width="14.625" style="3567" customWidth="1"/>
    <col min="15367" max="15367" width="10.25" style="3567" bestFit="1" customWidth="1"/>
    <col min="15368" max="15370" width="10.5" style="3567" bestFit="1" customWidth="1"/>
    <col min="15371" max="15371" width="9.75" style="3567" bestFit="1" customWidth="1"/>
    <col min="15372" max="15373" width="12.25" style="3567" bestFit="1" customWidth="1"/>
    <col min="15374" max="15374" width="7.5" style="3567" bestFit="1" customWidth="1"/>
    <col min="15375" max="15375" width="6" style="3567" bestFit="1" customWidth="1"/>
    <col min="15376" max="15616" width="11" style="3567"/>
    <col min="15617" max="15617" width="5.625" style="3567" bestFit="1" customWidth="1"/>
    <col min="15618" max="15618" width="17.125" style="3567" bestFit="1" customWidth="1"/>
    <col min="15619" max="15619" width="27.25" style="3567" bestFit="1" customWidth="1"/>
    <col min="15620" max="15620" width="17.125" style="3567" bestFit="1" customWidth="1"/>
    <col min="15621" max="15621" width="10.25" style="3567" bestFit="1" customWidth="1"/>
    <col min="15622" max="15622" width="14.625" style="3567" customWidth="1"/>
    <col min="15623" max="15623" width="10.25" style="3567" bestFit="1" customWidth="1"/>
    <col min="15624" max="15626" width="10.5" style="3567" bestFit="1" customWidth="1"/>
    <col min="15627" max="15627" width="9.75" style="3567" bestFit="1" customWidth="1"/>
    <col min="15628" max="15629" width="12.25" style="3567" bestFit="1" customWidth="1"/>
    <col min="15630" max="15630" width="7.5" style="3567" bestFit="1" customWidth="1"/>
    <col min="15631" max="15631" width="6" style="3567" bestFit="1" customWidth="1"/>
    <col min="15632" max="15872" width="11" style="3567"/>
    <col min="15873" max="15873" width="5.625" style="3567" bestFit="1" customWidth="1"/>
    <col min="15874" max="15874" width="17.125" style="3567" bestFit="1" customWidth="1"/>
    <col min="15875" max="15875" width="27.25" style="3567" bestFit="1" customWidth="1"/>
    <col min="15876" max="15876" width="17.125" style="3567" bestFit="1" customWidth="1"/>
    <col min="15877" max="15877" width="10.25" style="3567" bestFit="1" customWidth="1"/>
    <col min="15878" max="15878" width="14.625" style="3567" customWidth="1"/>
    <col min="15879" max="15879" width="10.25" style="3567" bestFit="1" customWidth="1"/>
    <col min="15880" max="15882" width="10.5" style="3567" bestFit="1" customWidth="1"/>
    <col min="15883" max="15883" width="9.75" style="3567" bestFit="1" customWidth="1"/>
    <col min="15884" max="15885" width="12.25" style="3567" bestFit="1" customWidth="1"/>
    <col min="15886" max="15886" width="7.5" style="3567" bestFit="1" customWidth="1"/>
    <col min="15887" max="15887" width="6" style="3567" bestFit="1" customWidth="1"/>
    <col min="15888" max="16128" width="11" style="3567"/>
    <col min="16129" max="16129" width="5.625" style="3567" bestFit="1" customWidth="1"/>
    <col min="16130" max="16130" width="17.125" style="3567" bestFit="1" customWidth="1"/>
    <col min="16131" max="16131" width="27.25" style="3567" bestFit="1" customWidth="1"/>
    <col min="16132" max="16132" width="17.125" style="3567" bestFit="1" customWidth="1"/>
    <col min="16133" max="16133" width="10.25" style="3567" bestFit="1" customWidth="1"/>
    <col min="16134" max="16134" width="14.625" style="3567" customWidth="1"/>
    <col min="16135" max="16135" width="10.25" style="3567" bestFit="1" customWidth="1"/>
    <col min="16136" max="16138" width="10.5" style="3567" bestFit="1" customWidth="1"/>
    <col min="16139" max="16139" width="9.75" style="3567" bestFit="1" customWidth="1"/>
    <col min="16140" max="16141" width="12.25" style="3567" bestFit="1" customWidth="1"/>
    <col min="16142" max="16142" width="7.5" style="3567" bestFit="1" customWidth="1"/>
    <col min="16143" max="16143" width="6" style="3567" bestFit="1" customWidth="1"/>
    <col min="16144" max="16384" width="11" style="3567"/>
  </cols>
  <sheetData>
    <row r="1" spans="1:15">
      <c r="A1" s="4085"/>
      <c r="B1" s="4085"/>
      <c r="C1" s="4085"/>
      <c r="D1" s="4085"/>
      <c r="E1" s="4085"/>
      <c r="F1" s="4085"/>
      <c r="G1" s="4085"/>
      <c r="H1" s="4085"/>
      <c r="I1" s="4085"/>
      <c r="J1" s="4085"/>
      <c r="K1" s="4085"/>
      <c r="L1" s="3566"/>
      <c r="M1" s="3566"/>
      <c r="N1" s="3566"/>
      <c r="O1" s="3566"/>
    </row>
    <row r="2" spans="1:15" ht="22.5">
      <c r="A2" s="3568" t="s">
        <v>3612</v>
      </c>
      <c r="B2" s="3568" t="s">
        <v>3613</v>
      </c>
      <c r="C2" s="3568" t="s">
        <v>3614</v>
      </c>
      <c r="D2" s="3568" t="s">
        <v>3615</v>
      </c>
      <c r="E2" s="3568" t="s">
        <v>3616</v>
      </c>
      <c r="F2" s="3569" t="s">
        <v>3617</v>
      </c>
      <c r="G2" s="3569" t="s">
        <v>3618</v>
      </c>
      <c r="H2" s="3569" t="s">
        <v>3619</v>
      </c>
      <c r="I2" s="3569" t="s">
        <v>3620</v>
      </c>
      <c r="J2" s="3570" t="s">
        <v>3621</v>
      </c>
      <c r="K2" s="3570" t="s">
        <v>3622</v>
      </c>
      <c r="L2" s="3570" t="s">
        <v>3623</v>
      </c>
      <c r="M2" s="3570" t="s">
        <v>3624</v>
      </c>
      <c r="N2" s="3570" t="s">
        <v>3625</v>
      </c>
      <c r="O2" s="3566"/>
    </row>
    <row r="3" spans="1:15" s="3566" customFormat="1">
      <c r="A3" s="4082" t="s">
        <v>3626</v>
      </c>
      <c r="B3" s="3571" t="s">
        <v>3627</v>
      </c>
      <c r="C3" s="3571" t="s">
        <v>3628</v>
      </c>
      <c r="D3" s="3571" t="s">
        <v>3629</v>
      </c>
      <c r="E3" s="3571" t="s">
        <v>3630</v>
      </c>
      <c r="F3" s="3572">
        <v>2278.1</v>
      </c>
      <c r="G3" s="3572"/>
      <c r="H3" s="3573" t="s">
        <v>3631</v>
      </c>
      <c r="I3" s="3574" t="s">
        <v>3632</v>
      </c>
      <c r="J3" s="3575">
        <v>3.2</v>
      </c>
      <c r="K3" s="3576"/>
      <c r="L3" s="3575">
        <f>J3*F3*30</f>
        <v>218697.60000000001</v>
      </c>
      <c r="M3" s="3575">
        <f>F3*1*30</f>
        <v>68343</v>
      </c>
      <c r="N3" s="3577"/>
    </row>
    <row r="4" spans="1:15" s="3566" customFormat="1">
      <c r="A4" s="4083"/>
      <c r="B4" s="3571" t="s">
        <v>3633</v>
      </c>
      <c r="C4" s="3571" t="s">
        <v>3634</v>
      </c>
      <c r="D4" s="3571" t="s">
        <v>3635</v>
      </c>
      <c r="E4" s="3578" t="s">
        <v>3636</v>
      </c>
      <c r="F4" s="3572">
        <v>1350</v>
      </c>
      <c r="G4" s="3572"/>
      <c r="H4" s="3579">
        <v>44409</v>
      </c>
      <c r="I4" s="3579">
        <v>45504</v>
      </c>
      <c r="J4" s="3575">
        <v>1.5</v>
      </c>
      <c r="K4" s="3576" t="s">
        <v>3637</v>
      </c>
      <c r="L4" s="3575">
        <f>J4*365/12*F4</f>
        <v>61593.75</v>
      </c>
      <c r="M4" s="3575">
        <v>0</v>
      </c>
      <c r="N4" s="3577" t="s">
        <v>3638</v>
      </c>
    </row>
    <row r="5" spans="1:15" s="3566" customFormat="1">
      <c r="A5" s="4083"/>
      <c r="B5" s="3571" t="s">
        <v>3639</v>
      </c>
      <c r="C5" s="3580" t="s">
        <v>3640</v>
      </c>
      <c r="D5" s="3580" t="s">
        <v>3641</v>
      </c>
      <c r="E5" s="3578" t="s">
        <v>3636</v>
      </c>
      <c r="F5" s="3572">
        <v>100</v>
      </c>
      <c r="G5" s="3572"/>
      <c r="H5" s="3573" t="s">
        <v>3642</v>
      </c>
      <c r="I5" s="3574">
        <v>45535</v>
      </c>
      <c r="J5" s="3575">
        <v>13.56</v>
      </c>
      <c r="K5" s="3576">
        <v>0.09</v>
      </c>
      <c r="L5" s="3575">
        <f>J5*365/12*F5</f>
        <v>41245.000000000007</v>
      </c>
      <c r="M5" s="3575">
        <f>F5*76</f>
        <v>7600</v>
      </c>
      <c r="N5" s="3577"/>
    </row>
    <row r="6" spans="1:15" s="3566" customFormat="1">
      <c r="A6" s="4083"/>
      <c r="B6" s="3581" t="s">
        <v>3643</v>
      </c>
      <c r="C6" s="3578"/>
      <c r="D6" s="3578"/>
      <c r="E6" s="3578"/>
      <c r="F6" s="3572"/>
      <c r="G6" s="3572">
        <v>131.99</v>
      </c>
      <c r="H6" s="3573"/>
      <c r="I6" s="3582"/>
      <c r="J6" s="3575"/>
      <c r="K6" s="3583"/>
      <c r="L6" s="3575"/>
      <c r="M6" s="3575"/>
      <c r="N6" s="3577"/>
    </row>
    <row r="7" spans="1:15" s="3566" customFormat="1">
      <c r="A7" s="4083"/>
      <c r="B7" s="3571" t="s">
        <v>3644</v>
      </c>
      <c r="C7" s="3584" t="s">
        <v>3645</v>
      </c>
      <c r="D7" s="3584" t="s">
        <v>3646</v>
      </c>
      <c r="E7" s="3584" t="s">
        <v>3647</v>
      </c>
      <c r="F7" s="3585">
        <v>285.10000000000002</v>
      </c>
      <c r="G7" s="3585"/>
      <c r="H7" s="3582" t="s">
        <v>3648</v>
      </c>
      <c r="I7" s="3582" t="s">
        <v>3649</v>
      </c>
      <c r="J7" s="3575">
        <v>12.2</v>
      </c>
      <c r="K7" s="3576">
        <v>0.05</v>
      </c>
      <c r="L7" s="3575">
        <f>J7*30*F7</f>
        <v>104346.6</v>
      </c>
      <c r="M7" s="3575">
        <f>F7*60</f>
        <v>17106</v>
      </c>
      <c r="N7" s="3577"/>
    </row>
    <row r="8" spans="1:15" s="3566" customFormat="1">
      <c r="A8" s="4083"/>
      <c r="B8" s="3571" t="s">
        <v>3650</v>
      </c>
      <c r="C8" s="3580" t="s">
        <v>3651</v>
      </c>
      <c r="D8" s="3584" t="s">
        <v>3652</v>
      </c>
      <c r="E8" s="3580" t="s">
        <v>3653</v>
      </c>
      <c r="F8" s="3572">
        <v>73.05</v>
      </c>
      <c r="G8" s="3572"/>
      <c r="H8" s="3586" t="s">
        <v>3654</v>
      </c>
      <c r="I8" s="3582">
        <v>45025</v>
      </c>
      <c r="J8" s="3575" t="s">
        <v>3655</v>
      </c>
      <c r="K8" s="3576">
        <v>0.2</v>
      </c>
      <c r="L8" s="3575">
        <v>20000</v>
      </c>
      <c r="M8" s="3575">
        <v>0</v>
      </c>
      <c r="N8" s="3577" t="s">
        <v>3656</v>
      </c>
    </row>
    <row r="9" spans="1:15" s="3566" customFormat="1">
      <c r="A9" s="4083"/>
      <c r="B9" s="3571" t="s">
        <v>3657</v>
      </c>
      <c r="C9" s="3580" t="s">
        <v>3658</v>
      </c>
      <c r="D9" s="3584" t="s">
        <v>3659</v>
      </c>
      <c r="E9" s="3580" t="s">
        <v>3653</v>
      </c>
      <c r="F9" s="3572">
        <v>31</v>
      </c>
      <c r="G9" s="3572"/>
      <c r="H9" s="3582">
        <v>44440</v>
      </c>
      <c r="I9" s="3574">
        <v>45169</v>
      </c>
      <c r="J9" s="3575">
        <v>13.28</v>
      </c>
      <c r="K9" s="3576">
        <v>0.15</v>
      </c>
      <c r="L9" s="3575">
        <f>J9*365/12*F9</f>
        <v>12521.933333333334</v>
      </c>
      <c r="M9" s="3575">
        <f>F9*76</f>
        <v>2356</v>
      </c>
      <c r="N9" s="3577"/>
    </row>
    <row r="10" spans="1:15" s="3566" customFormat="1">
      <c r="A10" s="4083"/>
      <c r="B10" s="3587" t="s">
        <v>3660</v>
      </c>
      <c r="C10" s="3584" t="s">
        <v>3661</v>
      </c>
      <c r="D10" s="3584" t="s">
        <v>3662</v>
      </c>
      <c r="E10" s="3584" t="s">
        <v>3653</v>
      </c>
      <c r="F10" s="3585">
        <v>17.5</v>
      </c>
      <c r="G10" s="3585"/>
      <c r="H10" s="3588">
        <v>44713</v>
      </c>
      <c r="I10" s="3588">
        <v>45443</v>
      </c>
      <c r="J10" s="3589"/>
      <c r="K10" s="3590">
        <v>0.18</v>
      </c>
      <c r="L10" s="3575">
        <f>J10*365/12*F10</f>
        <v>0</v>
      </c>
      <c r="M10" s="3575">
        <v>0</v>
      </c>
      <c r="N10" s="3591"/>
      <c r="O10" s="3577" t="s">
        <v>3663</v>
      </c>
    </row>
    <row r="11" spans="1:15" s="3566" customFormat="1">
      <c r="A11" s="4083"/>
      <c r="B11" s="3571" t="s">
        <v>3664</v>
      </c>
      <c r="C11" s="3578" t="s">
        <v>3665</v>
      </c>
      <c r="D11" s="3578" t="s">
        <v>3666</v>
      </c>
      <c r="E11" s="3580" t="s">
        <v>3653</v>
      </c>
      <c r="F11" s="3572">
        <v>26.7</v>
      </c>
      <c r="G11" s="3572"/>
      <c r="H11" s="3592" t="s">
        <v>3667</v>
      </c>
      <c r="I11" s="3574">
        <v>44885</v>
      </c>
      <c r="J11" s="3575">
        <v>18</v>
      </c>
      <c r="K11" s="3576">
        <v>0.15</v>
      </c>
      <c r="L11" s="3575">
        <f>J11*365/12*F11</f>
        <v>14618.25</v>
      </c>
      <c r="M11" s="3575">
        <f>F11*76</f>
        <v>2029.2</v>
      </c>
      <c r="N11" s="3577"/>
    </row>
    <row r="12" spans="1:15" s="3566" customFormat="1">
      <c r="A12" s="4083"/>
      <c r="B12" s="3571" t="s">
        <v>3668</v>
      </c>
      <c r="C12" s="3580" t="s">
        <v>3669</v>
      </c>
      <c r="D12" s="3580" t="s">
        <v>3670</v>
      </c>
      <c r="E12" s="3580" t="s">
        <v>3671</v>
      </c>
      <c r="F12" s="3572">
        <v>67.34</v>
      </c>
      <c r="G12" s="3572"/>
      <c r="H12" s="3586">
        <v>44094</v>
      </c>
      <c r="I12" s="3574">
        <v>45188</v>
      </c>
      <c r="J12" s="3575">
        <v>15.9</v>
      </c>
      <c r="K12" s="3583">
        <v>0.08</v>
      </c>
      <c r="L12" s="3575">
        <f>J12*365/12*F12</f>
        <v>32567.307500000003</v>
      </c>
      <c r="M12" s="3575">
        <f>F12*76</f>
        <v>5117.84</v>
      </c>
      <c r="N12" s="3577"/>
    </row>
    <row r="13" spans="1:15" s="3566" customFormat="1">
      <c r="A13" s="4084"/>
      <c r="B13" s="3571" t="s">
        <v>3672</v>
      </c>
      <c r="C13" s="3580" t="s">
        <v>3673</v>
      </c>
      <c r="D13" s="3580" t="s">
        <v>3674</v>
      </c>
      <c r="E13" s="3580" t="s">
        <v>3675</v>
      </c>
      <c r="F13" s="3572">
        <v>29.4</v>
      </c>
      <c r="G13" s="3572"/>
      <c r="H13" s="3586">
        <v>44113</v>
      </c>
      <c r="I13" s="3574">
        <v>45207</v>
      </c>
      <c r="J13" s="3575">
        <v>10500</v>
      </c>
      <c r="K13" s="3583"/>
      <c r="L13" s="3575">
        <v>10500</v>
      </c>
      <c r="M13" s="3575">
        <v>0</v>
      </c>
      <c r="N13" s="3577"/>
    </row>
    <row r="14" spans="1:15" s="3566" customFormat="1">
      <c r="A14" s="3593"/>
      <c r="B14" s="3594">
        <f>F14+G14</f>
        <v>4390.1799999999994</v>
      </c>
      <c r="C14" s="3595"/>
      <c r="D14" s="3595"/>
      <c r="E14" s="3595" t="s">
        <v>3676</v>
      </c>
      <c r="F14" s="3596">
        <f>SUM(F3:F13)</f>
        <v>4258.1899999999996</v>
      </c>
      <c r="G14" s="3596">
        <f>SUM(G3:G13)</f>
        <v>131.99</v>
      </c>
      <c r="H14" s="3596">
        <f>G14+F14</f>
        <v>4390.1799999999994</v>
      </c>
      <c r="I14" s="3596"/>
      <c r="J14" s="3597"/>
      <c r="K14" s="3598"/>
      <c r="L14" s="3599">
        <f>SUM(L3:L13)</f>
        <v>516090.4408333333</v>
      </c>
      <c r="M14" s="3599">
        <f>SUM(M3:M13)</f>
        <v>102552.04</v>
      </c>
      <c r="N14" s="3600"/>
      <c r="O14" s="3566">
        <f>L14/F14/30</f>
        <v>4.0399828787452989</v>
      </c>
    </row>
    <row r="15" spans="1:15" s="3566" customFormat="1">
      <c r="A15" s="4086" t="s">
        <v>3677</v>
      </c>
      <c r="B15" s="3587" t="s">
        <v>3678</v>
      </c>
      <c r="C15" s="3584" t="s">
        <v>3679</v>
      </c>
      <c r="D15" s="3584" t="s">
        <v>3680</v>
      </c>
      <c r="E15" s="3584" t="s">
        <v>3681</v>
      </c>
      <c r="F15" s="3585">
        <v>398</v>
      </c>
      <c r="G15" s="3585"/>
      <c r="H15" s="3601" t="s">
        <v>3682</v>
      </c>
      <c r="I15" s="3602" t="s">
        <v>3683</v>
      </c>
      <c r="J15" s="3575">
        <v>4</v>
      </c>
      <c r="K15" s="3590">
        <v>0.1</v>
      </c>
      <c r="L15" s="3575">
        <f>J15*F15*30</f>
        <v>47760</v>
      </c>
      <c r="M15" s="3575">
        <f>F15*60</f>
        <v>23880</v>
      </c>
      <c r="N15" s="3590" t="s">
        <v>3684</v>
      </c>
    </row>
    <row r="16" spans="1:15" s="3566" customFormat="1">
      <c r="A16" s="4087"/>
      <c r="B16" s="3587" t="s">
        <v>3685</v>
      </c>
      <c r="C16" s="3584" t="s">
        <v>3686</v>
      </c>
      <c r="D16" s="3584" t="s">
        <v>3687</v>
      </c>
      <c r="E16" s="3584" t="s">
        <v>3681</v>
      </c>
      <c r="F16" s="3585">
        <v>216</v>
      </c>
      <c r="G16" s="3585"/>
      <c r="H16" s="3601" t="s">
        <v>3688</v>
      </c>
      <c r="I16" s="3602" t="s">
        <v>3689</v>
      </c>
      <c r="J16" s="3575">
        <v>10.9</v>
      </c>
      <c r="K16" s="3590">
        <v>0.1</v>
      </c>
      <c r="L16" s="3575">
        <f>J16*F16*30</f>
        <v>70632</v>
      </c>
      <c r="M16" s="3575">
        <f>F16*60</f>
        <v>12960</v>
      </c>
      <c r="N16" s="3590" t="s">
        <v>3684</v>
      </c>
    </row>
    <row r="17" spans="1:15" s="3566" customFormat="1">
      <c r="A17" s="4087"/>
      <c r="B17" s="3587" t="s">
        <v>3690</v>
      </c>
      <c r="C17" s="3584" t="s">
        <v>3691</v>
      </c>
      <c r="D17" s="3584" t="s">
        <v>3692</v>
      </c>
      <c r="E17" s="3584" t="s">
        <v>3681</v>
      </c>
      <c r="F17" s="3585">
        <v>131.80000000000001</v>
      </c>
      <c r="G17" s="3585"/>
      <c r="H17" s="3579">
        <v>44216</v>
      </c>
      <c r="I17" s="3574">
        <v>46406</v>
      </c>
      <c r="J17" s="3575">
        <v>6.23</v>
      </c>
      <c r="K17" s="3590">
        <v>0.11</v>
      </c>
      <c r="L17" s="3575">
        <f t="shared" ref="L17:L31" si="0">J17*365/12*F17</f>
        <v>24975.550833333338</v>
      </c>
      <c r="M17" s="3575">
        <f t="shared" ref="M17:M32" si="1">F17*76</f>
        <v>10016.800000000001</v>
      </c>
      <c r="N17" s="3590" t="s">
        <v>3693</v>
      </c>
    </row>
    <row r="18" spans="1:15" s="3566" customFormat="1">
      <c r="A18" s="4087"/>
      <c r="B18" s="3587" t="s">
        <v>3694</v>
      </c>
      <c r="C18" s="3584"/>
      <c r="D18" s="3584"/>
      <c r="E18" s="3584" t="s">
        <v>3695</v>
      </c>
      <c r="F18" s="3585"/>
      <c r="G18" s="3585">
        <v>262.2</v>
      </c>
      <c r="H18" s="3586"/>
      <c r="I18" s="3574"/>
      <c r="J18" s="3575"/>
      <c r="K18" s="3590"/>
      <c r="L18" s="3575">
        <f t="shared" si="0"/>
        <v>0</v>
      </c>
      <c r="M18" s="3575">
        <f t="shared" si="1"/>
        <v>0</v>
      </c>
      <c r="N18" s="3590"/>
    </row>
    <row r="19" spans="1:15" s="3566" customFormat="1">
      <c r="A19" s="4087"/>
      <c r="B19" s="3587" t="s">
        <v>3696</v>
      </c>
      <c r="C19" s="3584" t="s">
        <v>3697</v>
      </c>
      <c r="D19" s="3584" t="s">
        <v>3698</v>
      </c>
      <c r="E19" s="3584" t="s">
        <v>3695</v>
      </c>
      <c r="F19" s="3585">
        <v>154</v>
      </c>
      <c r="G19" s="3585"/>
      <c r="H19" s="3592" t="s">
        <v>3699</v>
      </c>
      <c r="I19" s="3574">
        <v>47480</v>
      </c>
      <c r="J19" s="3575">
        <v>11</v>
      </c>
      <c r="K19" s="3590">
        <v>0.14000000000000001</v>
      </c>
      <c r="L19" s="3575">
        <f t="shared" si="0"/>
        <v>51525.833333333328</v>
      </c>
      <c r="M19" s="3575">
        <f t="shared" si="1"/>
        <v>11704</v>
      </c>
      <c r="N19" s="3590" t="s">
        <v>3693</v>
      </c>
    </row>
    <row r="20" spans="1:15" s="3670" customFormat="1">
      <c r="A20" s="4087"/>
      <c r="B20" s="3663" t="s">
        <v>3700</v>
      </c>
      <c r="C20" s="3664" t="s">
        <v>3701</v>
      </c>
      <c r="D20" s="3664" t="s">
        <v>3702</v>
      </c>
      <c r="E20" s="3664" t="s">
        <v>3703</v>
      </c>
      <c r="F20" s="3665">
        <v>37.1</v>
      </c>
      <c r="G20" s="3665"/>
      <c r="H20" s="3666">
        <v>44477</v>
      </c>
      <c r="I20" s="3667">
        <v>45572</v>
      </c>
      <c r="J20" s="3668">
        <v>17.5</v>
      </c>
      <c r="K20" s="3669"/>
      <c r="L20" s="3668">
        <f t="shared" si="0"/>
        <v>19748.020833333332</v>
      </c>
      <c r="M20" s="3668">
        <f t="shared" si="1"/>
        <v>2819.6</v>
      </c>
      <c r="N20" s="3669"/>
    </row>
    <row r="21" spans="1:15" s="3566" customFormat="1">
      <c r="A21" s="4087"/>
      <c r="B21" s="3587" t="s">
        <v>3704</v>
      </c>
      <c r="C21" s="3584" t="s">
        <v>3705</v>
      </c>
      <c r="D21" s="3584" t="s">
        <v>3706</v>
      </c>
      <c r="E21" s="3584" t="s">
        <v>3707</v>
      </c>
      <c r="F21" s="3585">
        <v>100.83</v>
      </c>
      <c r="G21" s="3585"/>
      <c r="H21" s="3586">
        <v>44287</v>
      </c>
      <c r="I21" s="3574">
        <v>46112</v>
      </c>
      <c r="J21" s="3575">
        <v>7.5</v>
      </c>
      <c r="K21" s="3590">
        <v>7.0000000000000007E-2</v>
      </c>
      <c r="L21" s="3575">
        <f t="shared" si="0"/>
        <v>23001.84375</v>
      </c>
      <c r="M21" s="3575">
        <f t="shared" si="1"/>
        <v>7663.08</v>
      </c>
      <c r="N21" s="3590" t="s">
        <v>3708</v>
      </c>
    </row>
    <row r="22" spans="1:15" s="3566" customFormat="1">
      <c r="A22" s="4087"/>
      <c r="B22" s="3587" t="s">
        <v>3709</v>
      </c>
      <c r="C22" s="3584"/>
      <c r="D22" s="3584"/>
      <c r="E22" s="3584"/>
      <c r="F22" s="3603"/>
      <c r="G22" s="3585">
        <v>159.25</v>
      </c>
      <c r="H22" s="3586"/>
      <c r="I22" s="3586"/>
      <c r="J22" s="3575"/>
      <c r="K22" s="3590"/>
      <c r="L22" s="3575">
        <f t="shared" si="0"/>
        <v>0</v>
      </c>
      <c r="M22" s="3575">
        <f t="shared" si="1"/>
        <v>0</v>
      </c>
      <c r="N22" s="3590"/>
    </row>
    <row r="23" spans="1:15" s="3566" customFormat="1">
      <c r="A23" s="4087"/>
      <c r="B23" s="3587" t="s">
        <v>3710</v>
      </c>
      <c r="C23" s="3584" t="s">
        <v>3711</v>
      </c>
      <c r="D23" s="3584" t="s">
        <v>3712</v>
      </c>
      <c r="E23" s="3584" t="s">
        <v>3707</v>
      </c>
      <c r="F23" s="3585">
        <v>120.3</v>
      </c>
      <c r="G23" s="3585"/>
      <c r="H23" s="3579">
        <v>44491</v>
      </c>
      <c r="I23" s="3579">
        <v>46316</v>
      </c>
      <c r="J23" s="3575">
        <v>11</v>
      </c>
      <c r="K23" s="3590">
        <v>0.15</v>
      </c>
      <c r="L23" s="3575">
        <f t="shared" si="0"/>
        <v>40250.375</v>
      </c>
      <c r="M23" s="3575">
        <f t="shared" si="1"/>
        <v>9142.7999999999993</v>
      </c>
      <c r="N23" s="3590" t="s">
        <v>3708</v>
      </c>
    </row>
    <row r="24" spans="1:15" s="3566" customFormat="1">
      <c r="A24" s="4087"/>
      <c r="B24" s="3587" t="s">
        <v>3713</v>
      </c>
      <c r="C24" s="3584" t="s">
        <v>3714</v>
      </c>
      <c r="D24" s="3584" t="s">
        <v>3715</v>
      </c>
      <c r="E24" s="3584" t="s">
        <v>3707</v>
      </c>
      <c r="F24" s="3585">
        <v>272</v>
      </c>
      <c r="G24" s="3585"/>
      <c r="H24" s="3579">
        <v>44557</v>
      </c>
      <c r="I24" s="3579">
        <v>46747</v>
      </c>
      <c r="J24" s="3575">
        <v>10</v>
      </c>
      <c r="K24" s="3590">
        <v>0.15</v>
      </c>
      <c r="L24" s="3575">
        <f t="shared" si="0"/>
        <v>82733.333333333343</v>
      </c>
      <c r="M24" s="3575">
        <f t="shared" si="1"/>
        <v>20672</v>
      </c>
      <c r="N24" s="3590" t="s">
        <v>3708</v>
      </c>
    </row>
    <row r="25" spans="1:15" s="3566" customFormat="1">
      <c r="A25" s="4087"/>
      <c r="B25" s="3587" t="s">
        <v>3716</v>
      </c>
      <c r="C25" s="3584" t="s">
        <v>3717</v>
      </c>
      <c r="D25" s="3584" t="s">
        <v>3718</v>
      </c>
      <c r="E25" s="3584" t="s">
        <v>3707</v>
      </c>
      <c r="F25" s="3585">
        <v>160.9</v>
      </c>
      <c r="G25" s="3585"/>
      <c r="H25" s="3573" t="s">
        <v>3719</v>
      </c>
      <c r="I25" s="3574" t="s">
        <v>3720</v>
      </c>
      <c r="J25" s="3575"/>
      <c r="K25" s="3590">
        <v>0.15</v>
      </c>
      <c r="L25" s="3575">
        <f t="shared" si="0"/>
        <v>0</v>
      </c>
      <c r="M25" s="3575">
        <f t="shared" si="1"/>
        <v>12228.4</v>
      </c>
      <c r="N25" s="3590" t="s">
        <v>3721</v>
      </c>
      <c r="O25" s="3577" t="s">
        <v>3722</v>
      </c>
    </row>
    <row r="26" spans="1:15" s="3566" customFormat="1">
      <c r="A26" s="4087"/>
      <c r="B26" s="3587" t="s">
        <v>3723</v>
      </c>
      <c r="C26" s="3584"/>
      <c r="D26" s="3584"/>
      <c r="E26" s="3584"/>
      <c r="F26" s="3585"/>
      <c r="G26" s="3585">
        <v>243.5</v>
      </c>
      <c r="H26" s="3592"/>
      <c r="I26" s="3582"/>
      <c r="J26" s="3575"/>
      <c r="K26" s="3590"/>
      <c r="L26" s="3575"/>
      <c r="M26" s="3575">
        <f t="shared" si="1"/>
        <v>0</v>
      </c>
      <c r="N26" s="3577"/>
    </row>
    <row r="27" spans="1:15" s="3566" customFormat="1">
      <c r="A27" s="4087"/>
      <c r="B27" s="3587" t="s">
        <v>3724</v>
      </c>
      <c r="C27" s="3584" t="s">
        <v>3725</v>
      </c>
      <c r="D27" s="3584" t="s">
        <v>3726</v>
      </c>
      <c r="E27" s="3584" t="s">
        <v>3727</v>
      </c>
      <c r="F27" s="3585">
        <v>157.55000000000001</v>
      </c>
      <c r="G27" s="3585"/>
      <c r="H27" s="3579">
        <v>44013</v>
      </c>
      <c r="I27" s="3574">
        <v>45291</v>
      </c>
      <c r="J27" s="3575">
        <v>0</v>
      </c>
      <c r="K27" s="3590">
        <v>0.25</v>
      </c>
      <c r="L27" s="3575">
        <f t="shared" si="0"/>
        <v>0</v>
      </c>
      <c r="M27" s="3575">
        <f t="shared" si="1"/>
        <v>11973.800000000001</v>
      </c>
      <c r="N27" s="3590" t="s">
        <v>3728</v>
      </c>
      <c r="O27" s="3577" t="s">
        <v>3729</v>
      </c>
    </row>
    <row r="28" spans="1:15" s="3566" customFormat="1">
      <c r="A28" s="4087"/>
      <c r="B28" s="3587" t="s">
        <v>3730</v>
      </c>
      <c r="C28" s="3584"/>
      <c r="D28" s="3584"/>
      <c r="E28" s="3584"/>
      <c r="F28" s="3585"/>
      <c r="G28" s="3585">
        <v>304.60000000000002</v>
      </c>
      <c r="H28" s="3573"/>
      <c r="I28" s="3574"/>
      <c r="J28" s="3575">
        <v>18.149999999999999</v>
      </c>
      <c r="K28" s="3590"/>
      <c r="L28" s="3575">
        <f t="shared" si="0"/>
        <v>0</v>
      </c>
      <c r="M28" s="3575">
        <f t="shared" si="1"/>
        <v>0</v>
      </c>
      <c r="N28" s="3577"/>
    </row>
    <row r="29" spans="1:15" s="3566" customFormat="1">
      <c r="A29" s="4087"/>
      <c r="B29" s="3587" t="s">
        <v>3731</v>
      </c>
      <c r="C29" s="3584" t="s">
        <v>3732</v>
      </c>
      <c r="D29" s="3584" t="s">
        <v>3733</v>
      </c>
      <c r="E29" s="3580" t="s">
        <v>3734</v>
      </c>
      <c r="F29" s="3585">
        <v>130</v>
      </c>
      <c r="G29" s="3585"/>
      <c r="H29" s="3586">
        <v>44301</v>
      </c>
      <c r="I29" s="3574">
        <v>45396</v>
      </c>
      <c r="J29" s="3575">
        <v>11.5</v>
      </c>
      <c r="K29" s="3590">
        <v>0.03</v>
      </c>
      <c r="L29" s="3575">
        <f t="shared" si="0"/>
        <v>45472.916666666672</v>
      </c>
      <c r="M29" s="3575">
        <f t="shared" si="1"/>
        <v>9880</v>
      </c>
      <c r="N29" s="3590" t="s">
        <v>3735</v>
      </c>
    </row>
    <row r="30" spans="1:15" s="3670" customFormat="1">
      <c r="A30" s="4087"/>
      <c r="B30" s="3663" t="s">
        <v>3736</v>
      </c>
      <c r="C30" s="3664" t="s">
        <v>3737</v>
      </c>
      <c r="D30" s="3664" t="s">
        <v>3738</v>
      </c>
      <c r="E30" s="3664" t="s">
        <v>3703</v>
      </c>
      <c r="F30" s="3665">
        <v>43.12</v>
      </c>
      <c r="G30" s="3665"/>
      <c r="H30" s="3666">
        <v>44530</v>
      </c>
      <c r="I30" s="3667">
        <v>45259</v>
      </c>
      <c r="J30" s="3668">
        <v>14.5</v>
      </c>
      <c r="K30" s="3669">
        <v>0.15</v>
      </c>
      <c r="L30" s="3668">
        <f t="shared" si="0"/>
        <v>19017.716666666667</v>
      </c>
      <c r="M30" s="3668">
        <f t="shared" si="1"/>
        <v>3277.12</v>
      </c>
      <c r="N30" s="3669" t="s">
        <v>3693</v>
      </c>
    </row>
    <row r="31" spans="1:15" s="3566" customFormat="1">
      <c r="A31" s="4087"/>
      <c r="B31" s="3587" t="s">
        <v>3739</v>
      </c>
      <c r="C31" s="3584" t="s">
        <v>3740</v>
      </c>
      <c r="D31" s="3584" t="s">
        <v>3741</v>
      </c>
      <c r="E31" s="3584" t="s">
        <v>3742</v>
      </c>
      <c r="F31" s="3585">
        <v>66.099999999999994</v>
      </c>
      <c r="G31" s="3585"/>
      <c r="H31" s="3586">
        <v>44233</v>
      </c>
      <c r="I31" s="3574">
        <v>45327</v>
      </c>
      <c r="J31" s="3575">
        <v>8</v>
      </c>
      <c r="K31" s="3590">
        <v>0.12</v>
      </c>
      <c r="L31" s="3575">
        <f t="shared" si="0"/>
        <v>16084.333333333332</v>
      </c>
      <c r="M31" s="3575">
        <f t="shared" si="1"/>
        <v>5023.5999999999995</v>
      </c>
      <c r="N31" s="3590" t="s">
        <v>3693</v>
      </c>
    </row>
    <row r="32" spans="1:15" s="3670" customFormat="1" ht="22.5">
      <c r="A32" s="4088"/>
      <c r="B32" s="3663" t="s">
        <v>3743</v>
      </c>
      <c r="C32" s="3664" t="s">
        <v>3744</v>
      </c>
      <c r="D32" s="3664" t="s">
        <v>3745</v>
      </c>
      <c r="E32" s="3664" t="s">
        <v>3636</v>
      </c>
      <c r="F32" s="3665">
        <v>487.06</v>
      </c>
      <c r="G32" s="3665"/>
      <c r="H32" s="3671" t="s">
        <v>3746</v>
      </c>
      <c r="I32" s="3667" t="s">
        <v>3747</v>
      </c>
      <c r="J32" s="3668">
        <v>21.25</v>
      </c>
      <c r="K32" s="3669"/>
      <c r="L32" s="3668">
        <f>J32*30*F32</f>
        <v>310500.75</v>
      </c>
      <c r="M32" s="3668">
        <f t="shared" si="1"/>
        <v>37016.559999999998</v>
      </c>
      <c r="N32" s="3672"/>
    </row>
    <row r="33" spans="1:17" s="3566" customFormat="1">
      <c r="A33" s="3593"/>
      <c r="B33" s="3604">
        <f>F33+G33</f>
        <v>3444.31</v>
      </c>
      <c r="C33" s="3595"/>
      <c r="D33" s="3595"/>
      <c r="E33" s="3595" t="s">
        <v>3748</v>
      </c>
      <c r="F33" s="3596">
        <f>SUM(F15:F32)</f>
        <v>2474.7599999999998</v>
      </c>
      <c r="G33" s="3596">
        <f>SUM(G15:G32)</f>
        <v>969.55000000000007</v>
      </c>
      <c r="H33" s="3596">
        <f>G33+F33</f>
        <v>3444.31</v>
      </c>
      <c r="I33" s="3596"/>
      <c r="J33" s="3596"/>
      <c r="K33" s="3598"/>
      <c r="L33" s="3599">
        <f>SUM(L15:L32)</f>
        <v>751702.67375000007</v>
      </c>
      <c r="M33" s="3599">
        <f>SUM(M15:M32)</f>
        <v>178257.75999999998</v>
      </c>
      <c r="N33" s="3600"/>
      <c r="O33" s="3566">
        <f>L33/F33/30</f>
        <v>10.124923544774713</v>
      </c>
    </row>
    <row r="34" spans="1:17" s="3566" customFormat="1">
      <c r="A34" s="4082" t="s">
        <v>3749</v>
      </c>
      <c r="B34" s="3571" t="s">
        <v>3750</v>
      </c>
      <c r="C34" s="3580" t="s">
        <v>3751</v>
      </c>
      <c r="D34" s="3580" t="s">
        <v>3752</v>
      </c>
      <c r="E34" s="3584" t="s">
        <v>3742</v>
      </c>
      <c r="F34" s="3572">
        <v>57.4</v>
      </c>
      <c r="G34" s="3572"/>
      <c r="H34" s="3592" t="s">
        <v>3753</v>
      </c>
      <c r="I34" s="3574">
        <v>44926</v>
      </c>
      <c r="J34" s="3575">
        <v>12.19</v>
      </c>
      <c r="K34" s="3590">
        <v>0.2</v>
      </c>
      <c r="L34" s="3575">
        <f t="shared" ref="L34:L41" si="2">J34*365/12*F34</f>
        <v>21282.724166666663</v>
      </c>
      <c r="M34" s="3575">
        <f t="shared" ref="M34:M41" si="3">F34*76</f>
        <v>4362.3999999999996</v>
      </c>
      <c r="N34" s="3590" t="s">
        <v>3693</v>
      </c>
      <c r="P34" s="3605">
        <f t="shared" ref="P34:P48" si="4">L34</f>
        <v>21282.724166666663</v>
      </c>
      <c r="Q34" s="3605">
        <f t="shared" ref="Q34:Q48" si="5">F34</f>
        <v>57.4</v>
      </c>
    </row>
    <row r="35" spans="1:17" s="3566" customFormat="1">
      <c r="A35" s="4083"/>
      <c r="B35" s="3571" t="s">
        <v>3754</v>
      </c>
      <c r="C35" s="3580" t="s">
        <v>3755</v>
      </c>
      <c r="D35" s="3580" t="s">
        <v>3756</v>
      </c>
      <c r="E35" s="3584" t="s">
        <v>3757</v>
      </c>
      <c r="F35" s="3572">
        <v>73.400000000000006</v>
      </c>
      <c r="G35" s="3572"/>
      <c r="H35" s="3592" t="s">
        <v>3758</v>
      </c>
      <c r="I35" s="3574">
        <v>44926</v>
      </c>
      <c r="J35" s="3575">
        <v>10</v>
      </c>
      <c r="K35" s="3590"/>
      <c r="L35" s="3575">
        <f t="shared" si="2"/>
        <v>22325.833333333336</v>
      </c>
      <c r="M35" s="3575">
        <f t="shared" si="3"/>
        <v>5578.4000000000005</v>
      </c>
      <c r="N35" s="3577"/>
      <c r="P35" s="3605">
        <f t="shared" si="4"/>
        <v>22325.833333333336</v>
      </c>
      <c r="Q35" s="3605">
        <f t="shared" si="5"/>
        <v>73.400000000000006</v>
      </c>
    </row>
    <row r="36" spans="1:17" s="3566" customFormat="1">
      <c r="A36" s="4083"/>
      <c r="B36" s="3571" t="s">
        <v>3759</v>
      </c>
      <c r="C36" s="3580" t="s">
        <v>3760</v>
      </c>
      <c r="D36" s="3580" t="s">
        <v>3761</v>
      </c>
      <c r="E36" s="3584" t="s">
        <v>3757</v>
      </c>
      <c r="F36" s="3572">
        <v>87.15</v>
      </c>
      <c r="G36" s="3572"/>
      <c r="H36" s="3586">
        <v>44581</v>
      </c>
      <c r="I36" s="3574">
        <v>44945</v>
      </c>
      <c r="J36" s="3575">
        <v>13</v>
      </c>
      <c r="K36" s="3590">
        <v>0.2</v>
      </c>
      <c r="L36" s="3575">
        <f t="shared" si="2"/>
        <v>34460.562500000007</v>
      </c>
      <c r="M36" s="3575">
        <f t="shared" si="3"/>
        <v>6623.4000000000005</v>
      </c>
      <c r="N36" s="3590" t="s">
        <v>3708</v>
      </c>
      <c r="P36" s="3605">
        <f t="shared" si="4"/>
        <v>34460.562500000007</v>
      </c>
      <c r="Q36" s="3605">
        <f t="shared" si="5"/>
        <v>87.15</v>
      </c>
    </row>
    <row r="37" spans="1:17" s="3566" customFormat="1">
      <c r="A37" s="4083"/>
      <c r="B37" s="3571" t="s">
        <v>3762</v>
      </c>
      <c r="C37" s="3580" t="s">
        <v>3763</v>
      </c>
      <c r="D37" s="3580" t="s">
        <v>3764</v>
      </c>
      <c r="E37" s="3584" t="s">
        <v>3757</v>
      </c>
      <c r="F37" s="3572">
        <v>65.25</v>
      </c>
      <c r="G37" s="3572"/>
      <c r="H37" s="3586">
        <v>44501</v>
      </c>
      <c r="I37" s="3574">
        <v>45230</v>
      </c>
      <c r="J37" s="3575">
        <v>12.72</v>
      </c>
      <c r="K37" s="3590"/>
      <c r="L37" s="3575">
        <f t="shared" si="2"/>
        <v>25245.225000000002</v>
      </c>
      <c r="M37" s="3575">
        <f t="shared" si="3"/>
        <v>4959</v>
      </c>
      <c r="N37" s="3590"/>
      <c r="P37" s="3605">
        <f t="shared" si="4"/>
        <v>25245.225000000002</v>
      </c>
      <c r="Q37" s="3605">
        <f t="shared" si="5"/>
        <v>65.25</v>
      </c>
    </row>
    <row r="38" spans="1:17" s="3566" customFormat="1">
      <c r="A38" s="4083"/>
      <c r="B38" s="3571" t="s">
        <v>3765</v>
      </c>
      <c r="C38" s="3580" t="s">
        <v>3766</v>
      </c>
      <c r="D38" s="3584" t="s">
        <v>3767</v>
      </c>
      <c r="E38" s="3584" t="s">
        <v>3768</v>
      </c>
      <c r="F38" s="3572">
        <v>58.9</v>
      </c>
      <c r="G38" s="3572"/>
      <c r="H38" s="3574" t="s">
        <v>3769</v>
      </c>
      <c r="I38" s="3574">
        <v>45157</v>
      </c>
      <c r="J38" s="3575">
        <v>10.220000000000001</v>
      </c>
      <c r="K38" s="3590">
        <v>0.15</v>
      </c>
      <c r="L38" s="3575">
        <f t="shared" si="2"/>
        <v>18309.555833333332</v>
      </c>
      <c r="M38" s="3575">
        <f t="shared" si="3"/>
        <v>4476.3999999999996</v>
      </c>
      <c r="N38" s="3590" t="s">
        <v>3735</v>
      </c>
      <c r="P38" s="3605">
        <f t="shared" si="4"/>
        <v>18309.555833333332</v>
      </c>
      <c r="Q38" s="3605">
        <f t="shared" si="5"/>
        <v>58.9</v>
      </c>
    </row>
    <row r="39" spans="1:17" s="3566" customFormat="1">
      <c r="A39" s="4083"/>
      <c r="B39" s="3571" t="s">
        <v>3770</v>
      </c>
      <c r="C39" s="3580" t="s">
        <v>3771</v>
      </c>
      <c r="D39" s="3580" t="s">
        <v>3772</v>
      </c>
      <c r="E39" s="3584" t="s">
        <v>3768</v>
      </c>
      <c r="F39" s="3572">
        <v>60.17</v>
      </c>
      <c r="G39" s="3572"/>
      <c r="H39" s="3579">
        <v>43983</v>
      </c>
      <c r="I39" s="3574">
        <v>44926</v>
      </c>
      <c r="J39" s="3575">
        <v>12.19</v>
      </c>
      <c r="K39" s="3590">
        <v>0.18</v>
      </c>
      <c r="L39" s="3575">
        <f t="shared" si="2"/>
        <v>22309.782458333331</v>
      </c>
      <c r="M39" s="3575">
        <f t="shared" si="3"/>
        <v>4572.92</v>
      </c>
      <c r="N39" s="3590" t="s">
        <v>3735</v>
      </c>
      <c r="P39" s="3605">
        <f t="shared" si="4"/>
        <v>22309.782458333331</v>
      </c>
      <c r="Q39" s="3605">
        <f t="shared" si="5"/>
        <v>60.17</v>
      </c>
    </row>
    <row r="40" spans="1:17" s="3566" customFormat="1">
      <c r="A40" s="4083"/>
      <c r="B40" s="3571" t="s">
        <v>3773</v>
      </c>
      <c r="C40" s="3580"/>
      <c r="D40" s="3580"/>
      <c r="E40" s="3584" t="s">
        <v>3768</v>
      </c>
      <c r="F40" s="3572"/>
      <c r="G40" s="3572">
        <v>64.849999999999994</v>
      </c>
      <c r="H40" s="3579"/>
      <c r="I40" s="3574"/>
      <c r="J40" s="3575"/>
      <c r="K40" s="3590"/>
      <c r="L40" s="3575">
        <f t="shared" si="2"/>
        <v>0</v>
      </c>
      <c r="M40" s="3575">
        <f t="shared" si="3"/>
        <v>0</v>
      </c>
      <c r="N40" s="3590"/>
      <c r="P40" s="3605">
        <f t="shared" si="4"/>
        <v>0</v>
      </c>
      <c r="Q40" s="3605">
        <f t="shared" si="5"/>
        <v>0</v>
      </c>
    </row>
    <row r="41" spans="1:17" s="3566" customFormat="1">
      <c r="A41" s="4083"/>
      <c r="B41" s="3571" t="s">
        <v>3774</v>
      </c>
      <c r="C41" s="3580" t="s">
        <v>3775</v>
      </c>
      <c r="D41" s="3584" t="s">
        <v>3776</v>
      </c>
      <c r="E41" s="3584" t="s">
        <v>3768</v>
      </c>
      <c r="F41" s="3572">
        <v>78.73</v>
      </c>
      <c r="G41" s="3572"/>
      <c r="H41" s="3573" t="s">
        <v>3777</v>
      </c>
      <c r="I41" s="3574">
        <v>44926</v>
      </c>
      <c r="J41" s="3575">
        <v>12.5</v>
      </c>
      <c r="K41" s="3590">
        <v>0.2</v>
      </c>
      <c r="L41" s="3575">
        <f t="shared" si="2"/>
        <v>29933.802083333332</v>
      </c>
      <c r="M41" s="3575">
        <f t="shared" si="3"/>
        <v>5983.4800000000005</v>
      </c>
      <c r="N41" s="3590" t="s">
        <v>3735</v>
      </c>
      <c r="P41" s="3605">
        <f t="shared" si="4"/>
        <v>29933.802083333332</v>
      </c>
      <c r="Q41" s="3605">
        <f t="shared" si="5"/>
        <v>78.73</v>
      </c>
    </row>
    <row r="42" spans="1:17" s="3566" customFormat="1">
      <c r="A42" s="4083"/>
      <c r="B42" s="3571" t="s">
        <v>3778</v>
      </c>
      <c r="C42" s="3580" t="s">
        <v>3779</v>
      </c>
      <c r="D42" s="3580" t="s">
        <v>3780</v>
      </c>
      <c r="E42" s="3584" t="s">
        <v>3768</v>
      </c>
      <c r="F42" s="3572">
        <v>99.82</v>
      </c>
      <c r="G42" s="3572"/>
      <c r="H42" s="3579">
        <v>44531</v>
      </c>
      <c r="I42" s="3574">
        <v>44926</v>
      </c>
      <c r="J42" s="3575">
        <v>20000</v>
      </c>
      <c r="K42" s="3590">
        <v>0.2</v>
      </c>
      <c r="L42" s="3575">
        <v>20000</v>
      </c>
      <c r="M42" s="3575">
        <v>0</v>
      </c>
      <c r="N42" s="3590" t="s">
        <v>3735</v>
      </c>
      <c r="P42" s="3605">
        <f t="shared" si="4"/>
        <v>20000</v>
      </c>
      <c r="Q42" s="3605">
        <f t="shared" si="5"/>
        <v>99.82</v>
      </c>
    </row>
    <row r="43" spans="1:17" s="3566" customFormat="1">
      <c r="A43" s="4083"/>
      <c r="B43" s="3571" t="s">
        <v>3781</v>
      </c>
      <c r="C43" s="3580" t="s">
        <v>3782</v>
      </c>
      <c r="D43" s="3580" t="s">
        <v>3783</v>
      </c>
      <c r="E43" s="3584" t="s">
        <v>3784</v>
      </c>
      <c r="F43" s="3572">
        <v>882.61</v>
      </c>
      <c r="G43" s="3572"/>
      <c r="H43" s="3573" t="s">
        <v>3785</v>
      </c>
      <c r="I43" s="3574" t="s">
        <v>3786</v>
      </c>
      <c r="J43" s="3575"/>
      <c r="K43" s="3590">
        <v>0.15</v>
      </c>
      <c r="L43" s="3575">
        <f>J43*365/12*F43</f>
        <v>0</v>
      </c>
      <c r="M43" s="3575">
        <v>0</v>
      </c>
      <c r="N43" s="3581" t="s">
        <v>3728</v>
      </c>
      <c r="O43" s="3577" t="s">
        <v>3729</v>
      </c>
      <c r="P43" s="3605"/>
      <c r="Q43" s="3605"/>
    </row>
    <row r="44" spans="1:17" s="3566" customFormat="1">
      <c r="A44" s="4083"/>
      <c r="B44" s="3571" t="s">
        <v>3787</v>
      </c>
      <c r="C44" s="3580"/>
      <c r="D44" s="3580"/>
      <c r="E44" s="3584"/>
      <c r="F44" s="3572"/>
      <c r="G44" s="3572">
        <v>143</v>
      </c>
      <c r="H44" s="3572"/>
      <c r="I44" s="3572"/>
      <c r="J44" s="3575"/>
      <c r="K44" s="3590"/>
      <c r="L44" s="3575">
        <f>J44*365/12*F44</f>
        <v>0</v>
      </c>
      <c r="M44" s="3575">
        <f>F44*76</f>
        <v>0</v>
      </c>
      <c r="N44" s="3577"/>
      <c r="P44" s="3605">
        <f t="shared" si="4"/>
        <v>0</v>
      </c>
      <c r="Q44" s="3605">
        <f t="shared" si="5"/>
        <v>0</v>
      </c>
    </row>
    <row r="45" spans="1:17" s="3566" customFormat="1">
      <c r="A45" s="4083"/>
      <c r="B45" s="3606" t="s">
        <v>3788</v>
      </c>
      <c r="C45" s="3607"/>
      <c r="D45" s="3607"/>
      <c r="E45" s="3584"/>
      <c r="F45" s="3608"/>
      <c r="G45" s="3608">
        <v>89.27</v>
      </c>
      <c r="H45" s="3582"/>
      <c r="I45" s="3574"/>
      <c r="J45" s="3575"/>
      <c r="K45" s="3590"/>
      <c r="L45" s="3575">
        <f>J45*365/12*F45</f>
        <v>0</v>
      </c>
      <c r="M45" s="3575">
        <f>F45*76</f>
        <v>0</v>
      </c>
      <c r="N45" s="3577"/>
      <c r="P45" s="3605">
        <f t="shared" si="4"/>
        <v>0</v>
      </c>
      <c r="Q45" s="3605">
        <f t="shared" si="5"/>
        <v>0</v>
      </c>
    </row>
    <row r="46" spans="1:17" s="3566" customFormat="1">
      <c r="A46" s="4083"/>
      <c r="B46" s="3571" t="s">
        <v>3789</v>
      </c>
      <c r="C46" s="3580" t="s">
        <v>3790</v>
      </c>
      <c r="D46" s="3584" t="s">
        <v>3791</v>
      </c>
      <c r="E46" s="3584" t="s">
        <v>3742</v>
      </c>
      <c r="F46" s="3572">
        <v>101</v>
      </c>
      <c r="G46" s="3572"/>
      <c r="H46" s="3582">
        <v>44562</v>
      </c>
      <c r="I46" s="3574">
        <v>44865</v>
      </c>
      <c r="J46" s="3575">
        <v>20000</v>
      </c>
      <c r="K46" s="3590">
        <v>0.2</v>
      </c>
      <c r="L46" s="3575">
        <v>20000</v>
      </c>
      <c r="M46" s="3575">
        <v>0</v>
      </c>
      <c r="N46" s="3590" t="s">
        <v>3693</v>
      </c>
      <c r="P46" s="3605">
        <f t="shared" si="4"/>
        <v>20000</v>
      </c>
      <c r="Q46" s="3605">
        <f t="shared" si="5"/>
        <v>101</v>
      </c>
    </row>
    <row r="47" spans="1:17" s="3566" customFormat="1">
      <c r="A47" s="4083"/>
      <c r="B47" s="3571" t="s">
        <v>3792</v>
      </c>
      <c r="C47" s="3580" t="s">
        <v>3793</v>
      </c>
      <c r="D47" s="3580" t="s">
        <v>3794</v>
      </c>
      <c r="E47" s="3584" t="s">
        <v>3742</v>
      </c>
      <c r="F47" s="3572">
        <v>79.5</v>
      </c>
      <c r="G47" s="3572"/>
      <c r="H47" s="3579">
        <v>44531</v>
      </c>
      <c r="I47" s="3574">
        <v>44926</v>
      </c>
      <c r="J47" s="3575">
        <v>8000</v>
      </c>
      <c r="K47" s="3590">
        <v>0.2</v>
      </c>
      <c r="L47" s="3575">
        <v>8000</v>
      </c>
      <c r="M47" s="3575">
        <v>0</v>
      </c>
      <c r="N47" s="3590" t="s">
        <v>3693</v>
      </c>
      <c r="P47" s="3605">
        <f t="shared" si="4"/>
        <v>8000</v>
      </c>
      <c r="Q47" s="3605">
        <f t="shared" si="5"/>
        <v>79.5</v>
      </c>
    </row>
    <row r="48" spans="1:17" s="3566" customFormat="1">
      <c r="A48" s="4083"/>
      <c r="B48" s="3571" t="s">
        <v>3795</v>
      </c>
      <c r="C48" s="3609" t="s">
        <v>3796</v>
      </c>
      <c r="D48" s="3609" t="s">
        <v>3797</v>
      </c>
      <c r="E48" s="3584" t="s">
        <v>3757</v>
      </c>
      <c r="F48" s="3572">
        <v>117.33</v>
      </c>
      <c r="G48" s="3572"/>
      <c r="H48" s="3579">
        <v>44571</v>
      </c>
      <c r="I48" s="3574">
        <v>44904</v>
      </c>
      <c r="J48" s="3572">
        <v>12.19</v>
      </c>
      <c r="K48" s="3590">
        <v>0.2</v>
      </c>
      <c r="L48" s="3575">
        <f t="shared" ref="L48:L54" si="6">J48*365/12*F48</f>
        <v>43503.519624999994</v>
      </c>
      <c r="M48" s="3575">
        <f>F48*76</f>
        <v>8917.08</v>
      </c>
      <c r="N48" s="3590" t="s">
        <v>3693</v>
      </c>
      <c r="P48" s="3605">
        <f t="shared" si="4"/>
        <v>43503.519624999994</v>
      </c>
      <c r="Q48" s="3605">
        <f t="shared" si="5"/>
        <v>117.33</v>
      </c>
    </row>
    <row r="49" spans="1:18" s="3566" customFormat="1">
      <c r="A49" s="4083"/>
      <c r="B49" s="3571" t="s">
        <v>3798</v>
      </c>
      <c r="C49" s="3610" t="s">
        <v>3799</v>
      </c>
      <c r="D49" s="3611" t="s">
        <v>3800</v>
      </c>
      <c r="E49" s="3612" t="s">
        <v>3742</v>
      </c>
      <c r="F49" s="3572">
        <v>172</v>
      </c>
      <c r="G49" s="3572"/>
      <c r="H49" s="3579">
        <v>44409</v>
      </c>
      <c r="I49" s="3574">
        <v>45138</v>
      </c>
      <c r="J49" s="3572">
        <v>11.38</v>
      </c>
      <c r="K49" s="3590"/>
      <c r="L49" s="3575">
        <f t="shared" si="6"/>
        <v>59536.366666666676</v>
      </c>
      <c r="M49" s="3575">
        <f>F49*76</f>
        <v>13072</v>
      </c>
      <c r="N49" s="3577"/>
      <c r="P49" s="3605">
        <f>L49</f>
        <v>59536.366666666676</v>
      </c>
      <c r="Q49" s="3605">
        <f>F49</f>
        <v>172</v>
      </c>
    </row>
    <row r="50" spans="1:18" s="3566" customFormat="1">
      <c r="A50" s="4083"/>
      <c r="B50" s="3571" t="s">
        <v>3801</v>
      </c>
      <c r="C50" s="3578" t="s">
        <v>3802</v>
      </c>
      <c r="D50" s="3578" t="s">
        <v>3803</v>
      </c>
      <c r="E50" s="3578" t="s">
        <v>3804</v>
      </c>
      <c r="F50" s="3572">
        <v>688.7</v>
      </c>
      <c r="G50" s="3572"/>
      <c r="H50" s="3613">
        <v>44317</v>
      </c>
      <c r="I50" s="3602">
        <v>46142</v>
      </c>
      <c r="J50" s="3575"/>
      <c r="K50" s="3590">
        <v>0.15</v>
      </c>
      <c r="L50" s="3575">
        <f t="shared" si="6"/>
        <v>0</v>
      </c>
      <c r="M50" s="3575">
        <v>0</v>
      </c>
      <c r="N50" s="3590" t="s">
        <v>3805</v>
      </c>
      <c r="O50" s="3577" t="s">
        <v>3663</v>
      </c>
    </row>
    <row r="51" spans="1:18" s="3566" customFormat="1">
      <c r="A51" s="4083"/>
      <c r="B51" s="3571" t="s">
        <v>3806</v>
      </c>
      <c r="C51" s="3578" t="s">
        <v>3807</v>
      </c>
      <c r="D51" s="3578" t="s">
        <v>3808</v>
      </c>
      <c r="E51" s="3578" t="s">
        <v>3784</v>
      </c>
      <c r="F51" s="3572">
        <v>272</v>
      </c>
      <c r="G51" s="3572"/>
      <c r="H51" s="3613">
        <v>44317</v>
      </c>
      <c r="I51" s="3602">
        <v>46142</v>
      </c>
      <c r="J51" s="3575"/>
      <c r="K51" s="3590">
        <v>0.15</v>
      </c>
      <c r="L51" s="3575">
        <f t="shared" si="6"/>
        <v>0</v>
      </c>
      <c r="M51" s="3575">
        <v>0</v>
      </c>
      <c r="N51" s="3590" t="s">
        <v>3728</v>
      </c>
      <c r="O51" s="3577" t="s">
        <v>3729</v>
      </c>
    </row>
    <row r="52" spans="1:18" s="3566" customFormat="1">
      <c r="A52" s="4083"/>
      <c r="B52" s="3571" t="s">
        <v>3809</v>
      </c>
      <c r="C52" s="3578" t="s">
        <v>3810</v>
      </c>
      <c r="D52" s="3580" t="s">
        <v>3811</v>
      </c>
      <c r="E52" s="3578" t="s">
        <v>3784</v>
      </c>
      <c r="F52" s="3572">
        <v>160</v>
      </c>
      <c r="G52" s="3572"/>
      <c r="H52" s="3579">
        <v>44531</v>
      </c>
      <c r="I52" s="3574">
        <v>46356</v>
      </c>
      <c r="J52" s="3575"/>
      <c r="K52" s="3590">
        <v>0.15</v>
      </c>
      <c r="L52" s="3575">
        <f t="shared" si="6"/>
        <v>0</v>
      </c>
      <c r="M52" s="3575">
        <v>0</v>
      </c>
      <c r="N52" s="3590" t="s">
        <v>3728</v>
      </c>
      <c r="O52" s="3577" t="s">
        <v>3729</v>
      </c>
    </row>
    <row r="53" spans="1:18" s="3566" customFormat="1">
      <c r="A53" s="4083"/>
      <c r="B53" s="3571" t="s">
        <v>3812</v>
      </c>
      <c r="C53" s="3580" t="s">
        <v>3634</v>
      </c>
      <c r="D53" s="3580" t="s">
        <v>3813</v>
      </c>
      <c r="E53" s="3578" t="s">
        <v>3784</v>
      </c>
      <c r="F53" s="3572">
        <v>204.1</v>
      </c>
      <c r="G53" s="3572"/>
      <c r="H53" s="3573"/>
      <c r="I53" s="3574"/>
      <c r="J53" s="3575"/>
      <c r="K53" s="3590"/>
      <c r="L53" s="3575">
        <f t="shared" si="6"/>
        <v>0</v>
      </c>
      <c r="M53" s="3575">
        <v>0</v>
      </c>
      <c r="N53" s="3577"/>
    </row>
    <row r="54" spans="1:18" s="3566" customFormat="1">
      <c r="A54" s="4084"/>
      <c r="B54" s="3571" t="s">
        <v>3814</v>
      </c>
      <c r="C54" s="3580" t="s">
        <v>3815</v>
      </c>
      <c r="D54" s="3580" t="s">
        <v>3816</v>
      </c>
      <c r="E54" s="3578" t="s">
        <v>3784</v>
      </c>
      <c r="F54" s="3572">
        <v>369.8</v>
      </c>
      <c r="G54" s="3572"/>
      <c r="H54" s="3613">
        <v>44317</v>
      </c>
      <c r="I54" s="3602">
        <v>46142</v>
      </c>
      <c r="J54" s="3575"/>
      <c r="K54" s="3590">
        <v>0.15</v>
      </c>
      <c r="L54" s="3575">
        <f t="shared" si="6"/>
        <v>0</v>
      </c>
      <c r="M54" s="3575">
        <v>0</v>
      </c>
      <c r="N54" s="3590" t="s">
        <v>3728</v>
      </c>
      <c r="O54" s="3577" t="s">
        <v>3729</v>
      </c>
    </row>
    <row r="55" spans="1:18" s="3566" customFormat="1">
      <c r="A55" s="3593"/>
      <c r="B55" s="3604">
        <f>F55+G55</f>
        <v>3924.98</v>
      </c>
      <c r="C55" s="3595"/>
      <c r="D55" s="3595"/>
      <c r="E55" s="3595" t="s">
        <v>3817</v>
      </c>
      <c r="F55" s="3596">
        <f>SUM(F34:F54)</f>
        <v>3627.86</v>
      </c>
      <c r="G55" s="3596">
        <f>SUM(G34:G54)</f>
        <v>297.12</v>
      </c>
      <c r="H55" s="3596">
        <f>G55+F55</f>
        <v>3924.98</v>
      </c>
      <c r="I55" s="3596"/>
      <c r="J55" s="3596"/>
      <c r="K55" s="3598"/>
      <c r="L55" s="3599">
        <f>SUM(L34:L54)</f>
        <v>324907.3716666667</v>
      </c>
      <c r="M55" s="3599">
        <f>SUM(M34:M54)</f>
        <v>58545.08</v>
      </c>
      <c r="N55" s="3600"/>
      <c r="O55" s="3566">
        <f>L55/F55/30</f>
        <v>2.9852986946084532</v>
      </c>
      <c r="P55" s="3605">
        <f>SUM(P34:P54)</f>
        <v>324907.3716666667</v>
      </c>
      <c r="Q55" s="3605">
        <f>SUM(Q34:Q54)</f>
        <v>1050.6500000000001</v>
      </c>
      <c r="R55" s="3566">
        <f>P55/Q55/30</f>
        <v>10.308138506850257</v>
      </c>
    </row>
    <row r="56" spans="1:18" s="3566" customFormat="1">
      <c r="A56" s="4082" t="s">
        <v>3818</v>
      </c>
      <c r="B56" s="3571" t="s">
        <v>3819</v>
      </c>
      <c r="C56" s="3580" t="s">
        <v>3820</v>
      </c>
      <c r="D56" s="3580" t="s">
        <v>3821</v>
      </c>
      <c r="E56" s="3578" t="s">
        <v>3784</v>
      </c>
      <c r="F56" s="3572">
        <v>200</v>
      </c>
      <c r="G56" s="3572"/>
      <c r="H56" s="3579">
        <v>44228</v>
      </c>
      <c r="I56" s="3574">
        <v>47149</v>
      </c>
      <c r="J56" s="3575">
        <v>3</v>
      </c>
      <c r="K56" s="3576">
        <v>0.12</v>
      </c>
      <c r="L56" s="3575">
        <f>J56*365/12*F56</f>
        <v>18250</v>
      </c>
      <c r="M56" s="3575">
        <f>F56*76</f>
        <v>15200</v>
      </c>
      <c r="N56" s="3590" t="s">
        <v>3684</v>
      </c>
    </row>
    <row r="57" spans="1:18" s="3566" customFormat="1">
      <c r="A57" s="4083"/>
      <c r="B57" s="3571" t="s">
        <v>3822</v>
      </c>
      <c r="C57" s="3580" t="s">
        <v>3823</v>
      </c>
      <c r="D57" s="3580" t="s">
        <v>3824</v>
      </c>
      <c r="E57" s="3580" t="s">
        <v>3825</v>
      </c>
      <c r="F57" s="3572">
        <v>295</v>
      </c>
      <c r="G57" s="3572"/>
      <c r="H57" s="3579">
        <v>44228</v>
      </c>
      <c r="I57" s="3574">
        <v>47149</v>
      </c>
      <c r="J57" s="3575">
        <v>3</v>
      </c>
      <c r="K57" s="3576">
        <v>0.12</v>
      </c>
      <c r="L57" s="3575">
        <f>J57*365/12*F57</f>
        <v>26918.75</v>
      </c>
      <c r="M57" s="3575">
        <f>F57*76</f>
        <v>22420</v>
      </c>
      <c r="N57" s="3590" t="s">
        <v>3684</v>
      </c>
    </row>
    <row r="58" spans="1:18" s="3566" customFormat="1">
      <c r="A58" s="4083"/>
      <c r="B58" s="3571" t="s">
        <v>3826</v>
      </c>
      <c r="C58" s="3580" t="s">
        <v>3827</v>
      </c>
      <c r="D58" s="3580" t="s">
        <v>3828</v>
      </c>
      <c r="E58" s="3580" t="s">
        <v>3829</v>
      </c>
      <c r="F58" s="3572">
        <v>345.45299999999997</v>
      </c>
      <c r="G58" s="3572"/>
      <c r="H58" s="3573" t="s">
        <v>3830</v>
      </c>
      <c r="I58" s="3574" t="s">
        <v>3831</v>
      </c>
      <c r="J58" s="3575">
        <v>7.33</v>
      </c>
      <c r="K58" s="3576"/>
      <c r="L58" s="3575">
        <f>J58*30*F58</f>
        <v>75965.114699999991</v>
      </c>
      <c r="M58" s="3575">
        <f>F58*60</f>
        <v>20727.18</v>
      </c>
      <c r="N58" s="3577"/>
    </row>
    <row r="59" spans="1:18" s="3566" customFormat="1">
      <c r="A59" s="4083"/>
      <c r="B59" s="3571" t="s">
        <v>3832</v>
      </c>
      <c r="C59" s="3580" t="s">
        <v>3833</v>
      </c>
      <c r="D59" s="3580" t="s">
        <v>3834</v>
      </c>
      <c r="E59" s="3580" t="s">
        <v>3675</v>
      </c>
      <c r="F59" s="3572">
        <v>172.7</v>
      </c>
      <c r="G59" s="3572"/>
      <c r="H59" s="3579">
        <v>44477</v>
      </c>
      <c r="I59" s="3574">
        <v>45937</v>
      </c>
      <c r="J59" s="3575">
        <v>5.5</v>
      </c>
      <c r="K59" s="3576"/>
      <c r="L59" s="3575">
        <f>J59*365/12*F59</f>
        <v>28891.270833333328</v>
      </c>
      <c r="M59" s="3575">
        <f>F59*76</f>
        <v>13125.199999999999</v>
      </c>
      <c r="N59" s="3577"/>
    </row>
    <row r="60" spans="1:18" s="3566" customFormat="1">
      <c r="A60" s="4083"/>
      <c r="B60" s="3571" t="s">
        <v>3835</v>
      </c>
      <c r="C60" s="3580"/>
      <c r="D60" s="3580"/>
      <c r="E60" s="3580"/>
      <c r="F60" s="3572"/>
      <c r="G60" s="3572">
        <v>76</v>
      </c>
      <c r="H60" s="3579"/>
      <c r="I60" s="3574"/>
      <c r="J60" s="3575"/>
      <c r="K60" s="3576"/>
      <c r="L60" s="3575">
        <f>J60*365/12*F60</f>
        <v>0</v>
      </c>
      <c r="M60" s="3575">
        <f>F60*76</f>
        <v>0</v>
      </c>
      <c r="N60" s="3577"/>
    </row>
    <row r="61" spans="1:18" s="3566" customFormat="1">
      <c r="A61" s="4083"/>
      <c r="B61" s="3571" t="s">
        <v>3836</v>
      </c>
      <c r="C61" s="3580" t="s">
        <v>3837</v>
      </c>
      <c r="D61" s="3580" t="s">
        <v>3838</v>
      </c>
      <c r="E61" s="3580" t="s">
        <v>3839</v>
      </c>
      <c r="F61" s="3572">
        <v>59.5</v>
      </c>
      <c r="G61" s="3572"/>
      <c r="H61" s="3579">
        <v>44568</v>
      </c>
      <c r="I61" s="3574">
        <v>44926</v>
      </c>
      <c r="J61" s="3575">
        <v>8000</v>
      </c>
      <c r="K61" s="3576">
        <v>0.2</v>
      </c>
      <c r="L61" s="3575">
        <v>8000</v>
      </c>
      <c r="M61" s="3575">
        <v>0</v>
      </c>
      <c r="N61" s="3590" t="s">
        <v>3684</v>
      </c>
    </row>
    <row r="62" spans="1:18" s="3566" customFormat="1">
      <c r="A62" s="4083"/>
      <c r="B62" s="3571" t="s">
        <v>3840</v>
      </c>
      <c r="C62" s="3580" t="s">
        <v>3841</v>
      </c>
      <c r="D62" s="3580"/>
      <c r="E62" s="3580" t="s">
        <v>3842</v>
      </c>
      <c r="F62" s="3572">
        <v>51.45</v>
      </c>
      <c r="G62" s="3572"/>
      <c r="H62" s="3579"/>
      <c r="I62" s="3574"/>
      <c r="J62" s="3575"/>
      <c r="K62" s="3576"/>
      <c r="L62" s="3575">
        <f t="shared" ref="L62:L69" si="7">J62*365/12*F62</f>
        <v>0</v>
      </c>
      <c r="M62" s="3575">
        <f t="shared" ref="M62:M69" si="8">F62*76</f>
        <v>3910.2000000000003</v>
      </c>
      <c r="N62" s="3590" t="s">
        <v>3684</v>
      </c>
    </row>
    <row r="63" spans="1:18" s="3566" customFormat="1">
      <c r="A63" s="4083"/>
      <c r="B63" s="3571" t="s">
        <v>3843</v>
      </c>
      <c r="C63" s="3580" t="s">
        <v>3841</v>
      </c>
      <c r="D63" s="3580"/>
      <c r="E63" s="3580" t="s">
        <v>3842</v>
      </c>
      <c r="F63" s="3572">
        <v>41.5</v>
      </c>
      <c r="G63" s="3572"/>
      <c r="H63" s="3579"/>
      <c r="I63" s="3574"/>
      <c r="J63" s="3575"/>
      <c r="K63" s="3576"/>
      <c r="L63" s="3575">
        <f t="shared" si="7"/>
        <v>0</v>
      </c>
      <c r="M63" s="3575">
        <f t="shared" si="8"/>
        <v>3154</v>
      </c>
      <c r="N63" s="3590"/>
    </row>
    <row r="64" spans="1:18" s="3566" customFormat="1">
      <c r="A64" s="4083"/>
      <c r="B64" s="3571" t="s">
        <v>3844</v>
      </c>
      <c r="C64" s="3584"/>
      <c r="D64" s="3580"/>
      <c r="E64" s="3580"/>
      <c r="F64" s="3572"/>
      <c r="G64" s="3572">
        <v>71.239999999999995</v>
      </c>
      <c r="H64" s="3579"/>
      <c r="I64" s="3574"/>
      <c r="J64" s="3575"/>
      <c r="K64" s="3576"/>
      <c r="L64" s="3575">
        <f t="shared" si="7"/>
        <v>0</v>
      </c>
      <c r="M64" s="3575">
        <f t="shared" si="8"/>
        <v>0</v>
      </c>
      <c r="N64" s="3590"/>
    </row>
    <row r="65" spans="1:15" s="3566" customFormat="1">
      <c r="A65" s="4083"/>
      <c r="B65" s="3571" t="s">
        <v>3845</v>
      </c>
      <c r="C65" s="3584" t="s">
        <v>3841</v>
      </c>
      <c r="D65" s="3580"/>
      <c r="E65" s="3580" t="s">
        <v>3842</v>
      </c>
      <c r="F65" s="3572">
        <v>66.709999999999994</v>
      </c>
      <c r="G65" s="3572"/>
      <c r="H65" s="3579"/>
      <c r="I65" s="3574"/>
      <c r="J65" s="3575"/>
      <c r="K65" s="3576"/>
      <c r="L65" s="3575">
        <f t="shared" si="7"/>
        <v>0</v>
      </c>
      <c r="M65" s="3575">
        <f t="shared" si="8"/>
        <v>5069.9599999999991</v>
      </c>
      <c r="N65" s="3590"/>
    </row>
    <row r="66" spans="1:15" s="3566" customFormat="1">
      <c r="A66" s="4083"/>
      <c r="B66" s="3581" t="s">
        <v>3846</v>
      </c>
      <c r="C66" s="3614" t="s">
        <v>3847</v>
      </c>
      <c r="D66" s="3614" t="s">
        <v>3848</v>
      </c>
      <c r="E66" s="3580" t="s">
        <v>3842</v>
      </c>
      <c r="F66" s="3572">
        <v>37.369999999999997</v>
      </c>
      <c r="G66" s="3572"/>
      <c r="H66" s="3573" t="s">
        <v>3830</v>
      </c>
      <c r="I66" s="3574">
        <v>44926</v>
      </c>
      <c r="J66" s="3575">
        <v>7.5</v>
      </c>
      <c r="K66" s="3576">
        <v>0.2</v>
      </c>
      <c r="L66" s="3575">
        <f t="shared" si="7"/>
        <v>8525.03125</v>
      </c>
      <c r="M66" s="3575">
        <f t="shared" si="8"/>
        <v>2840.12</v>
      </c>
      <c r="N66" s="3590" t="s">
        <v>3684</v>
      </c>
    </row>
    <row r="67" spans="1:15" s="3566" customFormat="1">
      <c r="A67" s="4083"/>
      <c r="B67" s="3571" t="s">
        <v>3849</v>
      </c>
      <c r="C67" s="3615" t="s">
        <v>3850</v>
      </c>
      <c r="D67" s="3615" t="s">
        <v>3851</v>
      </c>
      <c r="E67" s="3616" t="s">
        <v>3852</v>
      </c>
      <c r="F67" s="3575">
        <v>131.96</v>
      </c>
      <c r="G67" s="3575"/>
      <c r="H67" s="3579">
        <v>44362</v>
      </c>
      <c r="I67" s="3574">
        <v>45091</v>
      </c>
      <c r="J67" s="3575">
        <v>7.66</v>
      </c>
      <c r="K67" s="3576"/>
      <c r="L67" s="3575">
        <f t="shared" si="7"/>
        <v>30745.580333333335</v>
      </c>
      <c r="M67" s="3575">
        <f t="shared" si="8"/>
        <v>10028.960000000001</v>
      </c>
      <c r="N67" s="3577"/>
    </row>
    <row r="68" spans="1:15" s="3566" customFormat="1">
      <c r="A68" s="4083"/>
      <c r="B68" s="3571" t="s">
        <v>3853</v>
      </c>
      <c r="C68" s="3580" t="s">
        <v>3854</v>
      </c>
      <c r="D68" s="3580" t="s">
        <v>3855</v>
      </c>
      <c r="E68" s="3580" t="s">
        <v>3852</v>
      </c>
      <c r="F68" s="3572">
        <v>539.1</v>
      </c>
      <c r="G68" s="3572"/>
      <c r="H68" s="3586">
        <v>43862</v>
      </c>
      <c r="I68" s="3586">
        <v>46053</v>
      </c>
      <c r="J68" s="3575">
        <v>3.6</v>
      </c>
      <c r="K68" s="3576"/>
      <c r="L68" s="3575">
        <f t="shared" si="7"/>
        <v>59031.450000000004</v>
      </c>
      <c r="M68" s="3575">
        <f t="shared" si="8"/>
        <v>40971.599999999999</v>
      </c>
      <c r="N68" s="3577"/>
    </row>
    <row r="69" spans="1:15" s="3566" customFormat="1" ht="33.75">
      <c r="A69" s="4083"/>
      <c r="B69" s="3571" t="s">
        <v>3856</v>
      </c>
      <c r="C69" s="3580" t="s">
        <v>3857</v>
      </c>
      <c r="D69" s="3580" t="s">
        <v>3858</v>
      </c>
      <c r="E69" s="3580" t="s">
        <v>3681</v>
      </c>
      <c r="F69" s="3572">
        <v>285</v>
      </c>
      <c r="G69" s="3572"/>
      <c r="H69" s="3586">
        <v>43983</v>
      </c>
      <c r="I69" s="3574">
        <v>45838</v>
      </c>
      <c r="J69" s="3575">
        <v>5.3</v>
      </c>
      <c r="K69" s="3576" t="s">
        <v>3859</v>
      </c>
      <c r="L69" s="3575">
        <f t="shared" si="7"/>
        <v>45944.375</v>
      </c>
      <c r="M69" s="3575">
        <f t="shared" si="8"/>
        <v>21660</v>
      </c>
      <c r="N69" s="3576"/>
    </row>
    <row r="70" spans="1:15" s="3566" customFormat="1">
      <c r="A70" s="4083"/>
      <c r="B70" s="3571" t="s">
        <v>3860</v>
      </c>
      <c r="C70" s="3584" t="s">
        <v>3861</v>
      </c>
      <c r="D70" s="3584" t="s">
        <v>3862</v>
      </c>
      <c r="E70" s="3580" t="s">
        <v>3839</v>
      </c>
      <c r="F70" s="3585">
        <v>270.14999999999998</v>
      </c>
      <c r="G70" s="3585"/>
      <c r="H70" s="3586">
        <v>43862</v>
      </c>
      <c r="I70" s="3574">
        <v>44895</v>
      </c>
      <c r="J70" s="3575">
        <v>20000</v>
      </c>
      <c r="K70" s="3576">
        <v>0.13</v>
      </c>
      <c r="L70" s="3575">
        <v>20000</v>
      </c>
      <c r="M70" s="3575">
        <v>0</v>
      </c>
      <c r="N70" s="3590" t="s">
        <v>3684</v>
      </c>
    </row>
    <row r="71" spans="1:15" s="3566" customFormat="1">
      <c r="A71" s="4083"/>
      <c r="B71" s="3571" t="s">
        <v>3863</v>
      </c>
      <c r="C71" s="3580"/>
      <c r="D71" s="3580"/>
      <c r="E71" s="3580"/>
      <c r="F71" s="3572"/>
      <c r="G71" s="3572">
        <v>287.83</v>
      </c>
      <c r="H71" s="3574"/>
      <c r="I71" s="3574"/>
      <c r="J71" s="3575"/>
      <c r="K71" s="3617"/>
      <c r="L71" s="3575">
        <f>J71*365/12*F71</f>
        <v>0</v>
      </c>
      <c r="M71" s="3575">
        <f>F71*76</f>
        <v>0</v>
      </c>
      <c r="N71" s="3577"/>
    </row>
    <row r="72" spans="1:15" s="3566" customFormat="1">
      <c r="A72" s="4083"/>
      <c r="B72" s="3571" t="s">
        <v>3864</v>
      </c>
      <c r="C72" s="3580"/>
      <c r="D72" s="3580"/>
      <c r="E72" s="3580"/>
      <c r="F72" s="3572"/>
      <c r="G72" s="3572">
        <v>147.94999999999999</v>
      </c>
      <c r="H72" s="3572"/>
      <c r="I72" s="3572"/>
      <c r="J72" s="3575"/>
      <c r="K72" s="3583"/>
      <c r="L72" s="3575">
        <f>J72*365/12*F72</f>
        <v>0</v>
      </c>
      <c r="M72" s="3575">
        <f>F72*76</f>
        <v>0</v>
      </c>
      <c r="N72" s="3577"/>
    </row>
    <row r="73" spans="1:15" s="3566" customFormat="1">
      <c r="A73" s="4084"/>
      <c r="B73" s="3571" t="s">
        <v>3865</v>
      </c>
      <c r="C73" s="3580" t="s">
        <v>3866</v>
      </c>
      <c r="D73" s="3580" t="s">
        <v>3867</v>
      </c>
      <c r="E73" s="3580" t="s">
        <v>3868</v>
      </c>
      <c r="F73" s="3572">
        <v>442.4</v>
      </c>
      <c r="G73" s="3572"/>
      <c r="H73" s="3574">
        <v>44270</v>
      </c>
      <c r="I73" s="3574">
        <v>46095</v>
      </c>
      <c r="J73" s="3575">
        <v>3.6</v>
      </c>
      <c r="K73" s="3576"/>
      <c r="L73" s="3575">
        <f>J73*365/12*F73</f>
        <v>48442.799999999996</v>
      </c>
      <c r="M73" s="3575">
        <f>F73*76</f>
        <v>33622.400000000001</v>
      </c>
      <c r="N73" s="3576"/>
    </row>
    <row r="74" spans="1:15" s="3566" customFormat="1">
      <c r="A74" s="3593"/>
      <c r="B74" s="3604">
        <f>F74+G74</f>
        <v>3521.3130000000001</v>
      </c>
      <c r="C74" s="3595"/>
      <c r="D74" s="3595"/>
      <c r="E74" s="3595" t="s">
        <v>3676</v>
      </c>
      <c r="F74" s="3596">
        <f>SUM(F56:F73)</f>
        <v>2938.2930000000001</v>
      </c>
      <c r="G74" s="3596">
        <f>SUM(G56:G73)</f>
        <v>583.02</v>
      </c>
      <c r="H74" s="3596">
        <f>G74+F74</f>
        <v>3521.3130000000001</v>
      </c>
      <c r="I74" s="3596"/>
      <c r="J74" s="3596"/>
      <c r="K74" s="3598"/>
      <c r="L74" s="3599">
        <f>SUM(L56:L73)</f>
        <v>370714.37211666669</v>
      </c>
      <c r="M74" s="3599">
        <f>SUM(M56:M73)</f>
        <v>192729.62</v>
      </c>
      <c r="N74" s="3600"/>
      <c r="O74" s="3566">
        <f>L74/F74/30</f>
        <v>4.2055525903040385</v>
      </c>
    </row>
    <row r="75" spans="1:15" s="3566" customFormat="1">
      <c r="A75" s="4082" t="s">
        <v>3869</v>
      </c>
      <c r="B75" s="3571" t="s">
        <v>3870</v>
      </c>
      <c r="C75" s="3580" t="s">
        <v>3871</v>
      </c>
      <c r="D75" s="3580" t="s">
        <v>3872</v>
      </c>
      <c r="E75" s="3584" t="s">
        <v>3842</v>
      </c>
      <c r="F75" s="3572">
        <v>1842</v>
      </c>
      <c r="G75" s="3572"/>
      <c r="H75" s="3592"/>
      <c r="I75" s="3574"/>
      <c r="J75" s="3575">
        <v>2.8</v>
      </c>
      <c r="K75" s="3583"/>
      <c r="L75" s="3575">
        <f>J75*365/12*F75</f>
        <v>156876.99999999997</v>
      </c>
      <c r="M75" s="3575">
        <f>F75*76</f>
        <v>139992</v>
      </c>
      <c r="N75" s="3577"/>
    </row>
    <row r="76" spans="1:15" s="3566" customFormat="1">
      <c r="A76" s="4083"/>
      <c r="B76" s="3571" t="s">
        <v>3873</v>
      </c>
      <c r="C76" s="3580" t="s">
        <v>3874</v>
      </c>
      <c r="D76" s="3580" t="s">
        <v>3875</v>
      </c>
      <c r="E76" s="3580" t="s">
        <v>3876</v>
      </c>
      <c r="F76" s="3572">
        <v>134.19999999999999</v>
      </c>
      <c r="G76" s="3572"/>
      <c r="H76" s="3592" t="s">
        <v>3877</v>
      </c>
      <c r="I76" s="3574" t="s">
        <v>3878</v>
      </c>
      <c r="J76" s="3575">
        <v>6.8</v>
      </c>
      <c r="K76" s="3576"/>
      <c r="L76" s="3575">
        <f>J76*F76*30</f>
        <v>27376.799999999999</v>
      </c>
      <c r="M76" s="3575">
        <f>F76*60</f>
        <v>8051.9999999999991</v>
      </c>
      <c r="N76" s="3577"/>
    </row>
    <row r="77" spans="1:15" s="3566" customFormat="1">
      <c r="A77" s="4083"/>
      <c r="B77" s="3571" t="s">
        <v>3879</v>
      </c>
      <c r="C77" s="3580" t="s">
        <v>3880</v>
      </c>
      <c r="D77" s="3580" t="s">
        <v>3881</v>
      </c>
      <c r="E77" s="3580" t="s">
        <v>3653</v>
      </c>
      <c r="F77" s="3572">
        <v>94.1</v>
      </c>
      <c r="G77" s="3572"/>
      <c r="H77" s="3586">
        <v>44365</v>
      </c>
      <c r="I77" s="3574">
        <v>45460</v>
      </c>
      <c r="J77" s="3575">
        <v>8.4</v>
      </c>
      <c r="K77" s="3583"/>
      <c r="L77" s="3575">
        <f t="shared" ref="L77:L84" si="9">J77*365/12*F77</f>
        <v>24042.55</v>
      </c>
      <c r="M77" s="3575">
        <f t="shared" ref="M77:M84" si="10">F77*76</f>
        <v>7151.5999999999995</v>
      </c>
      <c r="N77" s="3577"/>
    </row>
    <row r="78" spans="1:15" s="3566" customFormat="1">
      <c r="A78" s="4083"/>
      <c r="B78" s="3571" t="s">
        <v>3882</v>
      </c>
      <c r="C78" s="3618" t="s">
        <v>3883</v>
      </c>
      <c r="D78" s="3616" t="s">
        <v>3884</v>
      </c>
      <c r="E78" s="3616" t="s">
        <v>3876</v>
      </c>
      <c r="F78" s="3572">
        <v>151</v>
      </c>
      <c r="G78" s="3572"/>
      <c r="H78" s="3586">
        <v>44301</v>
      </c>
      <c r="I78" s="3574">
        <v>46126</v>
      </c>
      <c r="J78" s="3575">
        <v>7.5</v>
      </c>
      <c r="K78" s="3576">
        <v>0.12</v>
      </c>
      <c r="L78" s="3575">
        <f t="shared" si="9"/>
        <v>34446.875</v>
      </c>
      <c r="M78" s="3575">
        <f t="shared" si="10"/>
        <v>11476</v>
      </c>
      <c r="N78" s="3576" t="s">
        <v>3684</v>
      </c>
    </row>
    <row r="79" spans="1:15" s="3566" customFormat="1">
      <c r="A79" s="4083"/>
      <c r="B79" s="3571" t="s">
        <v>3885</v>
      </c>
      <c r="C79" s="3580" t="s">
        <v>3886</v>
      </c>
      <c r="D79" s="3580" t="s">
        <v>3887</v>
      </c>
      <c r="E79" s="3616" t="s">
        <v>3876</v>
      </c>
      <c r="F79" s="3572">
        <v>79.599999999999994</v>
      </c>
      <c r="G79" s="3572"/>
      <c r="H79" s="3586">
        <v>44454</v>
      </c>
      <c r="I79" s="3574">
        <v>45183</v>
      </c>
      <c r="J79" s="3575">
        <v>8</v>
      </c>
      <c r="K79" s="3576"/>
      <c r="L79" s="3575">
        <f t="shared" si="9"/>
        <v>19369.333333333332</v>
      </c>
      <c r="M79" s="3575">
        <f t="shared" si="10"/>
        <v>6049.5999999999995</v>
      </c>
      <c r="N79" s="3577"/>
    </row>
    <row r="80" spans="1:15" s="3566" customFormat="1">
      <c r="A80" s="4083"/>
      <c r="B80" s="3571" t="s">
        <v>3888</v>
      </c>
      <c r="C80" s="3580" t="s">
        <v>3889</v>
      </c>
      <c r="D80" s="3580" t="s">
        <v>3890</v>
      </c>
      <c r="E80" s="3580" t="s">
        <v>3876</v>
      </c>
      <c r="F80" s="3572">
        <v>500.73</v>
      </c>
      <c r="G80" s="3572"/>
      <c r="H80" s="3573" t="s">
        <v>3891</v>
      </c>
      <c r="I80" s="3574">
        <v>45530</v>
      </c>
      <c r="J80" s="3575">
        <v>7.21</v>
      </c>
      <c r="K80" s="3576"/>
      <c r="L80" s="3575">
        <f t="shared" si="9"/>
        <v>109812.17537500001</v>
      </c>
      <c r="M80" s="3575">
        <f t="shared" si="10"/>
        <v>38055.480000000003</v>
      </c>
      <c r="N80" s="3577"/>
    </row>
    <row r="81" spans="1:15" s="3566" customFormat="1">
      <c r="A81" s="4083"/>
      <c r="B81" s="3571" t="s">
        <v>3892</v>
      </c>
      <c r="C81" s="3580" t="s">
        <v>3893</v>
      </c>
      <c r="D81" s="3580" t="s">
        <v>3894</v>
      </c>
      <c r="E81" s="3580" t="s">
        <v>3895</v>
      </c>
      <c r="F81" s="3572">
        <v>335.51</v>
      </c>
      <c r="G81" s="3572"/>
      <c r="H81" s="3579">
        <v>44484</v>
      </c>
      <c r="I81" s="3574">
        <v>46674</v>
      </c>
      <c r="J81" s="3575">
        <v>3.5</v>
      </c>
      <c r="K81" s="3576"/>
      <c r="L81" s="3575">
        <f t="shared" si="9"/>
        <v>35717.835416666661</v>
      </c>
      <c r="M81" s="3575">
        <f t="shared" si="10"/>
        <v>25498.76</v>
      </c>
      <c r="N81" s="3577"/>
    </row>
    <row r="82" spans="1:15" s="3566" customFormat="1">
      <c r="A82" s="4083"/>
      <c r="B82" s="3571" t="s">
        <v>3896</v>
      </c>
      <c r="C82" s="3580" t="s">
        <v>3897</v>
      </c>
      <c r="D82" s="3580" t="s">
        <v>3898</v>
      </c>
      <c r="E82" s="3616" t="s">
        <v>3876</v>
      </c>
      <c r="F82" s="3572">
        <v>308</v>
      </c>
      <c r="G82" s="3572"/>
      <c r="H82" s="3579">
        <v>44479</v>
      </c>
      <c r="I82" s="3574">
        <v>46669</v>
      </c>
      <c r="J82" s="3575">
        <v>4</v>
      </c>
      <c r="K82" s="3576"/>
      <c r="L82" s="3575">
        <f t="shared" si="9"/>
        <v>37473.333333333336</v>
      </c>
      <c r="M82" s="3575">
        <f t="shared" si="10"/>
        <v>23408</v>
      </c>
      <c r="N82" s="3577"/>
    </row>
    <row r="83" spans="1:15" s="3566" customFormat="1">
      <c r="A83" s="4083"/>
      <c r="B83" s="3571" t="s">
        <v>3899</v>
      </c>
      <c r="C83" s="3580" t="s">
        <v>3900</v>
      </c>
      <c r="D83" s="3580" t="s">
        <v>3901</v>
      </c>
      <c r="E83" s="3580" t="s">
        <v>3902</v>
      </c>
      <c r="F83" s="3572">
        <v>43.58</v>
      </c>
      <c r="G83" s="3572"/>
      <c r="H83" s="3579">
        <v>44614</v>
      </c>
      <c r="I83" s="3574">
        <v>45709</v>
      </c>
      <c r="J83" s="3575">
        <v>8.5</v>
      </c>
      <c r="K83" s="3576"/>
      <c r="L83" s="3575">
        <f t="shared" si="9"/>
        <v>11267.245833333334</v>
      </c>
      <c r="M83" s="3575">
        <f t="shared" si="10"/>
        <v>3312.08</v>
      </c>
      <c r="N83" s="3577"/>
    </row>
    <row r="84" spans="1:15" s="3566" customFormat="1">
      <c r="A84" s="4084"/>
      <c r="B84" s="3581" t="s">
        <v>3903</v>
      </c>
      <c r="C84" s="3580"/>
      <c r="D84" s="3580"/>
      <c r="E84" s="3580"/>
      <c r="F84" s="3572"/>
      <c r="G84" s="3572">
        <v>59.52</v>
      </c>
      <c r="H84" s="3592"/>
      <c r="I84" s="3582"/>
      <c r="J84" s="3575"/>
      <c r="K84" s="3576"/>
      <c r="L84" s="3575">
        <f t="shared" si="9"/>
        <v>0</v>
      </c>
      <c r="M84" s="3575">
        <f t="shared" si="10"/>
        <v>0</v>
      </c>
      <c r="N84" s="3577"/>
    </row>
    <row r="85" spans="1:15" s="3566" customFormat="1">
      <c r="A85" s="3593"/>
      <c r="B85" s="3619">
        <f>F85+G85</f>
        <v>3548.2400000000002</v>
      </c>
      <c r="C85" s="3595"/>
      <c r="D85" s="3595"/>
      <c r="E85" s="3595" t="s">
        <v>3748</v>
      </c>
      <c r="F85" s="3596">
        <f>SUM(F75:F84)</f>
        <v>3488.7200000000003</v>
      </c>
      <c r="G85" s="3596">
        <f>SUM(G75:G84)</f>
        <v>59.52</v>
      </c>
      <c r="H85" s="3596">
        <f>G85+F85</f>
        <v>3548.2400000000002</v>
      </c>
      <c r="I85" s="3596"/>
      <c r="J85" s="3596"/>
      <c r="K85" s="3598"/>
      <c r="L85" s="3599">
        <f>SUM(L75:L84)</f>
        <v>456383.14829166658</v>
      </c>
      <c r="M85" s="3599">
        <f>SUM(M75:M84)</f>
        <v>262995.52</v>
      </c>
      <c r="N85" s="3600"/>
      <c r="O85" s="3566">
        <f>L85/F85/30</f>
        <v>4.3605596349727742</v>
      </c>
    </row>
    <row r="86" spans="1:15" s="3566" customFormat="1">
      <c r="A86" s="4082" t="s">
        <v>3904</v>
      </c>
      <c r="B86" s="3571" t="s">
        <v>3905</v>
      </c>
      <c r="C86" s="3580" t="s">
        <v>3906</v>
      </c>
      <c r="D86" s="3580" t="s">
        <v>3907</v>
      </c>
      <c r="E86" s="3580" t="s">
        <v>3876</v>
      </c>
      <c r="F86" s="3572">
        <v>373.15</v>
      </c>
      <c r="G86" s="3572"/>
      <c r="H86" s="3574" t="s">
        <v>3908</v>
      </c>
      <c r="I86" s="3574">
        <v>45869</v>
      </c>
      <c r="J86" s="3575">
        <v>5.5</v>
      </c>
      <c r="K86" s="3576"/>
      <c r="L86" s="3575">
        <f>J86*365/12*F86</f>
        <v>62424.885416666657</v>
      </c>
      <c r="M86" s="3575">
        <f>F86*76</f>
        <v>28359.399999999998</v>
      </c>
      <c r="N86" s="3577"/>
    </row>
    <row r="87" spans="1:15" s="3566" customFormat="1">
      <c r="A87" s="4083"/>
      <c r="B87" s="3571" t="s">
        <v>3909</v>
      </c>
      <c r="C87" s="3580" t="s">
        <v>3910</v>
      </c>
      <c r="D87" s="3580" t="s">
        <v>3911</v>
      </c>
      <c r="E87" s="3580" t="s">
        <v>3876</v>
      </c>
      <c r="F87" s="3572">
        <v>168.12</v>
      </c>
      <c r="G87" s="3572"/>
      <c r="H87" s="3574" t="s">
        <v>3912</v>
      </c>
      <c r="I87" s="3574">
        <v>45138</v>
      </c>
      <c r="J87" s="3575">
        <v>8.5</v>
      </c>
      <c r="K87" s="3576"/>
      <c r="L87" s="3575">
        <f t="shared" ref="L87:L97" si="11">J87*365/12*F87</f>
        <v>43466.025000000001</v>
      </c>
      <c r="M87" s="3575">
        <f t="shared" ref="M87:M97" si="12">F87*76</f>
        <v>12777.12</v>
      </c>
      <c r="N87" s="3577"/>
    </row>
    <row r="88" spans="1:15" s="3566" customFormat="1">
      <c r="A88" s="4083"/>
      <c r="B88" s="3571" t="s">
        <v>3913</v>
      </c>
      <c r="C88" s="3580" t="s">
        <v>3914</v>
      </c>
      <c r="D88" s="3580" t="s">
        <v>3915</v>
      </c>
      <c r="E88" s="3580" t="s">
        <v>3876</v>
      </c>
      <c r="F88" s="3572">
        <v>315.81</v>
      </c>
      <c r="G88" s="3572"/>
      <c r="H88" s="3574" t="s">
        <v>3916</v>
      </c>
      <c r="I88" s="3574">
        <v>45657</v>
      </c>
      <c r="J88" s="3575">
        <v>7</v>
      </c>
      <c r="K88" s="3576"/>
      <c r="L88" s="3575">
        <f t="shared" si="11"/>
        <v>67241.212499999994</v>
      </c>
      <c r="M88" s="3575">
        <f t="shared" si="12"/>
        <v>24001.56</v>
      </c>
      <c r="N88" s="3577"/>
    </row>
    <row r="89" spans="1:15" s="3566" customFormat="1">
      <c r="A89" s="4083"/>
      <c r="B89" s="3571" t="s">
        <v>3917</v>
      </c>
      <c r="C89" s="3580" t="s">
        <v>3918</v>
      </c>
      <c r="D89" s="3580" t="s">
        <v>3919</v>
      </c>
      <c r="E89" s="3580" t="s">
        <v>3920</v>
      </c>
      <c r="F89" s="3572">
        <v>138.5</v>
      </c>
      <c r="G89" s="3572"/>
      <c r="H89" s="3574" t="s">
        <v>3921</v>
      </c>
      <c r="I89" s="3574" t="s">
        <v>3922</v>
      </c>
      <c r="J89" s="3575">
        <v>7.5</v>
      </c>
      <c r="K89" s="3576"/>
      <c r="L89" s="3575">
        <f t="shared" si="11"/>
        <v>31595.3125</v>
      </c>
      <c r="M89" s="3575">
        <f t="shared" si="12"/>
        <v>10526</v>
      </c>
      <c r="N89" s="3577"/>
    </row>
    <row r="90" spans="1:15" s="3566" customFormat="1" ht="22.5">
      <c r="A90" s="4083"/>
      <c r="B90" s="3571" t="s">
        <v>3923</v>
      </c>
      <c r="C90" s="3580" t="s">
        <v>3924</v>
      </c>
      <c r="D90" s="3580" t="s">
        <v>3925</v>
      </c>
      <c r="E90" s="3580" t="s">
        <v>3876</v>
      </c>
      <c r="F90" s="3572">
        <v>256.12</v>
      </c>
      <c r="G90" s="3572"/>
      <c r="H90" s="3574" t="s">
        <v>3926</v>
      </c>
      <c r="I90" s="3574">
        <v>45411</v>
      </c>
      <c r="J90" s="3575">
        <v>8.24</v>
      </c>
      <c r="K90" s="3576"/>
      <c r="L90" s="3575">
        <f t="shared" si="11"/>
        <v>64192.209333333332</v>
      </c>
      <c r="M90" s="3575">
        <f t="shared" si="12"/>
        <v>19465.12</v>
      </c>
      <c r="N90" s="3577"/>
    </row>
    <row r="91" spans="1:15" s="3566" customFormat="1">
      <c r="A91" s="4083"/>
      <c r="B91" s="3571" t="s">
        <v>3927</v>
      </c>
      <c r="C91" s="3580" t="s">
        <v>3928</v>
      </c>
      <c r="D91" s="3580" t="s">
        <v>3929</v>
      </c>
      <c r="E91" s="3580" t="s">
        <v>3876</v>
      </c>
      <c r="F91" s="3572">
        <v>206.47300000000001</v>
      </c>
      <c r="G91" s="3572"/>
      <c r="H91" s="3573" t="s">
        <v>3930</v>
      </c>
      <c r="I91" s="3574" t="s">
        <v>3931</v>
      </c>
      <c r="J91" s="3575">
        <v>8.43</v>
      </c>
      <c r="K91" s="3576"/>
      <c r="L91" s="3575">
        <f t="shared" si="11"/>
        <v>52942.2581125</v>
      </c>
      <c r="M91" s="3575">
        <f t="shared" si="12"/>
        <v>15691.948</v>
      </c>
      <c r="N91" s="3577"/>
    </row>
    <row r="92" spans="1:15" s="3566" customFormat="1">
      <c r="A92" s="4083"/>
      <c r="B92" s="3571" t="s">
        <v>3932</v>
      </c>
      <c r="C92" s="3580" t="s">
        <v>3933</v>
      </c>
      <c r="D92" s="3580" t="s">
        <v>3934</v>
      </c>
      <c r="E92" s="3580" t="s">
        <v>3876</v>
      </c>
      <c r="F92" s="3572">
        <v>275.31</v>
      </c>
      <c r="G92" s="3572"/>
      <c r="H92" s="3586">
        <v>43922</v>
      </c>
      <c r="I92" s="3582">
        <v>45747</v>
      </c>
      <c r="J92" s="3575">
        <v>7.5</v>
      </c>
      <c r="K92" s="3576">
        <v>0.05</v>
      </c>
      <c r="L92" s="3575">
        <f t="shared" si="11"/>
        <v>62805.09375</v>
      </c>
      <c r="M92" s="3575">
        <f t="shared" si="12"/>
        <v>20923.560000000001</v>
      </c>
      <c r="N92" s="3577"/>
    </row>
    <row r="93" spans="1:15" s="3566" customFormat="1">
      <c r="A93" s="4083"/>
      <c r="B93" s="3571" t="s">
        <v>3935</v>
      </c>
      <c r="C93" s="3580" t="s">
        <v>3936</v>
      </c>
      <c r="D93" s="3580" t="s">
        <v>3937</v>
      </c>
      <c r="E93" s="3580" t="s">
        <v>3876</v>
      </c>
      <c r="F93" s="3572">
        <v>351.05</v>
      </c>
      <c r="G93" s="3572"/>
      <c r="H93" s="3574">
        <v>43784</v>
      </c>
      <c r="I93" s="3574">
        <v>45975</v>
      </c>
      <c r="J93" s="3575">
        <v>5.83</v>
      </c>
      <c r="K93" s="3576">
        <v>0.06</v>
      </c>
      <c r="L93" s="3575">
        <f t="shared" si="11"/>
        <v>62251.403958333329</v>
      </c>
      <c r="M93" s="3575">
        <f t="shared" si="12"/>
        <v>26679.8</v>
      </c>
      <c r="N93" s="3577"/>
    </row>
    <row r="94" spans="1:15" s="3566" customFormat="1">
      <c r="A94" s="4083"/>
      <c r="B94" s="3571" t="s">
        <v>3938</v>
      </c>
      <c r="C94" s="3580" t="s">
        <v>3939</v>
      </c>
      <c r="D94" s="3580" t="s">
        <v>3940</v>
      </c>
      <c r="E94" s="3580" t="s">
        <v>3876</v>
      </c>
      <c r="F94" s="3572">
        <v>100</v>
      </c>
      <c r="G94" s="3572"/>
      <c r="H94" s="3574" t="s">
        <v>3941</v>
      </c>
      <c r="I94" s="3574">
        <v>45976</v>
      </c>
      <c r="J94" s="3575">
        <v>7.6</v>
      </c>
      <c r="K94" s="3576"/>
      <c r="L94" s="3575">
        <f t="shared" si="11"/>
        <v>23116.666666666664</v>
      </c>
      <c r="M94" s="3575">
        <f t="shared" si="12"/>
        <v>7600</v>
      </c>
      <c r="N94" s="3577"/>
    </row>
    <row r="95" spans="1:15" s="3566" customFormat="1">
      <c r="A95" s="4083"/>
      <c r="B95" s="3571" t="s">
        <v>3942</v>
      </c>
      <c r="C95" s="3616" t="s">
        <v>3943</v>
      </c>
      <c r="D95" s="3616" t="s">
        <v>3944</v>
      </c>
      <c r="E95" s="3616" t="s">
        <v>3945</v>
      </c>
      <c r="F95" s="3572">
        <v>280.7</v>
      </c>
      <c r="G95" s="3572"/>
      <c r="H95" s="3579">
        <v>44315</v>
      </c>
      <c r="I95" s="3574">
        <v>47966</v>
      </c>
      <c r="J95" s="3575">
        <v>7</v>
      </c>
      <c r="K95" s="3576"/>
      <c r="L95" s="3575">
        <f t="shared" si="11"/>
        <v>59765.708333333328</v>
      </c>
      <c r="M95" s="3575">
        <f t="shared" si="12"/>
        <v>21333.200000000001</v>
      </c>
      <c r="N95" s="3577"/>
    </row>
    <row r="96" spans="1:15" s="3566" customFormat="1">
      <c r="A96" s="4083"/>
      <c r="B96" s="3571" t="s">
        <v>3946</v>
      </c>
      <c r="C96" s="3580" t="s">
        <v>3947</v>
      </c>
      <c r="D96" s="3580" t="s">
        <v>3948</v>
      </c>
      <c r="E96" s="3580" t="s">
        <v>3902</v>
      </c>
      <c r="F96" s="3572">
        <v>262.75</v>
      </c>
      <c r="G96" s="3572"/>
      <c r="H96" s="3573" t="s">
        <v>3949</v>
      </c>
      <c r="I96" s="3574">
        <v>45504</v>
      </c>
      <c r="J96" s="3575">
        <v>7.3</v>
      </c>
      <c r="K96" s="3576"/>
      <c r="L96" s="3575">
        <f t="shared" si="11"/>
        <v>58341.447916666664</v>
      </c>
      <c r="M96" s="3575">
        <f t="shared" si="12"/>
        <v>19969</v>
      </c>
      <c r="N96" s="3577"/>
    </row>
    <row r="97" spans="1:15" s="3566" customFormat="1">
      <c r="A97" s="4084"/>
      <c r="B97" s="3571" t="s">
        <v>3950</v>
      </c>
      <c r="C97" s="3580" t="s">
        <v>3951</v>
      </c>
      <c r="D97" s="3580" t="s">
        <v>3952</v>
      </c>
      <c r="E97" s="3580" t="s">
        <v>3902</v>
      </c>
      <c r="F97" s="3572">
        <v>327.5</v>
      </c>
      <c r="G97" s="3572"/>
      <c r="H97" s="3573" t="s">
        <v>3953</v>
      </c>
      <c r="I97" s="3574" t="s">
        <v>3954</v>
      </c>
      <c r="J97" s="3575">
        <v>7.33</v>
      </c>
      <c r="K97" s="3576"/>
      <c r="L97" s="3575">
        <f t="shared" si="11"/>
        <v>73017.489583333328</v>
      </c>
      <c r="M97" s="3575">
        <f t="shared" si="12"/>
        <v>24890</v>
      </c>
      <c r="N97" s="3577"/>
    </row>
    <row r="98" spans="1:15">
      <c r="A98" s="3600"/>
      <c r="B98" s="3620">
        <f>F98+G98</f>
        <v>3055.4829999999997</v>
      </c>
      <c r="C98" s="3600"/>
      <c r="D98" s="3600"/>
      <c r="E98" s="3595" t="s">
        <v>3748</v>
      </c>
      <c r="F98" s="3621">
        <f>SUM(F86:F97)</f>
        <v>3055.4829999999997</v>
      </c>
      <c r="G98" s="3621">
        <f>SUM(G86:G97)</f>
        <v>0</v>
      </c>
      <c r="H98" s="3596">
        <f>G98+F98</f>
        <v>3055.4829999999997</v>
      </c>
      <c r="I98" s="3622"/>
      <c r="J98" s="3622"/>
      <c r="K98" s="3597"/>
      <c r="L98" s="3599">
        <f>SUM(L86:L97)</f>
        <v>661159.71307083336</v>
      </c>
      <c r="M98" s="3599">
        <f>SUM(M86:M97)</f>
        <v>232216.70800000001</v>
      </c>
      <c r="N98" s="3600"/>
      <c r="O98" s="3566">
        <f>L98/F98/30</f>
        <v>7.2128226870714425</v>
      </c>
    </row>
    <row r="99" spans="1:15" s="3629" customFormat="1">
      <c r="A99" s="3623"/>
      <c r="B99" s="3624">
        <f>F99+G99</f>
        <v>21884.506000000001</v>
      </c>
      <c r="C99" s="3623"/>
      <c r="D99" s="3623"/>
      <c r="E99" s="3625"/>
      <c r="F99" s="3626">
        <f>F98+F85+F74+F55+F33+F14</f>
        <v>19843.306</v>
      </c>
      <c r="G99" s="3626">
        <f>G98+G85+G74+G55+G33+G14</f>
        <v>2041.2</v>
      </c>
      <c r="H99" s="3626"/>
      <c r="I99" s="3627"/>
      <c r="J99" s="3627"/>
      <c r="K99" s="3628"/>
      <c r="L99" s="3599">
        <f>L98+L85+L74+L55+L33+L14</f>
        <v>3080957.7197291669</v>
      </c>
      <c r="M99" s="3599">
        <f>M98+M85+M74+M55+M33+M14</f>
        <v>1027296.728</v>
      </c>
      <c r="N99" s="3623"/>
    </row>
    <row r="100" spans="1:15">
      <c r="A100" s="3630"/>
      <c r="B100" s="3630"/>
      <c r="C100" s="3630"/>
      <c r="D100" s="3630"/>
      <c r="E100" s="3631"/>
      <c r="F100" s="3632"/>
      <c r="G100" s="3632"/>
      <c r="H100" s="3633"/>
      <c r="I100" s="3634"/>
      <c r="J100" s="3634"/>
      <c r="K100" s="3635"/>
      <c r="L100" s="3636"/>
      <c r="M100" s="3636"/>
    </row>
    <row r="101" spans="1:15" ht="12.75" thickBot="1"/>
    <row r="102" spans="1:15" ht="23.25">
      <c r="A102" s="3638" t="s">
        <v>3955</v>
      </c>
      <c r="B102" s="3639" t="s">
        <v>3956</v>
      </c>
      <c r="C102" s="3640" t="s">
        <v>3957</v>
      </c>
      <c r="D102" s="3640" t="s">
        <v>3958</v>
      </c>
      <c r="E102" s="3641" t="s">
        <v>3959</v>
      </c>
      <c r="F102" s="3642" t="s">
        <v>3960</v>
      </c>
      <c r="I102" s="3642" t="s">
        <v>3961</v>
      </c>
      <c r="J102" s="3643" t="s">
        <v>3962</v>
      </c>
      <c r="N102" s="3643" t="s">
        <v>3963</v>
      </c>
    </row>
    <row r="103" spans="1:15">
      <c r="A103" s="3644" t="s">
        <v>3964</v>
      </c>
      <c r="B103" s="3645">
        <f>D103/C103</f>
        <v>0.96993517350085878</v>
      </c>
      <c r="C103" s="3646">
        <f>B14</f>
        <v>4390.1799999999994</v>
      </c>
      <c r="D103" s="3647">
        <f>F14</f>
        <v>4258.1899999999996</v>
      </c>
      <c r="E103" s="3648">
        <f t="shared" ref="E103:E108" si="13">C103-D103</f>
        <v>131.98999999999978</v>
      </c>
      <c r="F103" s="3637">
        <f>[2]估价对象信息及测绘!E43</f>
        <v>6825.36</v>
      </c>
      <c r="G103" s="3637">
        <f>C103/F103</f>
        <v>0.64321588897874982</v>
      </c>
      <c r="H103" s="3637">
        <f>O14</f>
        <v>4.0399828787452989</v>
      </c>
      <c r="I103" s="3637">
        <f>H103*C103*30</f>
        <v>532087.56103830109</v>
      </c>
      <c r="J103" s="3567">
        <f>ROUND(I103/F103/30,2)</f>
        <v>2.6</v>
      </c>
      <c r="K103" s="3567">
        <f>J103/J104</f>
        <v>0.46428571428571436</v>
      </c>
      <c r="L103" s="3567">
        <f>ROUND(L104*N103,2)</f>
        <v>4.55</v>
      </c>
      <c r="M103" s="3649">
        <f>L103*F103</f>
        <v>31055.387999999999</v>
      </c>
      <c r="N103" s="3650">
        <v>0.7</v>
      </c>
    </row>
    <row r="104" spans="1:15">
      <c r="A104" s="3644" t="s">
        <v>3965</v>
      </c>
      <c r="B104" s="3645">
        <f t="shared" ref="B104:B109" si="14">D104/C104</f>
        <v>0.71850675461848668</v>
      </c>
      <c r="C104" s="3646">
        <f>B33</f>
        <v>3444.31</v>
      </c>
      <c r="D104" s="3647">
        <f>F33</f>
        <v>2474.7599999999998</v>
      </c>
      <c r="E104" s="3648">
        <f t="shared" si="13"/>
        <v>969.55000000000018</v>
      </c>
      <c r="F104" s="3637">
        <f>[2]估价对象信息及测绘!E44</f>
        <v>6232.32</v>
      </c>
      <c r="G104" s="3637">
        <f t="shared" ref="G104:G108" si="15">C104/F104</f>
        <v>0.5526529446498254</v>
      </c>
      <c r="H104" s="3637">
        <f>O33</f>
        <v>10.124923544774713</v>
      </c>
      <c r="I104" s="3637">
        <f t="shared" ref="I104:I108" si="16">H104*C104*30</f>
        <v>1046201.2624350897</v>
      </c>
      <c r="J104" s="3651">
        <f t="shared" ref="J104:J108" si="17">ROUND(I104/F104/30,2)</f>
        <v>5.6</v>
      </c>
      <c r="L104" s="3651">
        <v>6.5</v>
      </c>
      <c r="M104" s="3649">
        <f t="shared" ref="M104:M108" si="18">L104*F104</f>
        <v>40510.080000000002</v>
      </c>
      <c r="N104" s="3650">
        <v>1</v>
      </c>
    </row>
    <row r="105" spans="1:15">
      <c r="A105" s="3644" t="s">
        <v>3966</v>
      </c>
      <c r="B105" s="3645">
        <f t="shared" si="14"/>
        <v>0.92430025121147119</v>
      </c>
      <c r="C105" s="3646">
        <f>B55</f>
        <v>3924.98</v>
      </c>
      <c r="D105" s="3647">
        <f>F55</f>
        <v>3627.86</v>
      </c>
      <c r="E105" s="3652">
        <f>C105-D105</f>
        <v>297.11999999999989</v>
      </c>
      <c r="F105" s="3637">
        <f>[2]估价对象信息及测绘!E45</f>
        <v>6517.32</v>
      </c>
      <c r="G105" s="3637">
        <f t="shared" si="15"/>
        <v>0.60223834336813298</v>
      </c>
      <c r="H105" s="3637">
        <f>R55</f>
        <v>10.308138506850257</v>
      </c>
      <c r="I105" s="3637">
        <f t="shared" si="16"/>
        <v>1213777.1242985136</v>
      </c>
      <c r="J105" s="3567">
        <f t="shared" si="17"/>
        <v>6.21</v>
      </c>
      <c r="L105" s="3567">
        <f>ROUND(L104*N105,2)</f>
        <v>5.2</v>
      </c>
      <c r="M105" s="3649">
        <f t="shared" si="18"/>
        <v>33890.063999999998</v>
      </c>
      <c r="N105" s="3650">
        <v>0.8</v>
      </c>
    </row>
    <row r="106" spans="1:15">
      <c r="A106" s="3644" t="s">
        <v>3967</v>
      </c>
      <c r="B106" s="3645">
        <f t="shared" si="14"/>
        <v>0.83443178816974373</v>
      </c>
      <c r="C106" s="3653">
        <v>3521.31</v>
      </c>
      <c r="D106" s="3654">
        <f>F74</f>
        <v>2938.2930000000001</v>
      </c>
      <c r="E106" s="3648">
        <f t="shared" si="13"/>
        <v>583.01699999999983</v>
      </c>
      <c r="F106" s="3637">
        <f>[2]估价对象信息及测绘!E46</f>
        <v>5926.34</v>
      </c>
      <c r="G106" s="3637">
        <f t="shared" si="15"/>
        <v>0.59417954420434871</v>
      </c>
      <c r="H106" s="3637">
        <f>O74</f>
        <v>4.2055525903040385</v>
      </c>
      <c r="I106" s="3637">
        <f t="shared" si="16"/>
        <v>444271.63175290538</v>
      </c>
      <c r="J106" s="3567">
        <f t="shared" si="17"/>
        <v>2.5</v>
      </c>
      <c r="K106" s="3567">
        <f>J106/J104</f>
        <v>0.44642857142857145</v>
      </c>
      <c r="L106" s="3567">
        <f>ROUND(L104*N106,2)</f>
        <v>3.9</v>
      </c>
      <c r="M106" s="3649">
        <f t="shared" si="18"/>
        <v>23112.725999999999</v>
      </c>
      <c r="N106" s="3650">
        <v>0.6</v>
      </c>
    </row>
    <row r="107" spans="1:15">
      <c r="A107" s="3644" t="s">
        <v>3968</v>
      </c>
      <c r="B107" s="3645">
        <f t="shared" si="14"/>
        <v>0.98322548643834695</v>
      </c>
      <c r="C107" s="3646">
        <f>B85</f>
        <v>3548.2400000000002</v>
      </c>
      <c r="D107" s="3647">
        <f>F85</f>
        <v>3488.7200000000003</v>
      </c>
      <c r="E107" s="3648">
        <f t="shared" si="13"/>
        <v>59.519999999999982</v>
      </c>
      <c r="F107" s="3637">
        <f>[2]估价对象信息及测绘!E47</f>
        <v>5590.18</v>
      </c>
      <c r="G107" s="3637">
        <f t="shared" si="15"/>
        <v>0.63472732541707066</v>
      </c>
      <c r="H107" s="3637">
        <f>O85</f>
        <v>4.3605596349727742</v>
      </c>
      <c r="I107" s="3637">
        <f t="shared" si="16"/>
        <v>464169.36357587395</v>
      </c>
      <c r="J107" s="3567">
        <f t="shared" si="17"/>
        <v>2.77</v>
      </c>
      <c r="K107" s="3567">
        <f>J107/J104</f>
        <v>0.49464285714285716</v>
      </c>
      <c r="L107" s="3567">
        <f>ROUND(L104*N107,2)</f>
        <v>3.58</v>
      </c>
      <c r="M107" s="3649">
        <f t="shared" si="18"/>
        <v>20012.844400000002</v>
      </c>
      <c r="N107" s="3650">
        <v>0.55000000000000004</v>
      </c>
    </row>
    <row r="108" spans="1:15">
      <c r="A108" s="3644" t="s">
        <v>3969</v>
      </c>
      <c r="B108" s="3645">
        <f t="shared" si="14"/>
        <v>1</v>
      </c>
      <c r="C108" s="3646">
        <f>B98</f>
        <v>3055.4829999999997</v>
      </c>
      <c r="D108" s="3647">
        <f>F98</f>
        <v>3055.4829999999997</v>
      </c>
      <c r="E108" s="3648">
        <f t="shared" si="13"/>
        <v>0</v>
      </c>
      <c r="F108" s="3637">
        <f>[2]估价对象信息及测绘!E48</f>
        <v>5323.21</v>
      </c>
      <c r="G108" s="3637">
        <f t="shared" si="15"/>
        <v>0.57399257215101407</v>
      </c>
      <c r="H108" s="3637">
        <f>O98</f>
        <v>7.2128226870714425</v>
      </c>
      <c r="I108" s="3637">
        <f t="shared" si="16"/>
        <v>661159.71307083336</v>
      </c>
      <c r="J108" s="3567">
        <f t="shared" si="17"/>
        <v>4.1399999999999997</v>
      </c>
      <c r="K108" s="3567">
        <f>J108/J104</f>
        <v>0.73928571428571432</v>
      </c>
      <c r="L108" s="3567">
        <f>ROUND(L104*N108,2)</f>
        <v>3.58</v>
      </c>
      <c r="M108" s="3649">
        <f t="shared" si="18"/>
        <v>19057.091800000002</v>
      </c>
      <c r="N108" s="3650">
        <v>0.55000000000000004</v>
      </c>
    </row>
    <row r="109" spans="1:15" ht="12.75" thickBot="1">
      <c r="A109" s="3655"/>
      <c r="B109" s="3656">
        <f t="shared" si="14"/>
        <v>0.90672865634645672</v>
      </c>
      <c r="C109" s="3657">
        <f>C108+C107+C106+C105+C104+C103</f>
        <v>21884.503000000001</v>
      </c>
      <c r="D109" s="3658">
        <f>SUM(D103:D108)</f>
        <v>19843.306</v>
      </c>
      <c r="E109" s="3659">
        <f>SUM(E103:E108)</f>
        <v>2041.1969999999997</v>
      </c>
      <c r="F109" s="3637">
        <f>SUM(F103:F108)</f>
        <v>36414.730000000003</v>
      </c>
      <c r="G109" s="3637">
        <f>C109/F109</f>
        <v>0.60097941135359234</v>
      </c>
      <c r="I109" s="3637">
        <f>SUM(I103:I108)</f>
        <v>4361666.6561715165</v>
      </c>
      <c r="J109" s="3567">
        <f>ROUND(I109/F109/30,2)</f>
        <v>3.99</v>
      </c>
      <c r="L109" s="3567">
        <f>ROUND(M109/F109,2)</f>
        <v>4.5999999999999996</v>
      </c>
      <c r="M109" s="3649">
        <f>SUM(M103:M108)</f>
        <v>167638.19419999997</v>
      </c>
    </row>
    <row r="110" spans="1:15">
      <c r="D110" s="3660">
        <f>D109/C109</f>
        <v>0.90672865634645672</v>
      </c>
      <c r="E110" s="3660">
        <f>E109/C109</f>
        <v>9.3271343653543309E-2</v>
      </c>
    </row>
    <row r="114" spans="4:4">
      <c r="D114" s="3661"/>
    </row>
    <row r="116" spans="4:4">
      <c r="D116" s="3662"/>
    </row>
  </sheetData>
  <mergeCells count="7">
    <mergeCell ref="A86:A97"/>
    <mergeCell ref="A1:K1"/>
    <mergeCell ref="A3:A13"/>
    <mergeCell ref="A15:A32"/>
    <mergeCell ref="A34:A54"/>
    <mergeCell ref="A56:A73"/>
    <mergeCell ref="A75:A84"/>
  </mergeCells>
  <phoneticPr fontId="134" type="noConversion"/>
  <pageMargins left="0.39370078740157483" right="0.59055118110236227" top="0.59055118110236227" bottom="0.19685039370078741" header="0.15748031496062992" footer="0.19685039370078741"/>
  <pageSetup paperSize="9" scale="73"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A7" sqref="A7"/>
    </sheetView>
  </sheetViews>
  <sheetFormatPr defaultRowHeight="14.25"/>
  <cols>
    <col min="1" max="1" width="18.375" style="3678" customWidth="1"/>
    <col min="2" max="2" width="5.5" style="3679" bestFit="1" customWidth="1"/>
    <col min="3" max="3" width="11.625" style="3679" bestFit="1" customWidth="1"/>
    <col min="4" max="5" width="9" style="3679"/>
    <col min="6" max="7" width="11.625" style="3679" bestFit="1" customWidth="1"/>
    <col min="8" max="8" width="9" style="3679"/>
    <col min="9" max="9" width="12.25" style="3679" customWidth="1"/>
    <col min="10" max="16384" width="9" style="3679"/>
  </cols>
  <sheetData>
    <row r="1" spans="1:15">
      <c r="D1" s="3680" t="s">
        <v>3980</v>
      </c>
      <c r="E1" s="3681">
        <v>0.05</v>
      </c>
    </row>
    <row r="2" spans="1:15">
      <c r="B2" s="3680" t="s">
        <v>3981</v>
      </c>
      <c r="C2" s="3680" t="s">
        <v>3982</v>
      </c>
      <c r="D2" s="3680" t="s">
        <v>3552</v>
      </c>
      <c r="E2" s="3680" t="s">
        <v>3983</v>
      </c>
    </row>
    <row r="3" spans="1:15">
      <c r="A3" s="3682" t="s">
        <v>3984</v>
      </c>
      <c r="B3" s="3679">
        <v>1</v>
      </c>
      <c r="C3" s="3680" t="s">
        <v>3985</v>
      </c>
      <c r="D3" s="3679">
        <v>131.80000000000001</v>
      </c>
      <c r="E3" s="3679">
        <v>6.6</v>
      </c>
      <c r="F3" s="3683">
        <v>44216</v>
      </c>
      <c r="G3" s="3684">
        <v>46406</v>
      </c>
      <c r="H3" s="3680" t="s">
        <v>3986</v>
      </c>
      <c r="I3" s="3680" t="s">
        <v>3987</v>
      </c>
      <c r="J3" s="3680">
        <v>6.23</v>
      </c>
      <c r="K3" s="3680">
        <v>6.6</v>
      </c>
      <c r="L3" s="3680">
        <v>7</v>
      </c>
    </row>
    <row r="4" spans="1:15">
      <c r="A4" s="3682" t="s">
        <v>3988</v>
      </c>
      <c r="B4" s="3679">
        <v>1</v>
      </c>
      <c r="C4" s="3680" t="s">
        <v>3989</v>
      </c>
      <c r="D4" s="3679">
        <v>100.83</v>
      </c>
      <c r="E4" s="3679">
        <v>7.88</v>
      </c>
      <c r="F4" s="3684">
        <v>44287</v>
      </c>
      <c r="G4" s="3684">
        <v>46112</v>
      </c>
      <c r="H4" s="3680" t="s">
        <v>3986</v>
      </c>
      <c r="I4" s="3680" t="s">
        <v>3990</v>
      </c>
      <c r="J4" s="3680">
        <v>7.5</v>
      </c>
      <c r="K4" s="3680">
        <v>7.88</v>
      </c>
      <c r="L4" s="3680">
        <v>8.27</v>
      </c>
    </row>
    <row r="5" spans="1:15">
      <c r="A5" s="3682" t="s">
        <v>3991</v>
      </c>
      <c r="B5" s="3679">
        <v>1</v>
      </c>
      <c r="C5" s="3680" t="s">
        <v>3992</v>
      </c>
      <c r="D5" s="3679">
        <v>120.3</v>
      </c>
      <c r="E5" s="3679">
        <v>12.13</v>
      </c>
      <c r="F5" s="3684">
        <v>44491</v>
      </c>
      <c r="G5" s="3684">
        <v>46316</v>
      </c>
      <c r="H5" s="3680" t="s">
        <v>3993</v>
      </c>
      <c r="I5" s="3680" t="s">
        <v>3994</v>
      </c>
      <c r="J5" s="3680">
        <v>11</v>
      </c>
      <c r="K5" s="3680">
        <v>11.55</v>
      </c>
      <c r="L5" s="3680">
        <v>12.13</v>
      </c>
      <c r="M5" s="3680">
        <v>12.73</v>
      </c>
      <c r="N5" s="3680">
        <v>13.37</v>
      </c>
    </row>
    <row r="6" spans="1:15">
      <c r="A6" s="3682" t="s">
        <v>3995</v>
      </c>
      <c r="B6" s="3679">
        <v>1</v>
      </c>
      <c r="C6" s="3680" t="s">
        <v>3996</v>
      </c>
      <c r="D6" s="3679">
        <v>272</v>
      </c>
      <c r="E6" s="3679">
        <v>12</v>
      </c>
      <c r="F6" s="3684">
        <v>44557</v>
      </c>
      <c r="G6" s="3684">
        <v>46382</v>
      </c>
      <c r="H6" s="3680" t="s">
        <v>3993</v>
      </c>
      <c r="I6" s="3680" t="s">
        <v>3997</v>
      </c>
      <c r="J6" s="3680">
        <v>8.5</v>
      </c>
      <c r="K6" s="3680">
        <v>10</v>
      </c>
      <c r="L6" s="3680">
        <v>11</v>
      </c>
      <c r="M6" s="3680">
        <v>12</v>
      </c>
      <c r="N6" s="3680">
        <v>12.5</v>
      </c>
    </row>
    <row r="7" spans="1:15" s="3692" customFormat="1">
      <c r="A7" s="3694" t="s">
        <v>3998</v>
      </c>
      <c r="B7" s="3692">
        <v>1</v>
      </c>
      <c r="C7" s="3693" t="s">
        <v>3999</v>
      </c>
      <c r="D7" s="3692">
        <v>243.5</v>
      </c>
      <c r="E7" s="3692">
        <v>16.420000000000002</v>
      </c>
      <c r="F7" s="3695">
        <v>43671</v>
      </c>
      <c r="G7" s="3695">
        <v>45862</v>
      </c>
      <c r="H7" s="3693" t="s">
        <v>3993</v>
      </c>
      <c r="I7" s="3693" t="s">
        <v>4000</v>
      </c>
      <c r="J7" s="3693">
        <v>13</v>
      </c>
      <c r="K7" s="3693">
        <v>13.78</v>
      </c>
      <c r="L7" s="3693">
        <v>14.61</v>
      </c>
      <c r="M7" s="3693">
        <v>15.49</v>
      </c>
      <c r="N7" s="3693">
        <v>16.420000000000002</v>
      </c>
    </row>
    <row r="8" spans="1:15">
      <c r="A8" s="3685" t="s">
        <v>4001</v>
      </c>
      <c r="B8" s="3686">
        <v>1</v>
      </c>
      <c r="C8" s="3686" t="s">
        <v>4002</v>
      </c>
      <c r="D8" s="3686">
        <v>154</v>
      </c>
      <c r="E8" s="3686">
        <v>12.08</v>
      </c>
      <c r="F8" s="3687">
        <v>44559</v>
      </c>
      <c r="G8" s="3687">
        <v>47480</v>
      </c>
      <c r="H8" s="3680" t="s">
        <v>3993</v>
      </c>
      <c r="I8" s="3680" t="s">
        <v>4003</v>
      </c>
      <c r="J8" s="3686">
        <v>11</v>
      </c>
      <c r="K8" s="3686">
        <v>12.08</v>
      </c>
      <c r="L8" s="3686">
        <v>13.25</v>
      </c>
      <c r="M8" s="3686">
        <v>14.51</v>
      </c>
    </row>
    <row r="9" spans="1:15" s="3692" customFormat="1">
      <c r="A9" s="3694" t="s">
        <v>4004</v>
      </c>
      <c r="B9" s="3692">
        <v>1</v>
      </c>
      <c r="C9" s="3693" t="s">
        <v>4005</v>
      </c>
      <c r="D9" s="3692">
        <v>487.06</v>
      </c>
      <c r="E9" s="3692">
        <v>22</v>
      </c>
      <c r="F9" s="3695">
        <v>43466</v>
      </c>
      <c r="G9" s="3695">
        <v>45478</v>
      </c>
      <c r="I9" s="3693" t="s">
        <v>4000</v>
      </c>
      <c r="J9" s="3693"/>
      <c r="K9" s="3693"/>
      <c r="L9" s="3693"/>
    </row>
    <row r="10" spans="1:15">
      <c r="A10" s="3682" t="s">
        <v>4006</v>
      </c>
      <c r="B10" s="3679">
        <v>1</v>
      </c>
      <c r="C10" s="3680" t="s">
        <v>4007</v>
      </c>
      <c r="D10" s="3679">
        <v>216</v>
      </c>
      <c r="E10" s="3679">
        <v>12</v>
      </c>
      <c r="F10" s="3684">
        <v>43412</v>
      </c>
      <c r="G10" s="3684">
        <v>45603</v>
      </c>
      <c r="I10" s="3680" t="s">
        <v>4008</v>
      </c>
      <c r="J10" s="3680">
        <v>9.9</v>
      </c>
      <c r="K10" s="3680">
        <v>9.9</v>
      </c>
      <c r="L10" s="3680">
        <v>10.9</v>
      </c>
      <c r="M10" s="3680">
        <v>10.9</v>
      </c>
      <c r="N10" s="3680">
        <v>12</v>
      </c>
      <c r="O10" s="3680">
        <v>12</v>
      </c>
    </row>
    <row r="11" spans="1:15">
      <c r="A11" s="3682" t="s">
        <v>4009</v>
      </c>
      <c r="B11" s="3679">
        <v>1</v>
      </c>
      <c r="C11" s="3680" t="s">
        <v>4010</v>
      </c>
      <c r="D11" s="3679">
        <v>398</v>
      </c>
      <c r="E11" s="3679">
        <v>6</v>
      </c>
      <c r="F11" s="3684">
        <v>39406</v>
      </c>
      <c r="G11" s="3684">
        <v>46710</v>
      </c>
      <c r="I11" s="3680" t="s">
        <v>4011</v>
      </c>
    </row>
    <row r="12" spans="1:15" ht="28.5">
      <c r="A12" s="3682" t="s">
        <v>4012</v>
      </c>
      <c r="B12" s="3679">
        <v>2</v>
      </c>
      <c r="C12" s="3680" t="s">
        <v>4013</v>
      </c>
      <c r="D12" s="3679">
        <v>272</v>
      </c>
      <c r="E12" s="3679">
        <v>6.6</v>
      </c>
      <c r="F12" s="3684">
        <v>44287</v>
      </c>
      <c r="G12" s="3684">
        <v>46112</v>
      </c>
      <c r="H12" s="3679">
        <v>50000</v>
      </c>
      <c r="I12" s="3680" t="s">
        <v>4014</v>
      </c>
      <c r="J12" s="3680" t="s">
        <v>4015</v>
      </c>
    </row>
    <row r="13" spans="1:15">
      <c r="A13" s="3688" t="s">
        <v>4016</v>
      </c>
      <c r="B13" s="3689">
        <v>2</v>
      </c>
      <c r="C13" s="3689" t="s">
        <v>4017</v>
      </c>
      <c r="D13" s="3689">
        <v>73.400000000000006</v>
      </c>
      <c r="E13" s="3689">
        <v>6.3</v>
      </c>
      <c r="F13" s="3690">
        <v>44927</v>
      </c>
      <c r="G13" s="3691">
        <v>45291</v>
      </c>
      <c r="H13" s="3689"/>
      <c r="I13" s="3689" t="s">
        <v>4018</v>
      </c>
      <c r="J13" s="3689"/>
      <c r="K13" s="3689"/>
      <c r="L13" s="3689"/>
      <c r="M13" s="3689"/>
    </row>
    <row r="14" spans="1:15">
      <c r="A14" s="3688" t="s">
        <v>4019</v>
      </c>
      <c r="B14" s="3689">
        <v>2</v>
      </c>
      <c r="C14" s="3689" t="s">
        <v>4020</v>
      </c>
      <c r="D14" s="3689">
        <v>57.4</v>
      </c>
      <c r="E14" s="3689">
        <v>12.19</v>
      </c>
      <c r="F14" s="3690">
        <v>44671</v>
      </c>
      <c r="G14" s="3691">
        <v>45046</v>
      </c>
      <c r="H14" s="3689"/>
      <c r="I14" s="3689" t="s">
        <v>4018</v>
      </c>
      <c r="J14" s="3689"/>
      <c r="K14" s="3689"/>
      <c r="L14" s="3689"/>
      <c r="M14" s="3689"/>
    </row>
    <row r="15" spans="1:15">
      <c r="A15" s="3688" t="s">
        <v>4021</v>
      </c>
      <c r="B15" s="3689">
        <v>2</v>
      </c>
      <c r="C15" s="3689" t="s">
        <v>4022</v>
      </c>
      <c r="D15" s="3689">
        <v>60.17</v>
      </c>
      <c r="E15" s="3689">
        <v>12.19</v>
      </c>
      <c r="F15" s="3690">
        <v>44682</v>
      </c>
      <c r="G15" s="3691">
        <v>45046</v>
      </c>
      <c r="H15" s="3689"/>
      <c r="I15" s="3689" t="s">
        <v>4018</v>
      </c>
      <c r="J15" s="3689"/>
      <c r="K15" s="3689"/>
      <c r="L15" s="3689"/>
      <c r="M15" s="3689"/>
    </row>
    <row r="16" spans="1:15">
      <c r="A16" s="3688" t="s">
        <v>4023</v>
      </c>
      <c r="B16" s="3689">
        <v>2</v>
      </c>
      <c r="C16" s="3689" t="s">
        <v>4024</v>
      </c>
      <c r="D16" s="3689">
        <v>78.73</v>
      </c>
      <c r="E16" s="3689">
        <v>12.5</v>
      </c>
      <c r="F16" s="3690">
        <v>44682</v>
      </c>
      <c r="G16" s="3691">
        <v>45046</v>
      </c>
      <c r="H16" s="3689"/>
      <c r="I16" s="3689" t="s">
        <v>4018</v>
      </c>
      <c r="J16" s="3689"/>
      <c r="K16" s="3689"/>
      <c r="L16" s="3689"/>
      <c r="M16" s="3689"/>
    </row>
    <row r="17" spans="1:17">
      <c r="A17" s="3682" t="s">
        <v>4025</v>
      </c>
      <c r="B17" s="3679">
        <v>3</v>
      </c>
      <c r="C17" s="3680" t="s">
        <v>4026</v>
      </c>
      <c r="D17" s="3679">
        <v>200</v>
      </c>
      <c r="E17" s="3679">
        <v>4</v>
      </c>
      <c r="F17" s="3684">
        <v>44228</v>
      </c>
      <c r="G17" s="3684">
        <v>47149</v>
      </c>
      <c r="H17" s="3680" t="s">
        <v>3993</v>
      </c>
      <c r="I17" s="3680" t="s">
        <v>4027</v>
      </c>
      <c r="J17" s="3680">
        <v>2</v>
      </c>
      <c r="K17" s="3680">
        <v>3</v>
      </c>
      <c r="L17" s="3680">
        <v>4</v>
      </c>
      <c r="M17" s="3680">
        <v>4</v>
      </c>
      <c r="N17" s="3680">
        <v>4.5</v>
      </c>
      <c r="O17" s="3680">
        <v>5</v>
      </c>
      <c r="P17" s="3680">
        <v>5.5</v>
      </c>
      <c r="Q17" s="3680">
        <v>5.5</v>
      </c>
    </row>
    <row r="18" spans="1:17">
      <c r="A18" s="3682" t="s">
        <v>4025</v>
      </c>
      <c r="B18" s="3679">
        <v>3</v>
      </c>
      <c r="C18" s="3680" t="s">
        <v>4026</v>
      </c>
      <c r="D18" s="3679">
        <v>295</v>
      </c>
      <c r="E18" s="3679">
        <v>4</v>
      </c>
      <c r="F18" s="3684">
        <v>44228</v>
      </c>
      <c r="G18" s="3684">
        <v>47149</v>
      </c>
      <c r="H18" s="3680" t="s">
        <v>3993</v>
      </c>
      <c r="I18" s="3680" t="s">
        <v>4028</v>
      </c>
      <c r="J18" s="3680">
        <v>2</v>
      </c>
      <c r="K18" s="3680">
        <v>3</v>
      </c>
      <c r="L18" s="3680">
        <v>4</v>
      </c>
      <c r="M18" s="3680">
        <v>4</v>
      </c>
      <c r="N18" s="3680">
        <v>4.5</v>
      </c>
      <c r="O18" s="3680">
        <v>5</v>
      </c>
      <c r="P18" s="3680">
        <v>5.5</v>
      </c>
      <c r="Q18" s="3680">
        <v>5.5</v>
      </c>
    </row>
    <row r="19" spans="1:17">
      <c r="A19" s="3688" t="s">
        <v>4029</v>
      </c>
      <c r="B19" s="3689">
        <v>3</v>
      </c>
      <c r="C19" s="3689" t="s">
        <v>4030</v>
      </c>
      <c r="D19" s="3689">
        <v>345.45</v>
      </c>
      <c r="E19" s="3689">
        <v>5</v>
      </c>
      <c r="F19" s="3690">
        <v>43160</v>
      </c>
      <c r="G19" s="3691">
        <v>44985</v>
      </c>
      <c r="H19" s="3689" t="s">
        <v>3993</v>
      </c>
      <c r="I19" s="3689" t="s">
        <v>4018</v>
      </c>
      <c r="J19" s="3689">
        <v>5</v>
      </c>
      <c r="K19" s="3689">
        <v>5.5</v>
      </c>
      <c r="L19" s="3689">
        <v>6.05</v>
      </c>
      <c r="M19" s="3689">
        <v>6.66</v>
      </c>
      <c r="N19" s="3689">
        <v>7.33</v>
      </c>
    </row>
    <row r="20" spans="1:17">
      <c r="A20" s="3682" t="s">
        <v>4031</v>
      </c>
      <c r="B20" s="3679">
        <v>3</v>
      </c>
      <c r="C20" s="3680" t="s">
        <v>4032</v>
      </c>
      <c r="D20" s="3679">
        <v>172.7</v>
      </c>
      <c r="E20" s="3679">
        <v>6.5</v>
      </c>
      <c r="F20" s="3684">
        <v>44477</v>
      </c>
      <c r="G20" s="3684">
        <v>45937</v>
      </c>
      <c r="H20" s="3680" t="s">
        <v>3993</v>
      </c>
      <c r="I20" s="3680" t="s">
        <v>4027</v>
      </c>
      <c r="J20" s="3680">
        <v>5.5</v>
      </c>
      <c r="K20" s="3680">
        <v>6.5</v>
      </c>
      <c r="L20" s="3680">
        <v>6.5</v>
      </c>
      <c r="M20" s="3680">
        <v>7</v>
      </c>
    </row>
    <row r="21" spans="1:17">
      <c r="A21" s="3682" t="s">
        <v>4033</v>
      </c>
      <c r="B21" s="3679">
        <v>3</v>
      </c>
      <c r="C21" s="3680" t="s">
        <v>4034</v>
      </c>
      <c r="D21" s="3679">
        <v>539.1</v>
      </c>
      <c r="E21" s="3679">
        <v>3.71</v>
      </c>
      <c r="F21" s="3683">
        <v>44228</v>
      </c>
      <c r="G21" s="3684">
        <v>46053</v>
      </c>
      <c r="I21" s="3680" t="s">
        <v>4027</v>
      </c>
      <c r="J21" s="3680">
        <v>3.6</v>
      </c>
      <c r="K21" s="3680">
        <v>3.6</v>
      </c>
      <c r="L21" s="3680">
        <v>3.71</v>
      </c>
      <c r="M21" s="3680">
        <v>3.82</v>
      </c>
      <c r="N21" s="3680">
        <v>3.93</v>
      </c>
    </row>
    <row r="22" spans="1:17">
      <c r="A22" s="3682" t="s">
        <v>4035</v>
      </c>
      <c r="B22" s="3679">
        <v>4</v>
      </c>
      <c r="C22" s="3680" t="s">
        <v>4036</v>
      </c>
      <c r="D22" s="3679">
        <v>151</v>
      </c>
      <c r="E22" s="3679">
        <v>8</v>
      </c>
      <c r="F22" s="3683">
        <v>44301</v>
      </c>
      <c r="G22" s="3684">
        <v>46126</v>
      </c>
      <c r="H22" s="3680" t="s">
        <v>3993</v>
      </c>
      <c r="I22" s="3680" t="s">
        <v>4027</v>
      </c>
      <c r="J22" s="3680">
        <v>7</v>
      </c>
      <c r="K22" s="3680">
        <v>7.5</v>
      </c>
      <c r="L22" s="3680">
        <v>8</v>
      </c>
      <c r="M22" s="3680">
        <v>8.5</v>
      </c>
      <c r="N22" s="3680">
        <v>9</v>
      </c>
    </row>
    <row r="23" spans="1:17">
      <c r="A23" s="3682" t="s">
        <v>4037</v>
      </c>
      <c r="B23" s="3679">
        <v>4</v>
      </c>
      <c r="C23" s="3680" t="s">
        <v>4038</v>
      </c>
      <c r="D23" s="3679">
        <v>335.51</v>
      </c>
      <c r="E23" s="3679">
        <v>6</v>
      </c>
      <c r="F23" s="3683">
        <v>44484</v>
      </c>
      <c r="G23" s="3684">
        <v>46674</v>
      </c>
      <c r="H23" s="3680" t="s">
        <v>3993</v>
      </c>
      <c r="I23" s="3680" t="s">
        <v>4027</v>
      </c>
      <c r="J23" s="3680">
        <v>3.5</v>
      </c>
      <c r="K23" s="3680">
        <v>6</v>
      </c>
      <c r="L23" s="3680">
        <v>6</v>
      </c>
      <c r="M23" s="3680">
        <v>6.3</v>
      </c>
      <c r="N23" s="3680">
        <v>6.62</v>
      </c>
      <c r="O23" s="3680">
        <v>6.95</v>
      </c>
    </row>
    <row r="24" spans="1:17">
      <c r="A24" s="3682" t="s">
        <v>4039</v>
      </c>
      <c r="B24" s="3679">
        <v>4</v>
      </c>
      <c r="C24" s="3680" t="s">
        <v>4040</v>
      </c>
      <c r="D24" s="3679">
        <v>175</v>
      </c>
      <c r="E24" s="3679">
        <v>7.4</v>
      </c>
      <c r="F24" s="3684">
        <v>44479</v>
      </c>
      <c r="G24" s="3684">
        <v>46669</v>
      </c>
      <c r="H24" s="3680" t="s">
        <v>3993</v>
      </c>
      <c r="I24" s="3680" t="s">
        <v>4027</v>
      </c>
      <c r="J24" s="3680">
        <v>4</v>
      </c>
      <c r="K24" s="3680">
        <v>7</v>
      </c>
      <c r="L24" s="3680">
        <v>7.4</v>
      </c>
      <c r="M24" s="3680">
        <v>7.7</v>
      </c>
      <c r="N24" s="3680">
        <v>8</v>
      </c>
      <c r="O24" s="3680">
        <v>8.5</v>
      </c>
    </row>
    <row r="25" spans="1:17">
      <c r="A25" s="3682" t="s">
        <v>4039</v>
      </c>
      <c r="B25" s="3679">
        <v>4</v>
      </c>
      <c r="C25" s="3680" t="s">
        <v>4041</v>
      </c>
      <c r="D25" s="3679">
        <v>70</v>
      </c>
      <c r="E25" s="3679">
        <v>7.4</v>
      </c>
      <c r="F25" s="3684">
        <v>44479</v>
      </c>
      <c r="G25" s="3684">
        <v>46669</v>
      </c>
      <c r="H25" s="3680" t="s">
        <v>3993</v>
      </c>
      <c r="I25" s="3680" t="s">
        <v>4027</v>
      </c>
      <c r="J25" s="3680">
        <v>4</v>
      </c>
      <c r="K25" s="3680">
        <v>7</v>
      </c>
      <c r="L25" s="3680">
        <v>7.4</v>
      </c>
      <c r="M25" s="3680">
        <v>7.7</v>
      </c>
      <c r="N25" s="3680">
        <v>8</v>
      </c>
      <c r="O25" s="3680">
        <v>8.5</v>
      </c>
    </row>
    <row r="26" spans="1:17">
      <c r="A26" s="3682" t="s">
        <v>4039</v>
      </c>
      <c r="B26" s="3679">
        <v>4</v>
      </c>
      <c r="C26" s="3680" t="s">
        <v>4042</v>
      </c>
      <c r="D26" s="3679">
        <v>63</v>
      </c>
      <c r="E26" s="3679">
        <v>7.4</v>
      </c>
      <c r="F26" s="3684">
        <v>44479</v>
      </c>
      <c r="G26" s="3684">
        <v>46669</v>
      </c>
      <c r="H26" s="3680" t="s">
        <v>3993</v>
      </c>
      <c r="I26" s="3680" t="s">
        <v>4027</v>
      </c>
      <c r="J26" s="3680">
        <v>4</v>
      </c>
      <c r="K26" s="3680">
        <v>7</v>
      </c>
      <c r="L26" s="3680">
        <v>7.4</v>
      </c>
      <c r="M26" s="3680">
        <v>7.7</v>
      </c>
      <c r="N26" s="3680">
        <v>8</v>
      </c>
      <c r="O26" s="3680">
        <v>8.5</v>
      </c>
    </row>
    <row r="27" spans="1:17">
      <c r="A27" s="3682" t="s">
        <v>4043</v>
      </c>
      <c r="B27" s="3679">
        <v>4</v>
      </c>
      <c r="C27" s="3680" t="s">
        <v>4044</v>
      </c>
      <c r="D27" s="3679">
        <v>500.73</v>
      </c>
      <c r="E27" s="3679">
        <v>7.43</v>
      </c>
      <c r="F27" s="3684">
        <v>44435</v>
      </c>
      <c r="G27" s="3684">
        <v>45530</v>
      </c>
      <c r="H27" s="3680" t="s">
        <v>3993</v>
      </c>
      <c r="I27" s="3680" t="s">
        <v>4027</v>
      </c>
      <c r="J27" s="3680">
        <v>7</v>
      </c>
      <c r="K27" s="3680">
        <v>0.21</v>
      </c>
      <c r="L27" s="3680">
        <v>7.43</v>
      </c>
    </row>
    <row r="28" spans="1:17">
      <c r="A28" s="3682" t="s">
        <v>4045</v>
      </c>
      <c r="B28" s="3679">
        <v>4</v>
      </c>
      <c r="C28" s="3680" t="s">
        <v>4046</v>
      </c>
      <c r="D28" s="3679">
        <v>59.52</v>
      </c>
      <c r="E28" s="3679">
        <v>10</v>
      </c>
      <c r="F28" s="3684">
        <v>44986</v>
      </c>
      <c r="G28" s="3684">
        <v>46081</v>
      </c>
      <c r="I28" s="3680" t="s">
        <v>4027</v>
      </c>
      <c r="J28" s="3679">
        <v>10</v>
      </c>
      <c r="K28" s="3679">
        <v>11</v>
      </c>
      <c r="L28" s="3679">
        <v>12</v>
      </c>
    </row>
    <row r="29" spans="1:17">
      <c r="A29" s="3688" t="s">
        <v>4047</v>
      </c>
      <c r="B29" s="3689">
        <v>5</v>
      </c>
      <c r="C29" s="3689" t="s">
        <v>4048</v>
      </c>
      <c r="D29" s="3689">
        <v>327.5</v>
      </c>
      <c r="E29" s="3689">
        <v>5</v>
      </c>
      <c r="F29" s="3690">
        <v>43252</v>
      </c>
      <c r="G29" s="3691">
        <v>45077</v>
      </c>
      <c r="H29" s="3689" t="s">
        <v>3993</v>
      </c>
      <c r="I29" s="3689" t="s">
        <v>4018</v>
      </c>
      <c r="J29" s="3689">
        <v>5</v>
      </c>
      <c r="K29" s="3689">
        <v>5.5</v>
      </c>
      <c r="L29" s="3689">
        <v>6.05</v>
      </c>
      <c r="M29" s="3689">
        <v>6.66</v>
      </c>
      <c r="N29" s="3689">
        <v>7.33</v>
      </c>
    </row>
    <row r="30" spans="1:17">
      <c r="A30" s="3682" t="s">
        <v>4049</v>
      </c>
      <c r="B30" s="3679">
        <v>5</v>
      </c>
      <c r="C30" s="3680" t="s">
        <v>4050</v>
      </c>
      <c r="D30" s="3679">
        <v>138.5</v>
      </c>
      <c r="E30" s="3679">
        <v>8</v>
      </c>
      <c r="F30" s="3684">
        <v>44666</v>
      </c>
      <c r="G30" s="3684">
        <v>45761</v>
      </c>
      <c r="I30" s="3680" t="s">
        <v>4027</v>
      </c>
      <c r="J30" s="3680">
        <v>7.5</v>
      </c>
      <c r="K30" s="3680">
        <v>8</v>
      </c>
      <c r="L30" s="3680">
        <v>8.5</v>
      </c>
    </row>
    <row r="31" spans="1:17">
      <c r="A31" s="3688" t="s">
        <v>4051</v>
      </c>
      <c r="B31" s="3689" t="s">
        <v>4052</v>
      </c>
      <c r="C31" s="3689" t="s">
        <v>4053</v>
      </c>
      <c r="D31" s="3689">
        <v>73.05</v>
      </c>
      <c r="E31" s="3689">
        <v>9</v>
      </c>
      <c r="F31" s="3690">
        <v>44661</v>
      </c>
      <c r="G31" s="3691">
        <v>45025</v>
      </c>
      <c r="H31" s="3689" t="s">
        <v>3993</v>
      </c>
      <c r="I31" s="3689" t="s">
        <v>4018</v>
      </c>
    </row>
    <row r="34" spans="1:15">
      <c r="A34" s="3685"/>
      <c r="B34" s="3686"/>
      <c r="C34" s="3686"/>
      <c r="D34" s="3686"/>
      <c r="E34" s="3686"/>
      <c r="F34" s="3687"/>
      <c r="G34" s="3687"/>
      <c r="H34" s="3686"/>
      <c r="I34" s="3686"/>
      <c r="J34" s="3686"/>
      <c r="K34" s="3686"/>
      <c r="L34" s="3686"/>
      <c r="M34" s="3686"/>
      <c r="N34" s="3686"/>
      <c r="O34" s="3686"/>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4" workbookViewId="0">
      <selection activeCell="O42" sqref="O42"/>
    </sheetView>
  </sheetViews>
  <sheetFormatPr defaultColWidth="9" defaultRowHeight="13.5"/>
  <cols>
    <col min="1" max="16384" width="9" style="3538"/>
  </cols>
  <sheetData>
    <row r="1" spans="1:4">
      <c r="A1" s="3563" t="s">
        <v>3597</v>
      </c>
      <c r="B1" s="3563" t="s">
        <v>3602</v>
      </c>
      <c r="C1" s="3563" t="s">
        <v>3603</v>
      </c>
      <c r="D1" s="3563" t="s">
        <v>3604</v>
      </c>
    </row>
    <row r="2" spans="1:4">
      <c r="A2" s="3538" t="s">
        <v>3609</v>
      </c>
      <c r="B2" s="3538">
        <v>9</v>
      </c>
      <c r="C2" s="3538">
        <v>500</v>
      </c>
    </row>
    <row r="3" spans="1:4">
      <c r="A3" s="3538" t="s">
        <v>3610</v>
      </c>
      <c r="B3" s="3538">
        <v>7.5</v>
      </c>
      <c r="C3" s="3538">
        <v>67</v>
      </c>
    </row>
    <row r="4" spans="1:4">
      <c r="A4" s="3538" t="s">
        <v>3611</v>
      </c>
      <c r="B4" s="3538">
        <v>7.4</v>
      </c>
      <c r="C4" s="3538">
        <v>82</v>
      </c>
    </row>
    <row r="39" spans="2:2">
      <c r="B39" s="3561" t="s">
        <v>3586</v>
      </c>
    </row>
    <row r="40" spans="2:2">
      <c r="B40" s="3561" t="s">
        <v>3587</v>
      </c>
    </row>
    <row r="41" spans="2:2">
      <c r="B41" s="3561" t="s">
        <v>3588</v>
      </c>
    </row>
    <row r="42" spans="2:2">
      <c r="B42" s="3561" t="s">
        <v>3589</v>
      </c>
    </row>
    <row r="43" spans="2:2">
      <c r="B43" s="3561" t="s">
        <v>3590</v>
      </c>
    </row>
    <row r="44" spans="2:2">
      <c r="B44" s="3561" t="s">
        <v>3591</v>
      </c>
    </row>
    <row r="45" spans="2:2">
      <c r="B45" s="3561" t="s">
        <v>3592</v>
      </c>
    </row>
    <row r="50" spans="13:13">
      <c r="M50" s="3538">
        <f>18100/82/30</f>
        <v>7.3577235772357721</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719" t="str">
        <f>IF(项目基本情况!B9="房地产市场价值","估价结果一览表","结果表-2")</f>
        <v>估价结果一览表</v>
      </c>
      <c r="B1" s="3719"/>
      <c r="C1" s="3719"/>
      <c r="D1" s="3719"/>
      <c r="E1" s="3719"/>
      <c r="F1" s="3719"/>
      <c r="G1" s="3719"/>
      <c r="H1" s="3719"/>
      <c r="I1" s="3719"/>
    </row>
    <row r="2" spans="1:9" ht="30" customHeight="1" thickTop="1">
      <c r="A2" s="3720" t="s">
        <v>928</v>
      </c>
      <c r="B2" s="3720" t="s">
        <v>929</v>
      </c>
      <c r="C2" s="3720" t="s">
        <v>930</v>
      </c>
      <c r="D2" s="3720" t="str">
        <f>结果表!D116</f>
        <v>出让国有建设用地使用权价值</v>
      </c>
      <c r="E2" s="3720"/>
      <c r="F2" s="3720" t="str">
        <f>结果表!F116</f>
        <v>在建建筑物价值</v>
      </c>
      <c r="G2" s="3720"/>
      <c r="H2" s="3720" t="str">
        <f>IF(项目基本情况!B9="房地产市场价值","房地产市场价值","房地产价值")</f>
        <v>房地产市场价值</v>
      </c>
      <c r="I2" s="3720"/>
    </row>
    <row r="3" spans="1:9" ht="15">
      <c r="A3" s="3715"/>
      <c r="B3" s="3715"/>
      <c r="C3" s="3715"/>
      <c r="D3" s="854" t="s">
        <v>925</v>
      </c>
      <c r="E3" s="854" t="s">
        <v>931</v>
      </c>
      <c r="F3" s="854" t="s">
        <v>925</v>
      </c>
      <c r="G3" s="854" t="s">
        <v>926</v>
      </c>
      <c r="H3" s="854" t="s">
        <v>925</v>
      </c>
      <c r="I3" s="854" t="s">
        <v>926</v>
      </c>
    </row>
    <row r="4" spans="1:9" ht="30">
      <c r="A4" s="1505" t="str">
        <f>项目基本情况!S2</f>
        <v>北京市顺义区澳景园四区2号楼房地产</v>
      </c>
      <c r="B4" s="854">
        <f>项目基本情况!C17</f>
        <v>420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715" t="s">
        <v>927</v>
      </c>
      <c r="B5" s="3715"/>
      <c r="C5" s="3715"/>
      <c r="D5" s="3715" t="e">
        <f ca="1">结果表!D119</f>
        <v>#REF!</v>
      </c>
      <c r="E5" s="3715"/>
      <c r="F5" s="3715" t="e">
        <f ca="1">结果表!F119</f>
        <v>#REF!</v>
      </c>
      <c r="G5" s="3715"/>
      <c r="H5" s="3715" t="e">
        <f ca="1">结果表!H119</f>
        <v>#REF!</v>
      </c>
      <c r="I5" s="3715"/>
    </row>
    <row r="6" spans="1:9" ht="15.75">
      <c r="A6" s="3714" t="str">
        <f>结果表!A120</f>
        <v/>
      </c>
      <c r="B6" s="3714"/>
      <c r="C6" s="3714"/>
      <c r="D6" s="3714">
        <f>结果表!D120</f>
        <v>0</v>
      </c>
      <c r="E6" s="3714"/>
      <c r="F6" s="3714"/>
      <c r="G6" s="3714"/>
      <c r="H6" s="3714"/>
      <c r="I6" s="3714"/>
    </row>
    <row r="7" spans="1:9" ht="15">
      <c r="A7" s="3715" t="s">
        <v>927</v>
      </c>
      <c r="B7" s="3715"/>
      <c r="C7" s="3715"/>
      <c r="D7" s="3716" t="str">
        <f>结果表!D121</f>
        <v>零元整</v>
      </c>
      <c r="E7" s="3717"/>
      <c r="F7" s="3717"/>
      <c r="G7" s="3717"/>
      <c r="H7" s="3717"/>
      <c r="I7" s="3718"/>
    </row>
    <row r="8" spans="1:9" ht="15.75">
      <c r="A8" s="3714" t="str">
        <f>结果表!A122</f>
        <v/>
      </c>
      <c r="B8" s="3714"/>
      <c r="C8" s="3714"/>
      <c r="D8" s="3714" t="e">
        <f ca="1">结果表!D122</f>
        <v>#REF!</v>
      </c>
      <c r="E8" s="3714"/>
      <c r="F8" s="3714"/>
      <c r="G8" s="3714"/>
      <c r="H8" s="3714"/>
      <c r="I8" s="3714"/>
    </row>
    <row r="9" spans="1:9" ht="15">
      <c r="A9" s="3715" t="s">
        <v>927</v>
      </c>
      <c r="B9" s="3715"/>
      <c r="C9" s="3715"/>
      <c r="D9" s="3715" t="e">
        <f ca="1">结果表!D123</f>
        <v>#REF!</v>
      </c>
      <c r="E9" s="3715"/>
      <c r="F9" s="3715"/>
      <c r="G9" s="3715"/>
      <c r="H9" s="3715"/>
      <c r="I9" s="3715"/>
    </row>
    <row r="10" spans="1:9" ht="15.75">
      <c r="A10" s="3714" t="str">
        <f>结果表!A124</f>
        <v/>
      </c>
      <c r="B10" s="3714"/>
      <c r="C10" s="3714"/>
      <c r="D10" s="3714" t="str">
        <f>结果表!D124</f>
        <v>——</v>
      </c>
      <c r="E10" s="3714"/>
      <c r="F10" s="3714"/>
      <c r="G10" s="3714"/>
      <c r="H10" s="3714"/>
      <c r="I10" s="3714"/>
    </row>
    <row r="11" spans="1:9" ht="15">
      <c r="A11" s="3715" t="s">
        <v>927</v>
      </c>
      <c r="B11" s="3715"/>
      <c r="C11" s="3715"/>
      <c r="D11" s="3715" t="e">
        <f>结果表!D125</f>
        <v>#VALUE!</v>
      </c>
      <c r="E11" s="3715"/>
      <c r="F11" s="3715"/>
      <c r="G11" s="3715"/>
      <c r="H11" s="3715"/>
      <c r="I11" s="3715"/>
    </row>
    <row r="12" spans="1:9" ht="15.75">
      <c r="A12" s="3714" t="str">
        <f>结果表!A126</f>
        <v/>
      </c>
      <c r="B12" s="3714"/>
      <c r="C12" s="3714"/>
      <c r="D12" s="3714" t="str">
        <f>结果表!D126</f>
        <v>——</v>
      </c>
      <c r="E12" s="3714"/>
      <c r="F12" s="3714"/>
      <c r="G12" s="3714"/>
      <c r="H12" s="3714"/>
      <c r="I12" s="3714"/>
    </row>
    <row r="13" spans="1:9" ht="15.75" thickBot="1">
      <c r="A13" s="3712" t="s">
        <v>927</v>
      </c>
      <c r="B13" s="3712"/>
      <c r="C13" s="3712"/>
      <c r="D13" s="3712" t="e">
        <f>结果表!D127</f>
        <v>#VALUE!</v>
      </c>
      <c r="E13" s="3712"/>
      <c r="F13" s="3712"/>
      <c r="G13" s="3712"/>
      <c r="H13" s="3712"/>
      <c r="I13" s="3712"/>
    </row>
    <row r="14" spans="1:9" ht="15" thickTop="1">
      <c r="A14" s="3713" t="s">
        <v>932</v>
      </c>
      <c r="B14" s="3713"/>
      <c r="C14" s="3713"/>
      <c r="D14" s="3713"/>
      <c r="E14" s="3713"/>
      <c r="F14" s="3713"/>
      <c r="G14" s="3713"/>
      <c r="H14" s="3713"/>
      <c r="I14" s="371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E4" sqref="E4:F4"/>
    </sheetView>
  </sheetViews>
  <sheetFormatPr defaultColWidth="8.875" defaultRowHeight="13.5"/>
  <cols>
    <col min="1" max="7" width="8.875" style="3538"/>
    <col min="8" max="8" width="10.5" style="3538" bestFit="1" customWidth="1"/>
    <col min="9" max="16384" width="8.875" style="3538"/>
  </cols>
  <sheetData>
    <row r="1" spans="6:10">
      <c r="G1" s="3538" t="s">
        <v>3552</v>
      </c>
      <c r="H1" s="3538" t="s">
        <v>3553</v>
      </c>
      <c r="I1" s="3538" t="s">
        <v>3554</v>
      </c>
      <c r="J1" s="3538" t="s">
        <v>3555</v>
      </c>
    </row>
    <row r="2" spans="6:10">
      <c r="F2" s="3538" t="s">
        <v>3571</v>
      </c>
      <c r="G2" s="3538">
        <v>265.51</v>
      </c>
      <c r="H2" s="3539">
        <v>45231</v>
      </c>
      <c r="I2" s="3538">
        <v>69678</v>
      </c>
      <c r="J2" s="3538" t="s">
        <v>3556</v>
      </c>
    </row>
    <row r="3" spans="6:10">
      <c r="F3" s="3538" t="s">
        <v>3575</v>
      </c>
      <c r="G3" s="3538">
        <v>119.3</v>
      </c>
      <c r="H3" s="3539">
        <f>H2</f>
        <v>45231</v>
      </c>
      <c r="I3" s="3538">
        <v>71249</v>
      </c>
      <c r="J3" s="3538" t="s">
        <v>3556</v>
      </c>
    </row>
    <row r="4" spans="6:10">
      <c r="F4" s="3538" t="s">
        <v>3572</v>
      </c>
      <c r="G4" s="3538">
        <v>45.87</v>
      </c>
      <c r="H4" s="3540">
        <f>H3</f>
        <v>45231</v>
      </c>
      <c r="I4" s="3538">
        <v>70000</v>
      </c>
      <c r="J4" s="3538" t="s">
        <v>3556</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
  <sheetViews>
    <sheetView topLeftCell="A22" workbookViewId="0">
      <selection sqref="A1:D1"/>
    </sheetView>
  </sheetViews>
  <sheetFormatPr defaultRowHeight="13.5"/>
  <cols>
    <col min="4" max="4" width="10.5" bestFit="1" customWidth="1"/>
  </cols>
  <sheetData>
    <row r="1" spans="1:4">
      <c r="A1" s="3563" t="s">
        <v>3597</v>
      </c>
      <c r="B1" s="3563" t="s">
        <v>3602</v>
      </c>
      <c r="C1" s="3563" t="s">
        <v>3603</v>
      </c>
      <c r="D1" s="3563" t="s">
        <v>3604</v>
      </c>
    </row>
    <row r="2" spans="1:4">
      <c r="A2" s="3563" t="s">
        <v>3598</v>
      </c>
      <c r="B2">
        <v>79845</v>
      </c>
      <c r="C2">
        <v>76.239999999999995</v>
      </c>
      <c r="D2" s="3564">
        <v>45005</v>
      </c>
    </row>
    <row r="3" spans="1:4">
      <c r="A3" s="3563" t="s">
        <v>3599</v>
      </c>
      <c r="B3">
        <v>61130</v>
      </c>
      <c r="C3">
        <v>1084</v>
      </c>
      <c r="D3" s="3564">
        <v>44629</v>
      </c>
    </row>
    <row r="4" spans="1:4">
      <c r="A4" s="3563" t="s">
        <v>3601</v>
      </c>
      <c r="B4">
        <v>70000</v>
      </c>
      <c r="C4">
        <v>512</v>
      </c>
      <c r="D4" s="3564">
        <v>45035</v>
      </c>
    </row>
    <row r="73" spans="13:13">
      <c r="M73" s="3561" t="s">
        <v>3581</v>
      </c>
    </row>
    <row r="74" spans="13:13">
      <c r="M74" s="3561" t="s">
        <v>3582</v>
      </c>
    </row>
    <row r="75" spans="13:13">
      <c r="M75" s="3561" t="s">
        <v>3583</v>
      </c>
    </row>
    <row r="100" spans="13:13">
      <c r="M100" s="3561" t="s">
        <v>3600</v>
      </c>
    </row>
    <row r="101" spans="13:13">
      <c r="M101" s="3561" t="s">
        <v>3584</v>
      </c>
    </row>
    <row r="102" spans="13:13">
      <c r="M102" s="3561" t="s">
        <v>3585</v>
      </c>
    </row>
    <row r="103" spans="13:13">
      <c r="M103" s="3538"/>
    </row>
    <row r="104" spans="13:13">
      <c r="M104" s="3538">
        <f>300*10000/520/365</f>
        <v>15.806111696522656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O55" sqref="O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1459</v>
      </c>
      <c r="B1" s="1470" t="s">
        <v>3497</v>
      </c>
      <c r="C1" s="1859" t="s">
        <v>1561</v>
      </c>
      <c r="D1" s="198"/>
      <c r="E1" s="198"/>
      <c r="F1" s="198"/>
      <c r="G1" s="1126">
        <f>MATCH(B1,'数据-取费表'!A6:A16,0)+5</f>
        <v>6</v>
      </c>
      <c r="H1" s="1061" t="str">
        <f>IF(ISERROR(FIND("住宅",B1)),"非住宅","住宅")</f>
        <v>非住宅</v>
      </c>
    </row>
    <row r="2" spans="1:12" s="200" customFormat="1" ht="18" customHeight="1">
      <c r="A2" s="201" t="s">
        <v>1460</v>
      </c>
      <c r="B2" s="3421" t="e">
        <f ca="1">ROUND(IF(D2="——",C52/10000,C52/10000-E2),4)</f>
        <v>#DIV/0!</v>
      </c>
      <c r="C2" s="199" t="s">
        <v>1461</v>
      </c>
      <c r="D2" s="1853" t="s">
        <v>43</v>
      </c>
      <c r="E2" s="1169" t="e">
        <f ca="1">SUMIF(INDIRECT("'"&amp;G2&amp;"'"&amp;"!A:A"),"承租人权益价值",INDIRECT("'"&amp;G2&amp;"'"&amp;"!c:c"))</f>
        <v>#REF!</v>
      </c>
      <c r="F2" s="1854" t="s">
        <v>1461</v>
      </c>
      <c r="G2" s="1855"/>
    </row>
    <row r="3" spans="1:12" s="200" customFormat="1" ht="18" customHeight="1" thickBot="1">
      <c r="A3" s="203" t="s">
        <v>1462</v>
      </c>
      <c r="B3" s="204" t="e">
        <f ca="1">ROUND(B2*10000/(IF(B1="",'数据-汇总表'!E3,INDIRECT("'数据-取费表'!k"&amp;$G$1))),0)</f>
        <v>#DIV/0!</v>
      </c>
      <c r="C3" s="199" t="s">
        <v>1463</v>
      </c>
      <c r="D3" s="199"/>
      <c r="E3" s="199"/>
      <c r="F3" s="199"/>
      <c r="G3" s="199"/>
    </row>
    <row r="4" spans="1:12" s="208" customFormat="1" ht="15.75">
      <c r="A4" s="205" t="s">
        <v>1464</v>
      </c>
      <c r="B4" s="206"/>
      <c r="C4" s="206"/>
      <c r="D4" s="206"/>
      <c r="E4" s="206"/>
      <c r="F4" s="206"/>
      <c r="G4" s="207"/>
    </row>
    <row r="5" spans="1:12" s="214" customFormat="1" ht="13.5" customHeight="1">
      <c r="A5" s="255" t="s">
        <v>1465</v>
      </c>
      <c r="B5" s="210" t="s">
        <v>1466</v>
      </c>
      <c r="C5" s="211" t="e">
        <f ca="1">C6+C7+C8</f>
        <v>#DIV/0!</v>
      </c>
      <c r="D5" s="211" t="s">
        <v>1467</v>
      </c>
      <c r="E5" s="212" t="s">
        <v>1468</v>
      </c>
      <c r="F5" s="212" t="s">
        <v>1469</v>
      </c>
      <c r="G5" s="213"/>
    </row>
    <row r="6" spans="1:12" s="214" customFormat="1" ht="13.5" customHeight="1">
      <c r="A6" s="778" t="s">
        <v>1470</v>
      </c>
      <c r="B6" s="215" t="s">
        <v>1471</v>
      </c>
      <c r="C6" s="216" t="e">
        <f>ROUND(基准地价修正!D33*基准地价修正!C33,0)</f>
        <v>#DIV/0!</v>
      </c>
      <c r="D6" s="217"/>
      <c r="E6" s="218"/>
      <c r="F6" s="218"/>
      <c r="G6" s="219"/>
    </row>
    <row r="7" spans="1:12" s="214" customFormat="1" ht="13.5" customHeight="1">
      <c r="A7" s="778" t="s">
        <v>1472</v>
      </c>
      <c r="B7" s="215" t="s">
        <v>1473</v>
      </c>
      <c r="C7" s="220" t="e">
        <f>ROUND(C6*F7,0)</f>
        <v>#DIV/0!</v>
      </c>
      <c r="D7" s="220"/>
      <c r="E7" s="218"/>
      <c r="F7" s="221">
        <f>IF(项目基本情况!B8="出让",0,'数据-取费表'!B48+'数据-取费表'!B49)</f>
        <v>3.0499999999999999E-2</v>
      </c>
      <c r="G7" s="219"/>
    </row>
    <row r="8" spans="1:12" s="223" customFormat="1">
      <c r="A8" s="778" t="s">
        <v>1474</v>
      </c>
      <c r="B8" s="215" t="s">
        <v>1475</v>
      </c>
      <c r="C8" s="220">
        <f ca="1">IF(G8="已包含在土地购买价格中",0,C9+C10)</f>
        <v>84000</v>
      </c>
      <c r="D8" s="222"/>
      <c r="E8" s="220"/>
      <c r="F8" s="221"/>
      <c r="G8" s="1856" t="s">
        <v>3524</v>
      </c>
      <c r="J8" s="3542"/>
      <c r="K8" s="3541"/>
      <c r="L8" s="3541"/>
    </row>
    <row r="9" spans="1:12"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1478</v>
      </c>
      <c r="C10" s="225">
        <f ca="1">ROUND(D10*E10,0)</f>
        <v>84000</v>
      </c>
      <c r="D10" s="845">
        <f ca="1">IF(B1="",'数据-汇总表'!E6,IF(INDIRECT("'数据-取费表'!c"&amp;$G$1)="住宅",INDIRECT("'数据-取费表'!s"&amp;$G$1),INDIRECT("'数据-取费表'!k"&amp;$G$1)+INDIRECT("'数据-取费表'!s"&amp;$G$1)))</f>
        <v>420</v>
      </c>
      <c r="E10" s="225">
        <f>'数据-取费表'!B28</f>
        <v>200</v>
      </c>
      <c r="F10" s="221"/>
      <c r="G10" s="226"/>
    </row>
    <row r="11" spans="1:12" s="214" customFormat="1" ht="13.5" hidden="1" customHeight="1">
      <c r="A11" s="227" t="s">
        <v>4</v>
      </c>
      <c r="B11" s="215" t="s">
        <v>1479</v>
      </c>
      <c r="C11" s="211"/>
      <c r="D11" s="847"/>
      <c r="E11" s="218"/>
      <c r="F11" s="218"/>
      <c r="G11" s="219"/>
    </row>
    <row r="12" spans="1:12" s="214" customFormat="1" ht="13.5" hidden="1" customHeight="1">
      <c r="A12" s="227" t="s">
        <v>5</v>
      </c>
      <c r="B12" s="215" t="s">
        <v>1562</v>
      </c>
      <c r="C12" s="211">
        <v>0</v>
      </c>
      <c r="D12" s="847"/>
      <c r="E12" s="228"/>
      <c r="F12" s="221">
        <v>3.0499999999999999E-2</v>
      </c>
      <c r="G12" s="219"/>
    </row>
    <row r="13" spans="1:12" s="214" customFormat="1" ht="13.5" hidden="1" customHeight="1">
      <c r="A13" s="227" t="s">
        <v>6</v>
      </c>
      <c r="B13" s="215" t="s">
        <v>1563</v>
      </c>
      <c r="C13" s="211"/>
      <c r="D13" s="847"/>
      <c r="E13" s="218"/>
      <c r="F13" s="218"/>
      <c r="G13" s="219"/>
    </row>
    <row r="14" spans="1:12" s="214" customFormat="1" ht="13.5" hidden="1" customHeight="1">
      <c r="A14" s="227" t="s">
        <v>7</v>
      </c>
      <c r="B14" s="215" t="s">
        <v>1475</v>
      </c>
      <c r="C14" s="211"/>
      <c r="D14" s="847"/>
      <c r="E14" s="218"/>
      <c r="F14" s="218"/>
      <c r="G14" s="219" t="s">
        <v>1564</v>
      </c>
    </row>
    <row r="15" spans="1:12" s="214" customFormat="1" ht="13.5" hidden="1" customHeight="1">
      <c r="A15" s="227" t="s">
        <v>8</v>
      </c>
      <c r="B15" s="215" t="s">
        <v>1565</v>
      </c>
      <c r="C15" s="220"/>
      <c r="D15" s="847"/>
      <c r="E15" s="218"/>
      <c r="F15" s="218"/>
      <c r="G15" s="219" t="s">
        <v>1566</v>
      </c>
    </row>
    <row r="16" spans="1:12"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420</v>
      </c>
      <c r="E19" s="211">
        <f>'数据-取费表'!B31</f>
        <v>200</v>
      </c>
      <c r="F19" s="231"/>
      <c r="G19" s="1856" t="s">
        <v>3525</v>
      </c>
    </row>
    <row r="20" spans="1:7" s="214" customFormat="1" ht="13.5" customHeight="1">
      <c r="A20" s="255" t="s">
        <v>1572</v>
      </c>
      <c r="B20" s="210" t="s">
        <v>1573</v>
      </c>
      <c r="C20" s="232" t="e">
        <f ca="1">ROUND((C5+C19)*F20,0)</f>
        <v>#DIV/0!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t="e">
        <f ca="1">ROUND(SUM(C23:C25),0)</f>
        <v>#DIV/0!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t="e">
        <f ca="1">ROUND(IF('数据-取费表'!B22&lt;=1,C5*F22*'数据-取费表'!B22,C5*(POWER((1+F22),'数据-取费表'!B22)-1)),0)</f>
        <v>#DIV/0!</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t="e">
        <f ca="1">ROUND(IF('数据-取费表'!B22&lt;=1,C20*F22*'数据-取费表'!B22/2,C20*(POWER((1+F22),'数据-取费表'!B22/2)-1)),0)</f>
        <v>#DIV/0!</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t="e">
        <f ca="1">C28</f>
        <v>#DIV/0!</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t="e">
        <f ca="1">ROUND((C5+C19+C20)*F27,0)</f>
        <v>#DIV/0!</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#DIV/0!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2497950</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2310000</v>
      </c>
      <c r="D34" s="217"/>
      <c r="E34" s="220"/>
      <c r="F34" s="257"/>
      <c r="G34" s="219"/>
    </row>
    <row r="35" spans="1:7" ht="13.5" customHeight="1">
      <c r="A35" s="780" t="s">
        <v>351</v>
      </c>
      <c r="B35" s="215" t="s">
        <v>1525</v>
      </c>
      <c r="C35" s="220">
        <f ca="1">ROUND(C34*F35,0)</f>
        <v>69300</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84000</v>
      </c>
      <c r="D37" s="217">
        <f ca="1">D19</f>
        <v>420</v>
      </c>
      <c r="E37" s="249">
        <f>'数据-取费表'!B35</f>
        <v>200</v>
      </c>
      <c r="F37" s="259"/>
      <c r="G37" s="261"/>
    </row>
    <row r="38" spans="1:7" ht="13.5" customHeight="1">
      <c r="A38" s="780" t="s">
        <v>354</v>
      </c>
      <c r="B38" s="215" t="s">
        <v>1531</v>
      </c>
      <c r="C38" s="220">
        <f ca="1">ROUND(C34*F38,0)</f>
        <v>34650</v>
      </c>
      <c r="D38" s="220"/>
      <c r="E38" s="220"/>
      <c r="F38" s="259">
        <f>'数据-取费表'!B36</f>
        <v>1.4999999999999999E-2</v>
      </c>
      <c r="G38" s="219" t="s">
        <v>1526</v>
      </c>
    </row>
    <row r="39" spans="1:7" s="214" customFormat="1" ht="13.5" customHeight="1">
      <c r="A39" s="255" t="s">
        <v>1532</v>
      </c>
      <c r="B39" s="210" t="s">
        <v>1533</v>
      </c>
      <c r="C39" s="232">
        <f ca="1">ROUND(C33*F20,0)</f>
        <v>49959</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87903</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86179</v>
      </c>
      <c r="D42" s="238"/>
      <c r="E42" s="238"/>
      <c r="F42" s="239"/>
      <c r="G42" s="3884" t="s">
        <v>1589</v>
      </c>
    </row>
    <row r="43" spans="1:7" ht="13.5" customHeight="1">
      <c r="A43" s="780" t="s">
        <v>347</v>
      </c>
      <c r="B43" s="215" t="s">
        <v>1543</v>
      </c>
      <c r="C43" s="238">
        <f ca="1">ROUND(IF('数据-取费表'!B22&lt;=1,C39*F22*'数据-取费表'!B20/2,C39*(POWER((1+F22),'数据-取费表'!B20/2)-1)),0)</f>
        <v>1724</v>
      </c>
      <c r="D43" s="238"/>
      <c r="E43" s="238"/>
      <c r="F43" s="239"/>
      <c r="G43" s="3885"/>
    </row>
    <row r="44" spans="1:7" ht="13.5" customHeight="1">
      <c r="A44" s="780" t="s">
        <v>348</v>
      </c>
      <c r="B44" s="215" t="s">
        <v>1544</v>
      </c>
      <c r="C44" s="238">
        <f ca="1">ROUND(IF('数据-取费表'!B22&lt;=1,C40*F22*'数据-取费表'!B20/2,C40*(POWER((1+F22),'数据-取费表'!B20/2)-1)),4)</f>
        <v>6.9999999999999999E-4</v>
      </c>
      <c r="D44" s="238"/>
      <c r="E44" s="238"/>
      <c r="F44" s="239"/>
      <c r="G44" s="3886"/>
    </row>
    <row r="45" spans="1:7" s="214" customFormat="1" ht="13.5" customHeight="1">
      <c r="A45" s="255" t="s">
        <v>1545</v>
      </c>
      <c r="B45" s="244" t="s">
        <v>1511</v>
      </c>
      <c r="C45" s="245">
        <f ca="1">C46</f>
        <v>509582</v>
      </c>
      <c r="D45" s="235">
        <f ca="1">C47</f>
        <v>4.0000000000000001E-3</v>
      </c>
      <c r="E45" s="236" t="s">
        <v>1537</v>
      </c>
      <c r="F45" s="246">
        <f ca="1">F27</f>
        <v>0.2</v>
      </c>
      <c r="G45" s="247" t="s">
        <v>1546</v>
      </c>
    </row>
    <row r="46" spans="1:7" s="214" customFormat="1" ht="13.5" customHeight="1">
      <c r="A46" s="780" t="s">
        <v>346</v>
      </c>
      <c r="B46" s="248" t="s">
        <v>1547</v>
      </c>
      <c r="C46" s="249">
        <f ca="1">ROUND((C33+C39)*F27,0)</f>
        <v>509582</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3408163</v>
      </c>
      <c r="D49" s="232"/>
      <c r="E49" s="232"/>
      <c r="F49" s="264"/>
      <c r="G49" s="234" t="s">
        <v>1552</v>
      </c>
    </row>
    <row r="50" spans="1:7" s="258" customFormat="1">
      <c r="A50" s="255" t="s">
        <v>1553</v>
      </c>
      <c r="B50" s="210" t="s">
        <v>1554</v>
      </c>
      <c r="C50" s="232"/>
      <c r="D50" s="232"/>
      <c r="E50" s="232"/>
      <c r="F50" s="264">
        <f>IF('数据-取费表'!B24=0,'数据-取费表'!N16,1)</f>
        <v>0.77500000000000002</v>
      </c>
      <c r="G50" s="247"/>
    </row>
    <row r="51" spans="1:7" ht="16.5" customHeight="1">
      <c r="A51" s="255" t="s">
        <v>1556</v>
      </c>
      <c r="B51" s="210" t="s">
        <v>1591</v>
      </c>
      <c r="C51" s="232">
        <f ca="1">ROUND(C49*F50,0)</f>
        <v>2641326</v>
      </c>
      <c r="D51" s="232"/>
      <c r="E51" s="232"/>
      <c r="F51" s="264"/>
      <c r="G51" s="234" t="s">
        <v>1558</v>
      </c>
    </row>
    <row r="52" spans="1:7" s="208" customFormat="1" ht="16.5" thickBot="1">
      <c r="A52" s="265" t="s">
        <v>1559</v>
      </c>
      <c r="B52" s="266"/>
      <c r="C52" s="267" t="e">
        <f ca="1">C31+C51</f>
        <v>#DIV/0!</v>
      </c>
      <c r="D52" s="266"/>
      <c r="E52" s="266"/>
      <c r="F52" s="266"/>
      <c r="G52" s="268"/>
    </row>
    <row r="55" spans="1:7" ht="15">
      <c r="B55" s="270" t="s">
        <v>1560</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8" sqref="K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420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9" t="s">
        <v>673</v>
      </c>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f>'数据-汇总表'!F19</f>
        <v>420</v>
      </c>
      <c r="V2" s="3358"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7" t="s">
        <v>2433</v>
      </c>
      <c r="F3" s="2004" t="s">
        <v>3519</v>
      </c>
      <c r="G3" s="752">
        <f>IF(F3="宗地容积率",'数据-汇总表'!I4,IF(F3="估价对象容积率",'数据-汇总表'!I6,'数据-汇总表'!I7))</f>
        <v>2.5</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4096"/>
      <c r="B4" s="4097"/>
      <c r="C4" s="4097"/>
      <c r="D4" s="4098"/>
      <c r="E4" s="4098"/>
      <c r="F4" s="4098"/>
      <c r="G4" s="4098"/>
      <c r="H4" s="4098"/>
      <c r="I4" s="4098"/>
      <c r="J4" s="4099"/>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3235</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1953</v>
      </c>
      <c r="X7" s="1214">
        <f>G2</f>
        <v>0</v>
      </c>
      <c r="Y7" s="1214" t="s">
        <v>1954</v>
      </c>
      <c r="Z7" s="1215">
        <f>G3</f>
        <v>2.5</v>
      </c>
      <c r="AA7" s="1216"/>
      <c r="AB7" s="1216"/>
      <c r="AC7" s="1217"/>
      <c r="AD7" s="1218"/>
      <c r="AE7" s="1218"/>
      <c r="AF7" s="1218"/>
      <c r="AG7" s="1218"/>
      <c r="AH7" s="1218"/>
      <c r="AI7" s="1218"/>
      <c r="AJ7" s="1219"/>
    </row>
    <row r="8" spans="1:36" ht="25.5">
      <c r="A8" s="3296"/>
      <c r="B8" s="170" t="s">
        <v>1955</v>
      </c>
      <c r="C8" s="2026" t="s">
        <v>3520</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4093" t="s">
        <v>1958</v>
      </c>
      <c r="X8" s="4094"/>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6"/>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4095"/>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409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3240</v>
      </c>
      <c r="B13" s="2034" t="s">
        <v>1980</v>
      </c>
      <c r="C13" s="755">
        <f>ROUND(C16*D16*E16*F16*G16*H16*I16*J16,4)</f>
        <v>0</v>
      </c>
      <c r="D13" s="2035" t="s">
        <v>1981</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1983</v>
      </c>
      <c r="C14" s="2041" t="s">
        <v>1984</v>
      </c>
      <c r="D14" s="1350" t="s">
        <v>1985</v>
      </c>
      <c r="E14" s="27" t="s">
        <v>1986</v>
      </c>
      <c r="F14" s="3309" t="s">
        <v>3241</v>
      </c>
      <c r="G14" s="3309" t="s">
        <v>3241</v>
      </c>
      <c r="H14" s="3309" t="s">
        <v>3241</v>
      </c>
      <c r="I14" s="3309" t="s">
        <v>3241</v>
      </c>
      <c r="J14" s="3309" t="s">
        <v>3241</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3242</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3246</v>
      </c>
      <c r="E18" s="3326"/>
      <c r="F18" s="3321" t="s">
        <v>3249</v>
      </c>
      <c r="G18" s="3325">
        <f>ROUND(1-(1/(POWER(1+G24,E18))),4)</f>
        <v>0</v>
      </c>
      <c r="H18" s="3321" t="s">
        <v>3251</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3247</v>
      </c>
      <c r="E19" s="3335"/>
      <c r="F19" s="3336" t="s">
        <v>3250</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4100" t="s">
        <v>3252</v>
      </c>
      <c r="B20" s="167" t="s">
        <v>1992</v>
      </c>
      <c r="C20" s="3322" t="e">
        <f>ROUND(IF(F21="与级别开发程度一致",0,(G21-E21)/C21),0)</f>
        <v>#DIV/0!</v>
      </c>
      <c r="D20" s="3338" t="s">
        <v>1996</v>
      </c>
      <c r="E20" s="3339"/>
      <c r="F20" s="4106" t="s">
        <v>1993</v>
      </c>
      <c r="G20" s="4107"/>
      <c r="H20" s="3323" t="s">
        <v>3507</v>
      </c>
      <c r="I20" s="3323" t="s">
        <v>3508</v>
      </c>
      <c r="J20" s="3324" t="s">
        <v>3509</v>
      </c>
      <c r="K20" s="2047" t="s">
        <v>3510</v>
      </c>
      <c r="L20" s="2047" t="s">
        <v>3511</v>
      </c>
      <c r="M20" s="2047" t="s">
        <v>3561</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4101"/>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1998</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45441</v>
      </c>
      <c r="H23" s="3340" t="s">
        <v>3254</v>
      </c>
      <c r="I23" s="3341" t="str">
        <f>IF(H23="季度增幅（自定义）",SUMIF(N25:N28,E2,O25:O28),"")</f>
        <v/>
      </c>
      <c r="J23" s="3442" t="s">
        <v>3253</v>
      </c>
      <c r="K23" s="1125"/>
      <c r="L23" s="2055" t="s">
        <v>2002</v>
      </c>
      <c r="M23" s="1328">
        <f>ROUND(SUMIF(地价!B2:G2,E2,地价!B16:G16),0)</f>
        <v>350</v>
      </c>
      <c r="N23" s="2056" t="s">
        <v>2003</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0.73340000000000005</v>
      </c>
      <c r="D24" s="2060" t="s">
        <v>2005</v>
      </c>
      <c r="E24" s="1335">
        <f>存贷款利率!E22/100</f>
        <v>4.3499999999999997E-2</v>
      </c>
      <c r="F24" s="2060" t="s">
        <v>1997</v>
      </c>
      <c r="G24" s="768">
        <f>SUMIF(M30:Q30,E2,M33:Q33)</f>
        <v>5.5E-2</v>
      </c>
      <c r="H24" s="2060" t="s">
        <v>2006</v>
      </c>
      <c r="I24" s="769">
        <f>SUMIF('数据-取费表'!C6:C15,E2,'数据-取费表'!F6:F15)/COUNTIF('数据-取费表'!C6:C15,E2)</f>
        <v>19.46</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3567</v>
      </c>
      <c r="C25" s="771">
        <f>IF(B25="容积率修正",IF(G3&lt;10,D26,J26),C27)</f>
        <v>0</v>
      </c>
      <c r="D25" s="2067"/>
      <c r="E25" s="2067"/>
      <c r="F25" s="2067"/>
      <c r="G25" s="2067"/>
      <c r="H25" s="2067"/>
      <c r="I25" s="2067"/>
      <c r="J25" s="2068"/>
      <c r="K25" s="1125"/>
      <c r="L25" s="2785"/>
      <c r="M25" s="2785"/>
      <c r="N25" s="2069" t="s">
        <v>2011</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2" t="s">
        <v>3255</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2" t="str">
        <f>IF(G3&gt;=10,D115,"——")</f>
        <v>——</v>
      </c>
      <c r="K26" s="1125"/>
      <c r="L26" s="2785"/>
      <c r="M26" s="2785"/>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1.0205</v>
      </c>
      <c r="D28" s="2052"/>
      <c r="E28" s="2077"/>
      <c r="F28" s="2077"/>
      <c r="G28" s="2077"/>
      <c r="H28" s="2077"/>
      <c r="I28" s="2077"/>
      <c r="J28" s="2078"/>
      <c r="K28" s="1125"/>
      <c r="L28" s="2785"/>
      <c r="M28" s="2785"/>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2" t="s">
        <v>2021</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8" t="s">
        <v>1934</v>
      </c>
      <c r="M30" s="3349" t="s">
        <v>1988</v>
      </c>
      <c r="N30" s="3349" t="s">
        <v>1989</v>
      </c>
      <c r="O30" s="3349" t="s">
        <v>1990</v>
      </c>
      <c r="P30" s="3349" t="s">
        <v>1991</v>
      </c>
      <c r="Q30" s="3352"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0" t="s">
        <v>1994</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1" t="s">
        <v>1997</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f>'数据-汇总表'!F19</f>
        <v>420</v>
      </c>
      <c r="E33" s="773" t="e">
        <f>ROUND(C33*D33/10000,0)</f>
        <v>#DIV/0!</v>
      </c>
      <c r="F33" s="3343" t="s">
        <v>3258</v>
      </c>
      <c r="G33" s="2099"/>
      <c r="H33" s="2099"/>
      <c r="I33" s="2099"/>
      <c r="J33" s="2100"/>
      <c r="K33" s="1119"/>
      <c r="L33" s="3346" t="s">
        <v>3261</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6" t="s">
        <v>3262</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4"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4" t="s">
        <v>3263</v>
      </c>
      <c r="L36" s="3443">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104"/>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105"/>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4105"/>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1.0205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3522</v>
      </c>
      <c r="D50" s="1065">
        <f t="shared" ref="D50:D58" si="7">SUMIF($J$49:$N$49,C50,J50:N50)</f>
        <v>0</v>
      </c>
      <c r="E50" s="744">
        <f>ROUND(SUM(D50:D58),4)</f>
        <v>2.0500000000000001E-2</v>
      </c>
      <c r="F50" s="1814">
        <f>IF(E2="商业",SUMIF(L1:L12,G2,N1:N12),"——")</f>
        <v>0</v>
      </c>
      <c r="G50" s="1063">
        <v>1.44E-2</v>
      </c>
      <c r="H50" s="1066">
        <f t="shared" ref="H50:H58" si="8">IFERROR(ROUNDDOWN($F$50*I50/2,4),"——")</f>
        <v>0</v>
      </c>
      <c r="I50" s="3364">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t="s">
        <v>3522</v>
      </c>
      <c r="D51" s="1065">
        <f t="shared" si="7"/>
        <v>0</v>
      </c>
      <c r="E51" s="745"/>
      <c r="F51" s="1814"/>
      <c r="G51" s="1063">
        <v>1.0500000000000001E-2</v>
      </c>
      <c r="H51" s="1066">
        <f t="shared" si="8"/>
        <v>0</v>
      </c>
      <c r="I51" s="3364">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6" t="s">
        <v>3267</v>
      </c>
      <c r="B52" s="2134">
        <f>估价对象房地状况!C19</f>
        <v>0</v>
      </c>
      <c r="C52" s="2044" t="s">
        <v>3495</v>
      </c>
      <c r="D52" s="1065">
        <f t="shared" si="7"/>
        <v>5.7000000000000002E-3</v>
      </c>
      <c r="E52" s="745"/>
      <c r="F52" s="1814"/>
      <c r="G52" s="1063">
        <v>5.7000000000000002E-3</v>
      </c>
      <c r="H52" s="1066">
        <f t="shared" si="8"/>
        <v>0</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2052</v>
      </c>
      <c r="B53" s="2135" t="s">
        <v>2053</v>
      </c>
      <c r="C53" s="2044" t="s">
        <v>3495</v>
      </c>
      <c r="D53" s="1065">
        <f t="shared" si="7"/>
        <v>2.3999999999999998E-3</v>
      </c>
      <c r="E53" s="745"/>
      <c r="F53" s="1814"/>
      <c r="G53" s="1063">
        <v>2.3999999999999998E-3</v>
      </c>
      <c r="H53" s="1066">
        <f t="shared" si="8"/>
        <v>0</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3522</v>
      </c>
      <c r="D54" s="1065">
        <f t="shared" si="7"/>
        <v>0</v>
      </c>
      <c r="E54" s="745"/>
      <c r="F54" s="1814"/>
      <c r="G54" s="1063">
        <v>3.8E-3</v>
      </c>
      <c r="H54" s="1066">
        <f t="shared" si="8"/>
        <v>0</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2055</v>
      </c>
      <c r="B55" s="2136" t="s">
        <v>2056</v>
      </c>
      <c r="C55" s="2044" t="s">
        <v>3495</v>
      </c>
      <c r="D55" s="1065">
        <f t="shared" si="7"/>
        <v>2.3999999999999998E-3</v>
      </c>
      <c r="E55" s="745"/>
      <c r="F55" s="1814"/>
      <c r="G55" s="1063">
        <v>2.3999999999999998E-3</v>
      </c>
      <c r="H55" s="1066">
        <f t="shared" si="8"/>
        <v>0</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一般</v>
      </c>
      <c r="C56" s="2044" t="s">
        <v>3522</v>
      </c>
      <c r="D56" s="1065">
        <f t="shared" si="7"/>
        <v>0</v>
      </c>
      <c r="E56" s="745"/>
      <c r="F56" s="1814"/>
      <c r="G56" s="1063">
        <v>2.3999999999999998E-3</v>
      </c>
      <c r="H56" s="1066">
        <f t="shared" si="8"/>
        <v>0</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六通</v>
      </c>
      <c r="C57" s="2044" t="s">
        <v>3523</v>
      </c>
      <c r="D57" s="1065">
        <f t="shared" si="7"/>
        <v>7.6E-3</v>
      </c>
      <c r="E57" s="745"/>
      <c r="F57" s="1814"/>
      <c r="G57" s="1063">
        <v>3.8E-3</v>
      </c>
      <c r="H57" s="1066">
        <f t="shared" si="8"/>
        <v>0</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t="s">
        <v>3495</v>
      </c>
      <c r="D58" s="1065">
        <f t="shared" si="7"/>
        <v>2.3999999999999998E-3</v>
      </c>
      <c r="E58" s="746"/>
      <c r="F58" s="1814"/>
      <c r="G58" s="1063">
        <v>2.3999999999999998E-3</v>
      </c>
      <c r="H58" s="1066">
        <f t="shared" si="8"/>
        <v>0</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3267</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六通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3267</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六通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3268</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2606</v>
      </c>
      <c r="B91" s="3375">
        <f>1+E93</f>
        <v>1.0369999999999999</v>
      </c>
      <c r="C91" s="3368"/>
      <c r="D91" s="3369"/>
      <c r="E91" s="1814"/>
      <c r="F91" s="1814"/>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6"/>
      <c r="C93" s="2044" t="s">
        <v>3522</v>
      </c>
      <c r="D93" s="3363">
        <f>SUMIF($J$92:$N$92,C93,J93:N93)</f>
        <v>0</v>
      </c>
      <c r="E93" s="3379">
        <f>ROUND(SUM(D93:D101),4)</f>
        <v>3.6999999999999998E-2</v>
      </c>
      <c r="F93" s="1814" t="str">
        <f>IF(E2="公共服务",SUMIF(L1:L12,G2,N1:N12),"——")</f>
        <v>——</v>
      </c>
      <c r="G93" s="3370">
        <v>1.2500000000000001E-2</v>
      </c>
      <c r="H93" s="3418" t="str">
        <f>IFERROR(ROUNDDOWN($F$93*I93/2,4),"——")</f>
        <v>——</v>
      </c>
      <c r="I93" s="3364">
        <v>0.25</v>
      </c>
      <c r="J93" s="3342">
        <f t="shared" ref="J93:J101" si="27">K93+$G93</f>
        <v>2.5000000000000001E-2</v>
      </c>
      <c r="K93" s="3342">
        <f t="shared" ref="K93:K101" si="28">$L93+$G93</f>
        <v>1.2500000000000001E-2</v>
      </c>
      <c r="L93" s="3342">
        <v>0</v>
      </c>
      <c r="M93" s="3342">
        <f t="shared" ref="M93:N101" si="29">L93-$G93</f>
        <v>-1.2500000000000001E-2</v>
      </c>
      <c r="N93" s="3342">
        <f t="shared" si="29"/>
        <v>-2.5000000000000001E-2</v>
      </c>
    </row>
    <row r="94" spans="1:37" ht="14.25">
      <c r="A94" s="3376" t="s">
        <v>3271</v>
      </c>
      <c r="B94" s="3367" t="str">
        <f>估价对象房地状况!C18</f>
        <v>较好</v>
      </c>
      <c r="C94" s="2044" t="s">
        <v>3495</v>
      </c>
      <c r="D94" s="3363">
        <f t="shared" ref="D94:D101" si="30">SUMIF($J$60:$N$60,C94,J94:N94)</f>
        <v>1.2999999999999999E-2</v>
      </c>
      <c r="E94" s="3380"/>
      <c r="F94" s="1814"/>
      <c r="G94" s="3370">
        <v>1.2999999999999999E-2</v>
      </c>
      <c r="H94" s="3418" t="str">
        <f>IFERROR(ROUNDDOWN($F$93*I94/2,4),"——")</f>
        <v>——</v>
      </c>
      <c r="I94" s="3364">
        <v>0.26</v>
      </c>
      <c r="J94" s="3342">
        <f t="shared" si="27"/>
        <v>2.5999999999999999E-2</v>
      </c>
      <c r="K94" s="3342">
        <f t="shared" si="28"/>
        <v>1.2999999999999999E-2</v>
      </c>
      <c r="L94" s="3342">
        <v>0</v>
      </c>
      <c r="M94" s="3342">
        <f t="shared" si="29"/>
        <v>-1.2999999999999999E-2</v>
      </c>
      <c r="N94" s="3342">
        <f t="shared" si="29"/>
        <v>-2.5999999999999999E-2</v>
      </c>
    </row>
    <row r="95" spans="1:37" ht="36">
      <c r="A95" s="3366" t="s">
        <v>3267</v>
      </c>
      <c r="B95" s="3367">
        <f>估价对象房地状况!C19</f>
        <v>0</v>
      </c>
      <c r="C95" s="2044" t="s">
        <v>3495</v>
      </c>
      <c r="D95" s="3363">
        <f t="shared" si="30"/>
        <v>5.4999999999999997E-3</v>
      </c>
      <c r="E95" s="3380"/>
      <c r="F95" s="1814"/>
      <c r="G95" s="3370">
        <v>5.4999999999999997E-3</v>
      </c>
      <c r="H95" s="3418" t="str">
        <f t="shared" ref="H95:H101" si="31">IFERROR(ROUNDDOWN($F$93*I95/2,4),"——")</f>
        <v>——</v>
      </c>
      <c r="I95" s="3364">
        <v>0.11</v>
      </c>
      <c r="J95" s="3342">
        <f t="shared" si="27"/>
        <v>1.0999999999999999E-2</v>
      </c>
      <c r="K95" s="3342">
        <f t="shared" si="28"/>
        <v>5.4999999999999997E-3</v>
      </c>
      <c r="L95" s="3342">
        <v>0</v>
      </c>
      <c r="M95" s="3342">
        <f t="shared" si="29"/>
        <v>-5.4999999999999997E-3</v>
      </c>
      <c r="N95" s="3342">
        <f t="shared" si="29"/>
        <v>-1.0999999999999999E-2</v>
      </c>
    </row>
    <row r="96" spans="1:37" ht="36.75">
      <c r="A96" s="3376" t="s">
        <v>3272</v>
      </c>
      <c r="B96" s="3382" t="s">
        <v>3283</v>
      </c>
      <c r="C96" s="2044" t="s">
        <v>3522</v>
      </c>
      <c r="D96" s="3363">
        <f t="shared" si="30"/>
        <v>0</v>
      </c>
      <c r="E96" s="3380"/>
      <c r="F96" s="1814"/>
      <c r="G96" s="3370">
        <v>2.5000000000000001E-3</v>
      </c>
      <c r="H96" s="3418" t="str">
        <f t="shared" si="31"/>
        <v>——</v>
      </c>
      <c r="I96" s="3364">
        <v>0.05</v>
      </c>
      <c r="J96" s="3342">
        <f t="shared" si="27"/>
        <v>5.0000000000000001E-3</v>
      </c>
      <c r="K96" s="3342">
        <f t="shared" si="28"/>
        <v>2.5000000000000001E-3</v>
      </c>
      <c r="L96" s="3342">
        <v>0</v>
      </c>
      <c r="M96" s="3342">
        <f t="shared" si="29"/>
        <v>-2.5000000000000001E-3</v>
      </c>
      <c r="N96" s="3342">
        <f t="shared" si="29"/>
        <v>-5.0000000000000001E-3</v>
      </c>
    </row>
    <row r="97" spans="1:14" ht="24">
      <c r="A97" s="3376" t="s">
        <v>3273</v>
      </c>
      <c r="B97" s="3367">
        <f>估价对象房地状况!C24</f>
        <v>0</v>
      </c>
      <c r="C97" s="2044" t="s">
        <v>3522</v>
      </c>
      <c r="D97" s="3363">
        <f t="shared" si="30"/>
        <v>0</v>
      </c>
      <c r="E97" s="3380"/>
      <c r="F97" s="1814"/>
      <c r="G97" s="3370">
        <v>2.5000000000000001E-3</v>
      </c>
      <c r="H97" s="3418" t="str">
        <f t="shared" si="31"/>
        <v>——</v>
      </c>
      <c r="I97" s="3364">
        <v>0.05</v>
      </c>
      <c r="J97" s="3342">
        <f t="shared" si="27"/>
        <v>5.0000000000000001E-3</v>
      </c>
      <c r="K97" s="3342">
        <f t="shared" si="28"/>
        <v>2.5000000000000001E-3</v>
      </c>
      <c r="L97" s="3342">
        <v>0</v>
      </c>
      <c r="M97" s="3342">
        <f t="shared" si="29"/>
        <v>-2.5000000000000001E-3</v>
      </c>
      <c r="N97" s="3342">
        <f t="shared" si="29"/>
        <v>-5.0000000000000001E-3</v>
      </c>
    </row>
    <row r="98" spans="1:14" ht="24">
      <c r="A98" s="3376" t="s">
        <v>3274</v>
      </c>
      <c r="B98" s="3383" t="s">
        <v>3284</v>
      </c>
      <c r="C98" s="2044" t="s">
        <v>3495</v>
      </c>
      <c r="D98" s="3363">
        <f t="shared" si="30"/>
        <v>3.0000000000000001E-3</v>
      </c>
      <c r="E98" s="3380"/>
      <c r="F98" s="1814"/>
      <c r="G98" s="3370">
        <v>3.0000000000000001E-3</v>
      </c>
      <c r="H98" s="3418" t="str">
        <f t="shared" si="31"/>
        <v>——</v>
      </c>
      <c r="I98" s="3364">
        <v>0.06</v>
      </c>
      <c r="J98" s="3342">
        <f t="shared" si="27"/>
        <v>6.0000000000000001E-3</v>
      </c>
      <c r="K98" s="3342">
        <f t="shared" si="28"/>
        <v>3.0000000000000001E-3</v>
      </c>
      <c r="L98" s="3342">
        <v>0</v>
      </c>
      <c r="M98" s="3342">
        <f t="shared" si="29"/>
        <v>-3.0000000000000001E-3</v>
      </c>
      <c r="N98" s="3342">
        <f t="shared" si="29"/>
        <v>-6.0000000000000001E-3</v>
      </c>
    </row>
    <row r="99" spans="1:14" ht="24">
      <c r="A99" s="3376" t="s">
        <v>3275</v>
      </c>
      <c r="B99" s="3367" t="str">
        <f>估价对象房地状况!C21</f>
        <v>一般</v>
      </c>
      <c r="C99" s="2044" t="s">
        <v>3495</v>
      </c>
      <c r="D99" s="3363">
        <f t="shared" si="30"/>
        <v>3.0000000000000001E-3</v>
      </c>
      <c r="E99" s="3380"/>
      <c r="F99" s="1814"/>
      <c r="G99" s="3370">
        <v>3.0000000000000001E-3</v>
      </c>
      <c r="H99" s="3418" t="str">
        <f t="shared" si="31"/>
        <v>——</v>
      </c>
      <c r="I99" s="3364">
        <v>0.06</v>
      </c>
      <c r="J99" s="3342">
        <f t="shared" si="27"/>
        <v>6.0000000000000001E-3</v>
      </c>
      <c r="K99" s="3342">
        <f t="shared" si="28"/>
        <v>3.0000000000000001E-3</v>
      </c>
      <c r="L99" s="3342">
        <v>0</v>
      </c>
      <c r="M99" s="3342">
        <f t="shared" si="29"/>
        <v>-3.0000000000000001E-3</v>
      </c>
      <c r="N99" s="3342">
        <f t="shared" si="29"/>
        <v>-6.0000000000000001E-3</v>
      </c>
    </row>
    <row r="100" spans="1:14" ht="24">
      <c r="A100" s="3376" t="s">
        <v>3276</v>
      </c>
      <c r="B100" s="3367" t="str">
        <f>估价对象房地状况!C22</f>
        <v>六通</v>
      </c>
      <c r="C100" s="2044" t="s">
        <v>3523</v>
      </c>
      <c r="D100" s="3363">
        <f t="shared" si="30"/>
        <v>8.9999999999999993E-3</v>
      </c>
      <c r="E100" s="3380"/>
      <c r="F100" s="1814"/>
      <c r="G100" s="3370">
        <v>4.4999999999999997E-3</v>
      </c>
      <c r="H100" s="3418" t="str">
        <f t="shared" si="31"/>
        <v>——</v>
      </c>
      <c r="I100" s="3364">
        <v>0.09</v>
      </c>
      <c r="J100" s="3342">
        <f t="shared" si="27"/>
        <v>8.9999999999999993E-3</v>
      </c>
      <c r="K100" s="3342">
        <f t="shared" si="28"/>
        <v>4.4999999999999997E-3</v>
      </c>
      <c r="L100" s="3342">
        <v>0</v>
      </c>
      <c r="M100" s="3342">
        <f t="shared" si="29"/>
        <v>-4.4999999999999997E-3</v>
      </c>
      <c r="N100" s="3342">
        <f t="shared" si="29"/>
        <v>-8.9999999999999993E-3</v>
      </c>
    </row>
    <row r="101" spans="1:14" ht="24.75" thickBot="1">
      <c r="A101" s="3377" t="s">
        <v>3277</v>
      </c>
      <c r="B101" s="3384" t="str">
        <f>估价对象房地状况!C20</f>
        <v>较好</v>
      </c>
      <c r="C101" s="2044" t="s">
        <v>3495</v>
      </c>
      <c r="D101" s="3363">
        <f t="shared" si="30"/>
        <v>3.5000000000000001E-3</v>
      </c>
      <c r="E101" s="3381"/>
      <c r="F101" s="1814"/>
      <c r="G101" s="3370">
        <v>3.5000000000000001E-3</v>
      </c>
      <c r="H101" s="3418" t="str">
        <f t="shared" si="31"/>
        <v>——</v>
      </c>
      <c r="I101" s="3365">
        <v>7.0000000000000007E-2</v>
      </c>
      <c r="J101" s="3342">
        <f t="shared" si="27"/>
        <v>7.0000000000000001E-3</v>
      </c>
      <c r="K101" s="3342">
        <f t="shared" si="28"/>
        <v>3.5000000000000001E-3</v>
      </c>
      <c r="L101" s="3342">
        <v>0</v>
      </c>
      <c r="M101" s="3342">
        <f t="shared" si="29"/>
        <v>-3.5000000000000001E-3</v>
      </c>
      <c r="N101" s="3342">
        <f t="shared" si="29"/>
        <v>-7.0000000000000001E-3</v>
      </c>
    </row>
    <row r="103" spans="1:14">
      <c r="A103" s="4102" t="s">
        <v>3292</v>
      </c>
      <c r="B103" s="4102"/>
      <c r="C103" s="4102"/>
      <c r="D103" s="4102"/>
      <c r="E103" s="4102"/>
      <c r="F103" s="4102"/>
      <c r="G103" s="4102"/>
      <c r="H103" s="4102"/>
      <c r="I103" s="4102"/>
      <c r="J103" s="4102"/>
      <c r="K103" s="3387"/>
      <c r="L103" s="3387"/>
      <c r="M103" s="3387"/>
      <c r="N103" s="3387"/>
    </row>
    <row r="104" spans="1:14">
      <c r="A104" s="4103" t="s">
        <v>3293</v>
      </c>
      <c r="B104" s="4103" t="s">
        <v>3294</v>
      </c>
      <c r="C104" s="3388" t="s">
        <v>3295</v>
      </c>
      <c r="D104" s="3389"/>
      <c r="E104" s="3389"/>
      <c r="F104" s="3389"/>
      <c r="G104" s="3389"/>
      <c r="H104" s="3389"/>
      <c r="I104" s="3389"/>
      <c r="J104" s="3390"/>
      <c r="K104" s="3391"/>
      <c r="L104" s="3391"/>
      <c r="M104" s="3391"/>
      <c r="N104" s="3391"/>
    </row>
    <row r="105" spans="1:14">
      <c r="A105" s="4103"/>
      <c r="B105" s="4103"/>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4089"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409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409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409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409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4090"/>
      <c r="B111" s="3392" t="s">
        <v>3266</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4091"/>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4092" t="s">
        <v>3309</v>
      </c>
      <c r="B113" s="4092"/>
      <c r="C113" s="4092"/>
      <c r="D113" s="4092"/>
      <c r="E113" s="4092"/>
      <c r="F113" s="4092"/>
      <c r="G113" s="4092"/>
      <c r="H113" s="4092"/>
      <c r="I113" s="4092"/>
      <c r="J113" s="409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2.5</v>
      </c>
      <c r="C116" s="3397" t="s">
        <v>3311</v>
      </c>
      <c r="D116" s="3398">
        <f>SUMPRODUCT((A118:A122=F116)*(B117:M117=H116)*B118:M122)</f>
        <v>0</v>
      </c>
      <c r="E116" s="2000" t="s">
        <v>3312</v>
      </c>
      <c r="F116" s="3399" t="str">
        <f>E2</f>
        <v>商业</v>
      </c>
      <c r="G116" s="2000" t="s">
        <v>3313</v>
      </c>
      <c r="H116" s="3399">
        <f>G2</f>
        <v>0</v>
      </c>
      <c r="I116" s="2000"/>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3327</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3328</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3329</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2606</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727" t="s">
        <v>949</v>
      </c>
      <c r="B1" s="3727"/>
      <c r="C1" s="3727"/>
      <c r="D1" s="3727"/>
    </row>
    <row r="2" spans="1:4" ht="18">
      <c r="A2" s="3728" t="s">
        <v>933</v>
      </c>
      <c r="B2" s="3728"/>
      <c r="C2" s="3728"/>
      <c r="D2" s="372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728" t="s">
        <v>939</v>
      </c>
      <c r="B6" s="3728"/>
      <c r="C6" s="3728"/>
      <c r="D6" s="372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729" t="s">
        <v>942</v>
      </c>
      <c r="B11" s="3721"/>
      <c r="C11" s="3721"/>
      <c r="D11" s="3721"/>
    </row>
    <row r="12" spans="1:4" ht="15.75">
      <c r="A12" s="37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26"/>
      <c r="C12" s="3726"/>
      <c r="D12" s="3726"/>
    </row>
    <row r="13" spans="1:4" ht="30" customHeight="1">
      <c r="A13" s="3721" t="str">
        <f>IF(项目基本情况!B8="抵押","3.抵押双方在办理抵押登记手续时，应使用本公司出具的正式《房地产评估报告》，特提醒报告使用者注意。","——")</f>
        <v>——</v>
      </c>
      <c r="B13" s="3726"/>
      <c r="C13" s="3726"/>
      <c r="D13" s="3726"/>
    </row>
    <row r="14" spans="1:4" ht="15.75" customHeight="1">
      <c r="A14" s="3721" t="str">
        <f>IF(项目基本情况!B8="抵押","4.本次评估估价师所知悉的法定优先受偿款情况说明如下：","——")</f>
        <v>——</v>
      </c>
      <c r="B14" s="3726"/>
      <c r="C14" s="3726"/>
      <c r="D14" s="3726"/>
    </row>
    <row r="15" spans="1:4" ht="42" customHeight="1">
      <c r="A15" s="3721" t="str">
        <f>IF(项目基本情况!B8="抵押","（1）"&amp;CONCATENATE(项目基本情况!L20,项目基本情况!L21,项目基本情况!L22),"——")</f>
        <v>——</v>
      </c>
      <c r="B15" s="3721"/>
      <c r="C15" s="3721"/>
      <c r="D15" s="3721"/>
    </row>
    <row r="16" spans="1:4" ht="30" customHeight="1">
      <c r="A16" s="3723" t="s">
        <v>943</v>
      </c>
      <c r="B16" s="3723"/>
      <c r="C16" s="3723"/>
      <c r="D16" s="3723"/>
    </row>
    <row r="17" spans="1:4" ht="144" customHeight="1">
      <c r="A17" s="3723" t="s">
        <v>944</v>
      </c>
      <c r="B17" s="3723"/>
      <c r="C17" s="3723"/>
      <c r="D17" s="3723"/>
    </row>
    <row r="18" spans="1:4" ht="15.75" customHeight="1">
      <c r="A18" s="3721" t="str">
        <f>IF(项目基本情况!B8="抵押",结果表!K120,"——")</f>
        <v>——</v>
      </c>
      <c r="B18" s="3721"/>
      <c r="C18" s="3721"/>
      <c r="D18" s="3721"/>
    </row>
    <row r="19" spans="1:4" ht="46.5" customHeight="1">
      <c r="A19" s="37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21"/>
      <c r="C19" s="3721"/>
      <c r="D19" s="3721"/>
    </row>
    <row r="20" spans="1:4" ht="57.75" customHeight="1">
      <c r="A20" s="37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1"/>
      <c r="C20" s="3721"/>
      <c r="D20" s="3721"/>
    </row>
    <row r="21" spans="1:4" ht="57.75" customHeight="1">
      <c r="A21" s="37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24"/>
      <c r="C21" s="3724"/>
      <c r="D21" s="3724"/>
    </row>
    <row r="22" spans="1:4" ht="18.75" customHeight="1">
      <c r="A22" s="3725" t="s">
        <v>945</v>
      </c>
      <c r="B22" s="3725"/>
      <c r="C22" s="3725"/>
      <c r="D22" s="372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722">
        <v>42551</v>
      </c>
      <c r="D31" s="37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735" t="s">
        <v>956</v>
      </c>
      <c r="B15" s="3730" t="s">
        <v>109</v>
      </c>
      <c r="C15" s="3731"/>
    </row>
    <row r="16" spans="1:7" ht="13.5">
      <c r="A16" s="3736"/>
      <c r="B16" s="3730" t="s">
        <v>42</v>
      </c>
      <c r="C16" s="3731"/>
    </row>
    <row r="17" spans="1:3" ht="13.5">
      <c r="A17" s="3736"/>
      <c r="B17" s="3733" t="s">
        <v>957</v>
      </c>
      <c r="C17" s="1532" t="s">
        <v>956</v>
      </c>
    </row>
    <row r="18" spans="1:3" ht="13.5">
      <c r="A18" s="3736"/>
      <c r="B18" s="3733"/>
      <c r="C18" s="1532" t="s">
        <v>958</v>
      </c>
    </row>
    <row r="19" spans="1:3" ht="13.5">
      <c r="A19" s="3736"/>
      <c r="B19" s="3733"/>
      <c r="C19" s="1532" t="s">
        <v>959</v>
      </c>
    </row>
    <row r="20" spans="1:3" ht="13.5">
      <c r="A20" s="3737"/>
      <c r="B20" s="3732" t="s">
        <v>960</v>
      </c>
      <c r="C20" s="3731"/>
    </row>
    <row r="21" spans="1:3" ht="13.5">
      <c r="A21" s="1533" t="s">
        <v>961</v>
      </c>
      <c r="B21" s="1534"/>
      <c r="C21" s="1535"/>
    </row>
    <row r="22" spans="1:3" ht="13.5">
      <c r="A22" s="3734" t="s">
        <v>962</v>
      </c>
      <c r="B22" s="3732" t="s">
        <v>963</v>
      </c>
      <c r="C22" s="3731"/>
    </row>
    <row r="23" spans="1:3" ht="13.5">
      <c r="A23" s="3734"/>
      <c r="B23" s="3732" t="s">
        <v>964</v>
      </c>
      <c r="C23" s="3731"/>
    </row>
    <row r="24" spans="1:3" ht="13.5">
      <c r="A24" s="3734"/>
      <c r="B24" s="3732" t="s">
        <v>965</v>
      </c>
      <c r="C24" s="3731"/>
    </row>
    <row r="25" spans="1:3" ht="13.5">
      <c r="A25" s="3734"/>
      <c r="B25" s="3733" t="s">
        <v>966</v>
      </c>
      <c r="C25" s="1532" t="s">
        <v>967</v>
      </c>
    </row>
    <row r="26" spans="1:3" ht="13.5">
      <c r="A26" s="3734"/>
      <c r="B26" s="3733"/>
      <c r="C26" s="1532" t="s">
        <v>968</v>
      </c>
    </row>
    <row r="27" spans="1:3" ht="13.5">
      <c r="A27" s="3734"/>
      <c r="B27" s="3733"/>
      <c r="C27" s="1532" t="s">
        <v>969</v>
      </c>
    </row>
    <row r="28" spans="1:3" ht="13.5">
      <c r="A28" s="3734"/>
      <c r="B28" s="3733"/>
      <c r="C28" s="1532" t="s">
        <v>970</v>
      </c>
    </row>
    <row r="29" spans="1:3" ht="13.5">
      <c r="A29" s="3734"/>
      <c r="B29" s="3733"/>
      <c r="C29" s="1532" t="s">
        <v>971</v>
      </c>
    </row>
    <row r="30" spans="1:3" ht="13.5">
      <c r="A30" s="3734"/>
      <c r="B30" s="3733"/>
      <c r="C30" s="1532" t="s">
        <v>972</v>
      </c>
    </row>
    <row r="31" spans="1:3" ht="13.5">
      <c r="A31" s="3734"/>
      <c r="B31" s="3733"/>
      <c r="C31" s="1532" t="s">
        <v>973</v>
      </c>
    </row>
    <row r="32" spans="1:3" ht="13.5">
      <c r="A32" s="3734"/>
      <c r="B32" s="3733"/>
      <c r="C32" s="1532" t="s">
        <v>974</v>
      </c>
    </row>
    <row r="33" spans="1:3" ht="13.5">
      <c r="A33" s="3734"/>
      <c r="B33" s="373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45443</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738" t="s">
        <v>2158</v>
      </c>
      <c r="B17" s="3738"/>
      <c r="C17" s="3738"/>
      <c r="D17" s="3738"/>
      <c r="E17" s="3738"/>
      <c r="F17" s="3738"/>
      <c r="G17" s="3738"/>
      <c r="H17" s="3738"/>
    </row>
    <row r="18" spans="1:8" ht="24" customHeight="1">
      <c r="A18" s="3739" t="s">
        <v>2159</v>
      </c>
      <c r="B18" s="3739"/>
      <c r="C18" s="3739"/>
      <c r="D18" s="2343"/>
      <c r="E18" s="3740" t="s">
        <v>2160</v>
      </c>
      <c r="F18" s="3739"/>
      <c r="G18" s="373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171</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比较法-商业售价</vt:lpstr>
      <vt:lpstr>案例-商业出售</vt:lpstr>
      <vt:lpstr>欧陆时尚购物中心-租赁台账</vt:lpstr>
      <vt:lpstr>合同租金</vt:lpstr>
      <vt:lpstr>租金</vt:lpstr>
      <vt:lpstr>商业案例</vt:lpstr>
      <vt:lpstr>售价</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'欧陆时尚购物中心-租赁台账'!Print_Area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'欧陆时尚购物中心-租赁台账'!Print_Titles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2024-05-31T08:59:12Z</dcterms:modified>
</cp:coreProperties>
</file>