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门总询价\"/>
    </mc:Choice>
  </mc:AlternateContent>
  <xr:revisionPtr revIDLastSave="0" documentId="13_ncr:1_{58EDC2D1-0208-487B-9427-249E9C30A298}" xr6:coauthVersionLast="47" xr6:coauthVersionMax="47" xr10:uidLastSave="{00000000-0000-0000-0000-000000000000}"/>
  <bookViews>
    <workbookView xWindow="-110" yWindow="-110" windowWidth="25820" windowHeight="1402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房本1" sheetId="9" r:id="rId18"/>
    <sheet name="结果表房本2" sheetId="86" r:id="rId19"/>
    <sheet name="结果表房本3" sheetId="87" r:id="rId20"/>
    <sheet name="基准地价修正" sheetId="43" r:id="rId21"/>
    <sheet name="信息" sheetId="80" r:id="rId22"/>
    <sheet name="租金案例" sheetId="81" r:id="rId23"/>
    <sheet name="成本法房本1" sheetId="68" r:id="rId24"/>
    <sheet name="成本法 (元)" sheetId="69" state="hidden" r:id="rId25"/>
    <sheet name="假设开发法" sheetId="12" state="hidden" r:id="rId26"/>
    <sheet name="成本法房本2" sheetId="84" r:id="rId27"/>
    <sheet name="成本法房本3" sheetId="85" r:id="rId28"/>
    <sheet name="收益法房本1" sheetId="15"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收益法房本2" sheetId="82" r:id="rId43"/>
    <sheet name="收益法房本3" sheetId="8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4">'成本法 (元)'!$A$1:$G$57</definedName>
    <definedName name="_xlnm.Print_Area" localSheetId="23">成本法房本1!$A$1:$G$57</definedName>
    <definedName name="_xlnm.Print_Area" localSheetId="26">成本法房本2!$A$1:$G$57</definedName>
    <definedName name="_xlnm.Print_Area" localSheetId="27">成本法房本3!$A$1:$G$57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0">基准地价修正!$A$1:$J$44,基准地价修正!$A$47:$H$101,基准地价修正!$R$1:$V$16</definedName>
    <definedName name="_xlnm.Print_Area" localSheetId="25">假设开发法!$A$1:$K$32</definedName>
    <definedName name="_xlnm.Print_Area" localSheetId="17">结果表房本1!$A$1:$I$127</definedName>
    <definedName name="_xlnm.Print_Area" localSheetId="18">结果表房本2!$A$1:$I$127</definedName>
    <definedName name="_xlnm.Print_Area" localSheetId="19">结果表房本3!$A$1:$I$127</definedName>
    <definedName name="_xlnm.Print_Area" localSheetId="29">'收益法 (元)'!$A$1:$F$43,'收益法 (元)'!$H$3:$M$29,'收益法 (元)'!$A$45:$F$71,'收益法 (元)'!$I$46:$N$65</definedName>
    <definedName name="_xlnm.Print_Area" localSheetId="31">'收益法（汇总）'!$A$1:$F$13</definedName>
    <definedName name="_xlnm.Print_Area" localSheetId="28">收益法房本1!$A$1:$F$43,收益法房本1!$H$3:$M$29,收益法房本1!$A$46:$F$71,收益法房本1!$I$46:$N$65</definedName>
    <definedName name="_xlnm.Print_Area" localSheetId="42">收益法房本2!$A$1:$F$43,收益法房本2!$H$3:$M$29,收益法房本2!$A$46:$F$71,收益法房本2!$I$46:$N$65</definedName>
    <definedName name="_xlnm.Print_Area" localSheetId="43">收益法房本3!$A$1:$F$43,收益法房本3!$H$3:$M$29,收益法房本3!$A$46:$F$71,收益法房本3!$I$46:$N$65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9" i="80" l="1"/>
  <c r="B14" i="74"/>
  <c r="A120" i="87"/>
  <c r="E111" i="87"/>
  <c r="H112"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O55" i="87" s="1"/>
  <c r="E59" i="87"/>
  <c r="N55" i="87" s="1"/>
  <c r="N56" i="87"/>
  <c r="M56" i="87"/>
  <c r="K56" i="87"/>
  <c r="J56" i="87"/>
  <c r="F56" i="87"/>
  <c r="O54" i="87" s="1"/>
  <c r="K55" i="87"/>
  <c r="J55" i="87"/>
  <c r="J57" i="87" s="1"/>
  <c r="J59" i="87" s="1"/>
  <c r="J61" i="87" s="1"/>
  <c r="I55" i="87"/>
  <c r="F55" i="87"/>
  <c r="O53" i="87" s="1"/>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8" i="87" s="1"/>
  <c r="D18" i="87" s="1"/>
  <c r="C17" i="87"/>
  <c r="L4" i="87"/>
  <c r="K4" i="87"/>
  <c r="H1" i="87"/>
  <c r="A120" i="86"/>
  <c r="E111" i="86"/>
  <c r="H112" i="86" s="1"/>
  <c r="E109" i="86"/>
  <c r="A124" i="86" s="1"/>
  <c r="E107" i="86"/>
  <c r="A122" i="86" s="1"/>
  <c r="H106" i="86"/>
  <c r="H105" i="86"/>
  <c r="H104" i="86"/>
  <c r="H103" i="86"/>
  <c r="D120" i="86" s="1"/>
  <c r="D101" i="86"/>
  <c r="C101" i="86"/>
  <c r="D93" i="86"/>
  <c r="C91" i="86"/>
  <c r="E90" i="86"/>
  <c r="D89" i="86"/>
  <c r="C89" i="86" s="1"/>
  <c r="C87" i="86" s="1"/>
  <c r="D78" i="86"/>
  <c r="H77" i="86"/>
  <c r="D77" i="86"/>
  <c r="C77" i="86" s="1"/>
  <c r="C74" i="86" s="1"/>
  <c r="C76" i="86"/>
  <c r="D68" i="86"/>
  <c r="F59" i="86"/>
  <c r="O55" i="86" s="1"/>
  <c r="E59" i="86"/>
  <c r="N55" i="86" s="1"/>
  <c r="N56" i="86"/>
  <c r="M56" i="86"/>
  <c r="K56" i="86"/>
  <c r="J56" i="86"/>
  <c r="F56" i="86"/>
  <c r="O54" i="86" s="1"/>
  <c r="K55" i="86"/>
  <c r="J55" i="86"/>
  <c r="J57" i="86" s="1"/>
  <c r="J59" i="86" s="1"/>
  <c r="J61" i="86" s="1"/>
  <c r="I55" i="86"/>
  <c r="F55" i="86"/>
  <c r="O53" i="86" s="1"/>
  <c r="N54" i="86"/>
  <c r="F54" i="86"/>
  <c r="N53" i="86"/>
  <c r="F53" i="86"/>
  <c r="F52" i="86"/>
  <c r="K49" i="86"/>
  <c r="F48" i="86"/>
  <c r="O52" i="86" s="1"/>
  <c r="E48" i="86"/>
  <c r="N52" i="86" s="1"/>
  <c r="D48" i="86"/>
  <c r="M52" i="86" s="1"/>
  <c r="M47" i="86"/>
  <c r="F33" i="86"/>
  <c r="D27" i="86"/>
  <c r="C25" i="86"/>
  <c r="C24" i="86"/>
  <c r="M19" i="86"/>
  <c r="C118" i="86" s="1"/>
  <c r="L19" i="86"/>
  <c r="M18" i="86"/>
  <c r="B118" i="86" s="1"/>
  <c r="L18" i="86"/>
  <c r="D17" i="86"/>
  <c r="C18" i="86" s="1"/>
  <c r="D18" i="86" s="1"/>
  <c r="C17" i="86"/>
  <c r="L4" i="86"/>
  <c r="K4" i="86"/>
  <c r="H1" i="86"/>
  <c r="U8" i="1"/>
  <c r="U7" i="1"/>
  <c r="AA28" i="1"/>
  <c r="Z28" i="1"/>
  <c r="Y28" i="1"/>
  <c r="AA25" i="1"/>
  <c r="AA24" i="1"/>
  <c r="AA23" i="1"/>
  <c r="Z26" i="1"/>
  <c r="AA26" i="1"/>
  <c r="Z25" i="1"/>
  <c r="Z24" i="1"/>
  <c r="Z23" i="1"/>
  <c r="Y24" i="1"/>
  <c r="Y25" i="1"/>
  <c r="Y23" i="1"/>
  <c r="Y22" i="1"/>
  <c r="D37" i="43"/>
  <c r="C48" i="85"/>
  <c r="G41" i="85"/>
  <c r="F38" i="85"/>
  <c r="E37" i="85"/>
  <c r="F36" i="85"/>
  <c r="F35" i="85"/>
  <c r="F34" i="85"/>
  <c r="F30" i="85"/>
  <c r="F48" i="85" s="1"/>
  <c r="C30" i="85"/>
  <c r="G22" i="85"/>
  <c r="F21" i="85"/>
  <c r="F40" i="85" s="1"/>
  <c r="F20" i="85"/>
  <c r="F39" i="85" s="1"/>
  <c r="E19" i="85"/>
  <c r="C19" i="85"/>
  <c r="E10" i="85"/>
  <c r="E9" i="85"/>
  <c r="F7" i="85"/>
  <c r="G1" i="85"/>
  <c r="C48" i="84"/>
  <c r="G41" i="84"/>
  <c r="F38" i="84"/>
  <c r="E37" i="84"/>
  <c r="F36" i="84"/>
  <c r="F35" i="84"/>
  <c r="F34" i="84"/>
  <c r="F30" i="84"/>
  <c r="F48" i="84" s="1"/>
  <c r="C30" i="84"/>
  <c r="G22" i="84"/>
  <c r="F21" i="84"/>
  <c r="F40" i="84" s="1"/>
  <c r="F20" i="84"/>
  <c r="F39" i="84" s="1"/>
  <c r="E19" i="84"/>
  <c r="C19" i="84"/>
  <c r="E10" i="84"/>
  <c r="E9" i="84"/>
  <c r="F7" i="84"/>
  <c r="G1" i="84"/>
  <c r="Q72" i="83"/>
  <c r="Q59" i="83"/>
  <c r="K59" i="83"/>
  <c r="P74" i="83" s="1"/>
  <c r="F59" i="83"/>
  <c r="Q58" i="83"/>
  <c r="Q51" i="83"/>
  <c r="J50" i="83"/>
  <c r="J51" i="83" s="1"/>
  <c r="J49"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Q51" i="82"/>
  <c r="J50" i="82"/>
  <c r="J51" i="82" s="1"/>
  <c r="J49"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AL8" i="1"/>
  <c r="AM8" i="1"/>
  <c r="AK8" i="1"/>
  <c r="AL7" i="1"/>
  <c r="AM7" i="1"/>
  <c r="AK7" i="1"/>
  <c r="Y8" i="1"/>
  <c r="V8" i="1"/>
  <c r="Y7" i="1"/>
  <c r="W7" i="1"/>
  <c r="V7" i="1"/>
  <c r="N8" i="1"/>
  <c r="N7" i="1"/>
  <c r="L7" i="1"/>
  <c r="I8" i="1"/>
  <c r="J8" i="1"/>
  <c r="H8" i="1"/>
  <c r="H7" i="1"/>
  <c r="I7" i="1"/>
  <c r="J7" i="1"/>
  <c r="F21" i="6"/>
  <c r="F20" i="6"/>
  <c r="G19" i="6"/>
  <c r="F19" i="6"/>
  <c r="I15" i="3"/>
  <c r="I14" i="3"/>
  <c r="K13" i="3"/>
  <c r="I13" i="3"/>
  <c r="O25" i="80"/>
  <c r="O17" i="80"/>
  <c r="O6" i="80"/>
  <c r="O7" i="80"/>
  <c r="R5" i="80"/>
  <c r="U4" i="43"/>
  <c r="U3" i="43"/>
  <c r="U2" i="43"/>
  <c r="G44" i="43"/>
  <c r="D34" i="87"/>
  <c r="D35" i="87"/>
  <c r="D34" i="86"/>
  <c r="D35" i="86"/>
  <c r="D9" i="85"/>
  <c r="D10" i="85"/>
  <c r="E2" i="85"/>
  <c r="F27" i="85"/>
  <c r="E2" i="84"/>
  <c r="D10" i="84"/>
  <c r="F42" i="83"/>
  <c r="M28" i="83"/>
  <c r="M22" i="83"/>
  <c r="F9" i="83"/>
  <c r="M24" i="83"/>
  <c r="F8" i="83"/>
  <c r="F7" i="83"/>
  <c r="L48" i="83"/>
  <c r="L47" i="83"/>
  <c r="F43" i="83"/>
  <c r="F40" i="83"/>
  <c r="C76" i="83"/>
  <c r="F42" i="82"/>
  <c r="M28" i="82"/>
  <c r="M22" i="82"/>
  <c r="F9" i="82"/>
  <c r="F8" i="82"/>
  <c r="F7" i="82"/>
  <c r="M24" i="82"/>
  <c r="L48" i="82"/>
  <c r="L47" i="82"/>
  <c r="F43" i="82"/>
  <c r="F40" i="82"/>
  <c r="C76" i="82"/>
  <c r="C92" i="87" l="1"/>
  <c r="C94" i="87"/>
  <c r="D121" i="87"/>
  <c r="K120" i="87"/>
  <c r="H111" i="87"/>
  <c r="D126" i="87" s="1"/>
  <c r="D127" i="87" s="1"/>
  <c r="A126" i="87"/>
  <c r="H109" i="87"/>
  <c r="C92" i="86"/>
  <c r="C94" i="86"/>
  <c r="D121" i="86"/>
  <c r="K120" i="86"/>
  <c r="H111" i="86"/>
  <c r="D126" i="86" s="1"/>
  <c r="D127" i="86" s="1"/>
  <c r="A126" i="86"/>
  <c r="H109" i="86"/>
  <c r="F45" i="85"/>
  <c r="C10" i="85"/>
  <c r="D19" i="85"/>
  <c r="D37" i="85" s="1"/>
  <c r="C37" i="85" s="1"/>
  <c r="C9" i="85"/>
  <c r="C21" i="85"/>
  <c r="C29" i="85" s="1"/>
  <c r="D27" i="85" s="1"/>
  <c r="C40" i="85"/>
  <c r="C10" i="84"/>
  <c r="C21" i="84"/>
  <c r="C40" i="84"/>
  <c r="Q71" i="83"/>
  <c r="F68" i="83"/>
  <c r="F71" i="83"/>
  <c r="N59" i="83"/>
  <c r="L58" i="83"/>
  <c r="M59" i="83"/>
  <c r="L59" i="83"/>
  <c r="L57" i="83"/>
  <c r="L56" i="83"/>
  <c r="L60" i="83"/>
  <c r="M7" i="83"/>
  <c r="F50" i="83"/>
  <c r="F51" i="83"/>
  <c r="J57" i="83"/>
  <c r="J55" i="83" s="1"/>
  <c r="J58" i="83" s="1"/>
  <c r="Q50" i="83" s="1"/>
  <c r="J53" i="83"/>
  <c r="I54" i="83"/>
  <c r="P61" i="83"/>
  <c r="Q71" i="82"/>
  <c r="F68" i="82"/>
  <c r="F71" i="82"/>
  <c r="N59" i="82"/>
  <c r="L58" i="82"/>
  <c r="M59" i="82"/>
  <c r="L59" i="82"/>
  <c r="L57" i="82"/>
  <c r="L56" i="82"/>
  <c r="L60" i="82"/>
  <c r="M7" i="82"/>
  <c r="F50" i="82"/>
  <c r="F51" i="82"/>
  <c r="J57" i="82"/>
  <c r="J55" i="82" s="1"/>
  <c r="J58" i="82" s="1"/>
  <c r="Q50" i="82" s="1"/>
  <c r="J53" i="82"/>
  <c r="I54" i="82"/>
  <c r="P61" i="82"/>
  <c r="J49" i="15"/>
  <c r="Y6" i="1"/>
  <c r="C36" i="85"/>
  <c r="F27" i="84"/>
  <c r="C36" i="84"/>
  <c r="C34" i="84"/>
  <c r="D9" i="84"/>
  <c r="F16" i="83"/>
  <c r="F36" i="83"/>
  <c r="F6" i="83"/>
  <c r="J15" i="83"/>
  <c r="M6" i="83"/>
  <c r="M26" i="83"/>
  <c r="F38" i="83"/>
  <c r="M9" i="83"/>
  <c r="M23" i="83"/>
  <c r="F37" i="83"/>
  <c r="C17" i="83"/>
  <c r="M8" i="83"/>
  <c r="M29" i="83"/>
  <c r="F26" i="83"/>
  <c r="F13" i="83"/>
  <c r="M27" i="83"/>
  <c r="F16" i="82"/>
  <c r="F36" i="82"/>
  <c r="F6" i="82"/>
  <c r="M9" i="82"/>
  <c r="F37" i="82"/>
  <c r="C17" i="82"/>
  <c r="F26" i="82"/>
  <c r="F13" i="82"/>
  <c r="M27" i="82"/>
  <c r="M6" i="82"/>
  <c r="M26" i="82"/>
  <c r="F38" i="82"/>
  <c r="M23" i="82"/>
  <c r="M8" i="82"/>
  <c r="M29" i="82"/>
  <c r="C14" i="82"/>
  <c r="J15" i="82"/>
  <c r="D124" i="87" l="1"/>
  <c r="D125" i="87" s="1"/>
  <c r="H110" i="87"/>
  <c r="C8" i="85"/>
  <c r="D124" i="86"/>
  <c r="D125" i="86" s="1"/>
  <c r="H110" i="86"/>
  <c r="C47" i="85"/>
  <c r="D45" i="85" s="1"/>
  <c r="C9" i="84"/>
  <c r="D19" i="84"/>
  <c r="D37" i="84" s="1"/>
  <c r="C37" i="84" s="1"/>
  <c r="C35" i="84"/>
  <c r="C38" i="84"/>
  <c r="F45" i="84"/>
  <c r="C47" i="84"/>
  <c r="D45" i="84" s="1"/>
  <c r="C29" i="84"/>
  <c r="D27" i="84" s="1"/>
  <c r="C27" i="83"/>
  <c r="F65" i="83"/>
  <c r="F66" i="83"/>
  <c r="J6" i="83"/>
  <c r="C6" i="83"/>
  <c r="F64" i="83"/>
  <c r="Q52" i="83"/>
  <c r="F1" i="83"/>
  <c r="Q61" i="83"/>
  <c r="Q74" i="83"/>
  <c r="Q66" i="83"/>
  <c r="Q57" i="83"/>
  <c r="C49" i="83"/>
  <c r="Q73" i="83"/>
  <c r="Q60" i="83"/>
  <c r="C18" i="82"/>
  <c r="C15" i="82"/>
  <c r="F66" i="82"/>
  <c r="J6" i="82"/>
  <c r="C27" i="82"/>
  <c r="F65" i="82"/>
  <c r="C6" i="82"/>
  <c r="F64" i="82"/>
  <c r="Q61" i="82"/>
  <c r="Q74" i="82"/>
  <c r="Q52" i="82"/>
  <c r="F1" i="82"/>
  <c r="Q66" i="82"/>
  <c r="Q57" i="82"/>
  <c r="C49" i="82"/>
  <c r="Q73" i="82"/>
  <c r="Q60" i="82"/>
  <c r="X22" i="1"/>
  <c r="X24" i="1"/>
  <c r="X25" i="1"/>
  <c r="B59" i="1"/>
  <c r="B21" i="1"/>
  <c r="O18" i="1"/>
  <c r="O19" i="1" s="1"/>
  <c r="O21" i="1" s="1"/>
  <c r="N6" i="1" s="1"/>
  <c r="T3" i="81"/>
  <c r="T4" i="81"/>
  <c r="X4" i="81"/>
  <c r="T2" i="81"/>
  <c r="R6" i="80"/>
  <c r="E27" i="45"/>
  <c r="C16" i="82"/>
  <c r="C33" i="84" l="1"/>
  <c r="C39" i="84" s="1"/>
  <c r="C46" i="84" s="1"/>
  <c r="C45" i="84" s="1"/>
  <c r="C33" i="83"/>
  <c r="C32" i="83"/>
  <c r="J18" i="83"/>
  <c r="J19" i="83"/>
  <c r="C61" i="83"/>
  <c r="C19" i="82"/>
  <c r="C33" i="82"/>
  <c r="C32" i="82"/>
  <c r="C61" i="82"/>
  <c r="J19" i="82"/>
  <c r="J18" i="82"/>
  <c r="Y26" i="1"/>
  <c r="U6" i="1" s="1"/>
  <c r="G14" i="73"/>
  <c r="F14" i="73"/>
  <c r="E14" i="73"/>
  <c r="C20" i="82" l="1"/>
  <c r="C26" i="82" s="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5" i="79" l="1"/>
  <c r="AD34" i="79"/>
  <c r="AD36" i="79"/>
  <c r="AD38" i="79"/>
  <c r="AD37" i="79"/>
  <c r="AR40" i="79"/>
  <c r="AR41" i="79" s="1"/>
  <c r="AR42" i="79" s="1"/>
  <c r="AR43" i="79" s="1"/>
  <c r="AR44" i="79" s="1"/>
  <c r="AR45" i="79" s="1"/>
  <c r="AR46" i="79" s="1"/>
  <c r="AR47" i="79" s="1"/>
  <c r="AR48" i="79" s="1"/>
  <c r="AR49" i="79" s="1"/>
  <c r="AR50" i="79" s="1"/>
  <c r="AR51" i="79" s="1"/>
  <c r="AR52" i="79" s="1"/>
  <c r="Z3" i="79"/>
  <c r="S33" i="79"/>
  <c r="AG33" i="79" s="1"/>
  <c r="S35" i="79"/>
  <c r="AG35" i="79" s="1"/>
  <c r="S34" i="79"/>
  <c r="AG34" i="79" s="1"/>
  <c r="T40" i="79"/>
  <c r="AR18" i="79"/>
  <c r="AR19" i="79" s="1"/>
  <c r="AR20" i="79" s="1"/>
  <c r="AR21" i="79" s="1"/>
  <c r="AR22" i="79" s="1"/>
  <c r="AR23" i="79" s="1"/>
  <c r="AR24" i="79" s="1"/>
  <c r="T33" i="79"/>
  <c r="T34" i="79"/>
  <c r="T35" i="79"/>
  <c r="W22" i="79"/>
  <c r="AK22" i="79" s="1"/>
  <c r="AH22" i="79"/>
  <c r="AA31" i="79"/>
  <c r="AD31" i="79" s="1"/>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8" i="79" l="1"/>
  <c r="AK18" i="79" s="1"/>
  <c r="AH18" i="79"/>
  <c r="W20" i="79"/>
  <c r="AK20" i="79" s="1"/>
  <c r="AH20" i="79"/>
  <c r="W11" i="79"/>
  <c r="AK11" i="79" s="1"/>
  <c r="AH11" i="79"/>
  <c r="W17" i="79"/>
  <c r="AK17" i="79" s="1"/>
  <c r="AH17" i="79"/>
  <c r="W14" i="79"/>
  <c r="AK14" i="79" s="1"/>
  <c r="AH14" i="79"/>
  <c r="W42" i="79"/>
  <c r="AK42" i="79" s="1"/>
  <c r="W19" i="79"/>
  <c r="AK19" i="79" s="1"/>
  <c r="AH19" i="79"/>
  <c r="W16" i="79"/>
  <c r="AK16" i="79" s="1"/>
  <c r="AH16" i="79"/>
  <c r="W51" i="79"/>
  <c r="AK51" i="79" s="1"/>
  <c r="AH51"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10" i="79"/>
  <c r="AK10" i="79" s="1"/>
  <c r="AH10" i="79"/>
  <c r="W50" i="79"/>
  <c r="AK50" i="79" s="1"/>
  <c r="AH50" i="79"/>
  <c r="W41" i="79"/>
  <c r="AK41" i="79" s="1"/>
  <c r="AH41" i="79"/>
  <c r="W44" i="79"/>
  <c r="AK44" i="79" s="1"/>
  <c r="AH44" i="79"/>
  <c r="W40" i="79"/>
  <c r="AK40" i="79" s="1"/>
  <c r="AH40" i="79"/>
  <c r="W23" i="79"/>
  <c r="AK23" i="79" s="1"/>
  <c r="AH23" i="79"/>
  <c r="W12" i="79"/>
  <c r="AK12" i="79" s="1"/>
  <c r="AH12" i="79"/>
  <c r="W21" i="79"/>
  <c r="AK21" i="79" s="1"/>
  <c r="AH21" i="79"/>
  <c r="W47" i="79"/>
  <c r="AK47" i="79" s="1"/>
  <c r="AH47" i="79"/>
  <c r="W45" i="79"/>
  <c r="AK45" i="79" s="1"/>
  <c r="AH45"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s="1"/>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5" i="3" s="1"/>
  <c r="BN17" i="3"/>
  <c r="BP13" i="3"/>
  <c r="BP5" i="3" s="1"/>
  <c r="BP14" i="3"/>
  <c r="BP15" i="3"/>
  <c r="BP16" i="3"/>
  <c r="BP17" i="3"/>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H5" i="3" s="1"/>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J38" i="37" s="1"/>
  <c r="AC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c r="F36" i="39"/>
  <c r="S36" i="39" s="1"/>
  <c r="H36" i="39"/>
  <c r="AB36" i="39" s="1"/>
  <c r="J35" i="39"/>
  <c r="AC35" i="39" s="1"/>
  <c r="F35" i="39"/>
  <c r="AA35" i="39"/>
  <c r="J36" i="39"/>
  <c r="AC36" i="39" s="1"/>
  <c r="U9" i="39"/>
  <c r="W25" i="37"/>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5"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S44" i="39"/>
  <c r="J34" i="36"/>
  <c r="W34" i="36" s="1"/>
  <c r="U30" i="36"/>
  <c r="J30" i="35"/>
  <c r="W30" i="35" s="1"/>
  <c r="H30" i="35"/>
  <c r="AB30" i="35" s="1"/>
  <c r="F22" i="35"/>
  <c r="AA22" i="35" s="1"/>
  <c r="H10" i="35"/>
  <c r="U10" i="35" s="1"/>
  <c r="F33" i="36"/>
  <c r="AA33" i="36"/>
  <c r="H16" i="36"/>
  <c r="AB16"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0" i="3"/>
  <c r="BL554" i="3"/>
  <c r="BL546" i="3"/>
  <c r="BL542" i="3"/>
  <c r="BL538" i="3"/>
  <c r="BL534" i="3"/>
  <c r="BL530" i="3"/>
  <c r="BL526" i="3"/>
  <c r="BL522" i="3"/>
  <c r="BL516" i="3"/>
  <c r="BL512" i="3"/>
  <c r="BL506" i="3"/>
  <c r="BL502" i="3"/>
  <c r="AZ502" i="3" s="1"/>
  <c r="BL498" i="3"/>
  <c r="BL494" i="3"/>
  <c r="AZ494" i="3" s="1"/>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2"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AZ575" i="3" s="1"/>
  <c r="BA573" i="3"/>
  <c r="BA571" i="3"/>
  <c r="AZ571" i="3" s="1"/>
  <c r="BA569" i="3"/>
  <c r="BA567" i="3"/>
  <c r="BA563"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Q563" i="3"/>
  <c r="BL563" i="3"/>
  <c r="BQ561" i="3"/>
  <c r="BL561" i="3"/>
  <c r="AZ561" i="3" s="1"/>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J11" i="39"/>
  <c r="W11" i="39"/>
  <c r="F11" i="39"/>
  <c r="S11" i="39" s="1"/>
  <c r="G4" i="4"/>
  <c r="I4" i="4"/>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68" i="3"/>
  <c r="AZ176" i="3"/>
  <c r="AZ184" i="3"/>
  <c r="AZ105" i="3"/>
  <c r="G534" i="3"/>
  <c r="G530" i="3"/>
  <c r="G522" i="3"/>
  <c r="G516" i="3"/>
  <c r="G512" i="3"/>
  <c r="G506" i="3"/>
  <c r="G498" i="3"/>
  <c r="G494" i="3"/>
  <c r="G16" i="3"/>
  <c r="BA304" i="3"/>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c r="BL311" i="3"/>
  <c r="AZ311" i="3" s="1"/>
  <c r="G312" i="3"/>
  <c r="BA314" i="3"/>
  <c r="BL315" i="3"/>
  <c r="AZ315" i="3" s="1"/>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22"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37" i="3"/>
  <c r="AZ245" i="3"/>
  <c r="AZ257" i="3"/>
  <c r="AZ265" i="3"/>
  <c r="BA379" i="3"/>
  <c r="AZ379" i="3" s="1"/>
  <c r="BL380" i="3"/>
  <c r="AZ380" i="3" s="1"/>
  <c r="G381" i="3"/>
  <c r="BA383" i="3"/>
  <c r="AZ383" i="3" s="1"/>
  <c r="BL384" i="3"/>
  <c r="AZ384" i="3" s="1"/>
  <c r="G385" i="3"/>
  <c r="BA387" i="3"/>
  <c r="BL388" i="3"/>
  <c r="G389" i="3"/>
  <c r="BA391" i="3"/>
  <c r="AZ391" i="3" s="1"/>
  <c r="BL392" i="3"/>
  <c r="G393" i="3"/>
  <c r="AZ283" i="3"/>
  <c r="BO5" i="3"/>
  <c r="BJ5" i="3"/>
  <c r="AZ325" i="3"/>
  <c r="AZ341" i="3"/>
  <c r="AC5" i="3"/>
  <c r="AZ506" i="3"/>
  <c r="AZ496" i="3"/>
  <c r="G548" i="3"/>
  <c r="G538" i="3"/>
  <c r="G520" i="3"/>
  <c r="G502" i="3"/>
  <c r="BK5" i="3"/>
  <c r="BI5" i="3"/>
  <c r="BE5" i="3"/>
  <c r="G17" i="3"/>
  <c r="BA17" i="3"/>
  <c r="BT5" i="3"/>
  <c r="AZ350" i="3"/>
  <c r="BA1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7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Z412" i="3"/>
  <c r="AZ433" i="3"/>
  <c r="AZ586" i="3"/>
  <c r="W12" i="33"/>
  <c r="AC12" i="33"/>
  <c r="AA32" i="36"/>
  <c r="S32" i="36"/>
  <c r="AZ437" i="3"/>
  <c r="BL14" i="3"/>
  <c r="U30" i="33"/>
  <c r="AC13" i="34"/>
  <c r="AA47" i="34"/>
  <c r="W28" i="37"/>
  <c r="S19" i="39"/>
  <c r="F12" i="33"/>
  <c r="H12" i="39"/>
  <c r="AB12" i="39"/>
  <c r="F39" i="40"/>
  <c r="AA39" i="40" s="1"/>
  <c r="BA14" i="3"/>
  <c r="AZ224" i="3"/>
  <c r="AZ189"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c r="F23" i="21"/>
  <c r="S23" i="21" s="1"/>
  <c r="E85" i="21"/>
  <c r="AA14" i="21"/>
  <c r="D120" i="9"/>
  <c r="D121" i="9" s="1"/>
  <c r="D7" i="52" s="1"/>
  <c r="M20" i="67"/>
  <c r="BL17" i="3"/>
  <c r="AZ17" i="3"/>
  <c r="J56" i="9"/>
  <c r="J57" i="9" s="1"/>
  <c r="J59" i="9" s="1"/>
  <c r="J61" i="9" s="1"/>
  <c r="A24" i="51"/>
  <c r="B18" i="72" s="1"/>
  <c r="U29" i="34"/>
  <c r="E5" i="6"/>
  <c r="E32" i="6"/>
  <c r="E19" i="69"/>
  <c r="E19" i="68"/>
  <c r="E19" i="11"/>
  <c r="E1" i="73"/>
  <c r="G22" i="69"/>
  <c r="G22" i="68"/>
  <c r="G26" i="12"/>
  <c r="G22" i="11"/>
  <c r="C6" i="43"/>
  <c r="C7" i="39"/>
  <c r="C67" i="39" s="1"/>
  <c r="C7" i="35"/>
  <c r="C48" i="35" s="1"/>
  <c r="D48" i="35" s="1"/>
  <c r="C7" i="33"/>
  <c r="C7" i="21"/>
  <c r="C7" i="40"/>
  <c r="C63" i="40" s="1"/>
  <c r="M47" i="9"/>
  <c r="G23" i="43"/>
  <c r="C23" i="43" s="1"/>
  <c r="L20" i="6"/>
  <c r="B6" i="1"/>
  <c r="E6" i="1" s="1"/>
  <c r="K11" i="1"/>
  <c r="M11" i="1" s="1"/>
  <c r="O11" i="1" s="1"/>
  <c r="B9" i="1"/>
  <c r="E9" i="1" s="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W32" i="39" s="1"/>
  <c r="H32" i="39"/>
  <c r="AB32" i="39" s="1"/>
  <c r="S32" i="39"/>
  <c r="AB21" i="39"/>
  <c r="AA21" i="39"/>
  <c r="S21" i="39"/>
  <c r="AC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J27" i="33"/>
  <c r="AC27" i="33" s="1"/>
  <c r="U25" i="33"/>
  <c r="AB25" i="33"/>
  <c r="G87" i="33"/>
  <c r="H87" i="33"/>
  <c r="I87" i="33" s="1"/>
  <c r="J87" i="33" s="1"/>
  <c r="K87" i="33" s="1"/>
  <c r="L87" i="33" s="1"/>
  <c r="M87" i="33" s="1"/>
  <c r="J25" i="33"/>
  <c r="AB23" i="33"/>
  <c r="U23" i="33"/>
  <c r="F23" i="33"/>
  <c r="G85" i="33"/>
  <c r="H19" i="33"/>
  <c r="U19" i="33" s="1"/>
  <c r="H17" i="33"/>
  <c r="U17" i="33" s="1"/>
  <c r="F17" i="33"/>
  <c r="S17" i="33" s="1"/>
  <c r="W17" i="33"/>
  <c r="J23" i="21"/>
  <c r="F85" i="21"/>
  <c r="G85" i="21" s="1"/>
  <c r="H23" i="21"/>
  <c r="U23" i="21" s="1"/>
  <c r="S13" i="21"/>
  <c r="AP7" i="1"/>
  <c r="AB45" i="21"/>
  <c r="AB9" i="21"/>
  <c r="AA32" i="21"/>
  <c r="S32" i="21"/>
  <c r="W9" i="21"/>
  <c r="AB32" i="21"/>
  <c r="U32" i="21"/>
  <c r="U32" i="39"/>
  <c r="W23" i="37"/>
  <c r="J63" i="37"/>
  <c r="K63" i="37" s="1"/>
  <c r="L63" i="37" s="1"/>
  <c r="M63" i="37" s="1"/>
  <c r="J11" i="37"/>
  <c r="AC11" i="37" s="1"/>
  <c r="H70" i="34"/>
  <c r="I70" i="34" s="1"/>
  <c r="J70" i="34" s="1"/>
  <c r="K70" i="34" s="1"/>
  <c r="L70" i="34" s="1"/>
  <c r="M70" i="34" s="1"/>
  <c r="J11" i="34"/>
  <c r="W11" i="34" s="1"/>
  <c r="W27" i="33"/>
  <c r="W25" i="33"/>
  <c r="AC25" i="33"/>
  <c r="AB23" i="21"/>
  <c r="AC23" i="21"/>
  <c r="W23" i="21"/>
  <c r="H109" i="9"/>
  <c r="H112" i="9"/>
  <c r="D21" i="53" s="1"/>
  <c r="B39" i="72"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C16" i="83"/>
  <c r="C14" i="83"/>
  <c r="C34" i="85"/>
  <c r="E10" i="76"/>
  <c r="B8" i="76"/>
  <c r="F3" i="73"/>
  <c r="F6" i="73"/>
  <c r="B11" i="76"/>
  <c r="AO13" i="1"/>
  <c r="E13" i="76"/>
  <c r="B7" i="76"/>
  <c r="E8" i="76"/>
  <c r="E2" i="68"/>
  <c r="E12" i="76"/>
  <c r="E2" i="69"/>
  <c r="E7" i="76"/>
  <c r="F7" i="73"/>
  <c r="F4" i="73"/>
  <c r="F20" i="31"/>
  <c r="F5" i="73"/>
  <c r="B9" i="76"/>
  <c r="B13" i="76"/>
  <c r="E9" i="76"/>
  <c r="E11" i="76"/>
  <c r="B10" i="76"/>
  <c r="B12" i="76"/>
  <c r="C51" i="10" l="1"/>
  <c r="A13" i="51" s="1"/>
  <c r="B11" i="72" s="1"/>
  <c r="A118" i="86"/>
  <c r="A2" i="86"/>
  <c r="A118" i="87"/>
  <c r="A2" i="87"/>
  <c r="A2" i="9"/>
  <c r="A4" i="52"/>
  <c r="B41" i="72" s="1"/>
  <c r="C18" i="9"/>
  <c r="D18" i="9" s="1"/>
  <c r="C35" i="85"/>
  <c r="C38" i="85"/>
  <c r="C18" i="83"/>
  <c r="C15" i="83"/>
  <c r="F3" i="35"/>
  <c r="G1" i="15"/>
  <c r="K7" i="1"/>
  <c r="M7" i="1" s="1"/>
  <c r="O7" i="1" s="1"/>
  <c r="P7" i="1" s="1"/>
  <c r="G1" i="68"/>
  <c r="D51" i="43"/>
  <c r="D55" i="43"/>
  <c r="D50" i="43"/>
  <c r="E50" i="43" s="1"/>
  <c r="B48" i="43" s="1"/>
  <c r="D58" i="43"/>
  <c r="F34" i="67"/>
  <c r="F62" i="67" s="1"/>
  <c r="F34" i="15"/>
  <c r="F62" i="15" s="1"/>
  <c r="D93" i="9"/>
  <c r="B41" i="1"/>
  <c r="F53" i="9" s="1"/>
  <c r="C21" i="68"/>
  <c r="C40" i="68"/>
  <c r="BG5" i="3"/>
  <c r="BC5" i="3"/>
  <c r="BM5" i="3"/>
  <c r="F29" i="6" s="1"/>
  <c r="BF5" i="3"/>
  <c r="BL15" i="3"/>
  <c r="AZ15" i="3"/>
  <c r="G1" i="67"/>
  <c r="K1" i="12"/>
  <c r="BA13" i="3"/>
  <c r="H5" i="3"/>
  <c r="BB5" i="3"/>
  <c r="BL13" i="3"/>
  <c r="G13" i="3"/>
  <c r="G27" i="6" s="1"/>
  <c r="G29" i="6"/>
  <c r="H111" i="9"/>
  <c r="D126" i="9" s="1"/>
  <c r="B19" i="53"/>
  <c r="B37" i="72" s="1"/>
  <c r="B16" i="53"/>
  <c r="B33" i="72" s="1"/>
  <c r="J1" i="73"/>
  <c r="AB19" i="33"/>
  <c r="AB15" i="21"/>
  <c r="AA23" i="21"/>
  <c r="AZ349" i="3"/>
  <c r="AA25" i="33"/>
  <c r="AZ357" i="3"/>
  <c r="AZ390" i="3"/>
  <c r="AZ371" i="3"/>
  <c r="AZ351" i="3"/>
  <c r="AZ329" i="3"/>
  <c r="AZ304" i="3"/>
  <c r="AZ360" i="3"/>
  <c r="AZ508" i="3"/>
  <c r="AA14" i="40"/>
  <c r="S14" i="40"/>
  <c r="AA14" i="37"/>
  <c r="S14" i="37"/>
  <c r="S14" i="34"/>
  <c r="AA14" i="34"/>
  <c r="W31" i="33"/>
  <c r="AC31" i="33"/>
  <c r="S41" i="33"/>
  <c r="U17" i="34"/>
  <c r="AB17" i="34"/>
  <c r="AA19" i="33"/>
  <c r="AA17" i="33"/>
  <c r="AC32" i="39"/>
  <c r="S37" i="21"/>
  <c r="D6" i="52"/>
  <c r="AA23" i="37"/>
  <c r="S17" i="37"/>
  <c r="AB33" i="34"/>
  <c r="S23" i="39"/>
  <c r="W27" i="40"/>
  <c r="W15" i="21"/>
  <c r="S43" i="34"/>
  <c r="U32" i="37"/>
  <c r="AZ14" i="3"/>
  <c r="AZ203" i="3"/>
  <c r="AZ306" i="3"/>
  <c r="AA11" i="39"/>
  <c r="S25" i="21"/>
  <c r="AA25" i="21"/>
  <c r="AZ503" i="3"/>
  <c r="AZ513" i="3"/>
  <c r="AZ579" i="3"/>
  <c r="U45" i="33"/>
  <c r="AB45" i="33"/>
  <c r="S44" i="34"/>
  <c r="AA44" i="34"/>
  <c r="S20" i="35"/>
  <c r="AZ387" i="3"/>
  <c r="AZ338" i="3"/>
  <c r="AZ535" i="3"/>
  <c r="AZ520" i="3"/>
  <c r="U33" i="40"/>
  <c r="AB33" i="40"/>
  <c r="AC36" i="34"/>
  <c r="W36" i="34"/>
  <c r="S29" i="35"/>
  <c r="AA29" i="35"/>
  <c r="BL587" i="3"/>
  <c r="AZ587" i="3" s="1"/>
  <c r="BA585" i="3"/>
  <c r="AZ564" i="3"/>
  <c r="AB36" i="33"/>
  <c r="U34" i="39"/>
  <c r="AB34" i="39"/>
  <c r="BL585" i="3"/>
  <c r="BA551" i="3"/>
  <c r="AZ551" i="3" s="1"/>
  <c r="BA550" i="3"/>
  <c r="BL548" i="3"/>
  <c r="AZ548" i="3" s="1"/>
  <c r="AZ539" i="3"/>
  <c r="BL565" i="3"/>
  <c r="AZ565" i="3" s="1"/>
  <c r="AZ529" i="3"/>
  <c r="AZ537" i="3"/>
  <c r="AZ518" i="3"/>
  <c r="AZ546" i="3"/>
  <c r="H38" i="37"/>
  <c r="F45" i="21"/>
  <c r="AA38" i="34"/>
  <c r="W40" i="33"/>
  <c r="W8" i="34"/>
  <c r="F37" i="39"/>
  <c r="U33" i="33"/>
  <c r="W40" i="39"/>
  <c r="B101" i="43"/>
  <c r="B79" i="43"/>
  <c r="F9" i="34"/>
  <c r="AA9" i="34" s="1"/>
  <c r="H9" i="34"/>
  <c r="AC31" i="35"/>
  <c r="J12" i="34"/>
  <c r="F12" i="34"/>
  <c r="S12" i="34" s="1"/>
  <c r="J39" i="40"/>
  <c r="H39" i="40"/>
  <c r="AZ487" i="3"/>
  <c r="AZ313" i="3"/>
  <c r="AZ160" i="3"/>
  <c r="AZ394" i="3"/>
  <c r="AC28" i="34"/>
  <c r="AZ519" i="3"/>
  <c r="AZ531" i="3"/>
  <c r="BL559" i="3"/>
  <c r="AZ559" i="3" s="1"/>
  <c r="AZ573" i="3"/>
  <c r="AZ583" i="3"/>
  <c r="AZ568" i="3"/>
  <c r="AZ576" i="3"/>
  <c r="W30" i="36"/>
  <c r="W32" i="40"/>
  <c r="C15" i="39"/>
  <c r="G587" i="3"/>
  <c r="H9" i="33"/>
  <c r="J9" i="34"/>
  <c r="H23" i="36"/>
  <c r="J23" i="36"/>
  <c r="AZ458" i="3"/>
  <c r="AZ462" i="3"/>
  <c r="H23" i="35"/>
  <c r="BL550" i="3"/>
  <c r="BA398" i="3"/>
  <c r="BL404" i="3"/>
  <c r="BL405" i="3"/>
  <c r="BL407" i="3"/>
  <c r="AZ407" i="3" s="1"/>
  <c r="AZ418" i="3"/>
  <c r="AZ451" i="3"/>
  <c r="AZ461" i="3"/>
  <c r="AZ469" i="3"/>
  <c r="AZ483" i="3"/>
  <c r="BA333" i="3"/>
  <c r="BL346" i="3"/>
  <c r="AZ346" i="3" s="1"/>
  <c r="BL16" i="3"/>
  <c r="AZ16" i="3" s="1"/>
  <c r="BA401" i="3"/>
  <c r="AZ401" i="3" s="1"/>
  <c r="BA403" i="3"/>
  <c r="AZ403" i="3" s="1"/>
  <c r="BA404" i="3"/>
  <c r="AZ404" i="3" s="1"/>
  <c r="BA405" i="3"/>
  <c r="G409" i="3"/>
  <c r="BL410" i="3"/>
  <c r="AZ410" i="3" s="1"/>
  <c r="G412" i="3"/>
  <c r="G418" i="3"/>
  <c r="G419" i="3"/>
  <c r="BA422" i="3"/>
  <c r="AZ422" i="3" s="1"/>
  <c r="G429" i="3"/>
  <c r="G430" i="3"/>
  <c r="BL431" i="3"/>
  <c r="G433" i="3"/>
  <c r="BL434" i="3"/>
  <c r="G436" i="3"/>
  <c r="G437" i="3"/>
  <c r="BL438" i="3"/>
  <c r="AZ438" i="3" s="1"/>
  <c r="BL439" i="3"/>
  <c r="BA441" i="3"/>
  <c r="AZ441" i="3" s="1"/>
  <c r="BL445" i="3"/>
  <c r="BL446" i="3"/>
  <c r="AZ446" i="3" s="1"/>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L275" i="3"/>
  <c r="AZ275" i="3" s="1"/>
  <c r="BL285" i="3"/>
  <c r="BL290" i="3"/>
  <c r="G155" i="3"/>
  <c r="BL400" i="3"/>
  <c r="AZ400" i="3" s="1"/>
  <c r="BL411" i="3"/>
  <c r="BL413" i="3"/>
  <c r="AZ413" i="3" s="1"/>
  <c r="BL417" i="3"/>
  <c r="BL418" i="3"/>
  <c r="BL420" i="3"/>
  <c r="BL424" i="3"/>
  <c r="AZ424" i="3" s="1"/>
  <c r="BL428" i="3"/>
  <c r="BL429" i="3"/>
  <c r="BL432" i="3"/>
  <c r="BL435" i="3"/>
  <c r="AZ435" i="3" s="1"/>
  <c r="BL436" i="3"/>
  <c r="BA439" i="3"/>
  <c r="BA440" i="3"/>
  <c r="AZ440" i="3" s="1"/>
  <c r="BA442" i="3"/>
  <c r="AZ442" i="3" s="1"/>
  <c r="BA445" i="3"/>
  <c r="BA447" i="3"/>
  <c r="AZ447" i="3" s="1"/>
  <c r="BA449" i="3"/>
  <c r="BL453" i="3"/>
  <c r="BL454" i="3"/>
  <c r="AZ454" i="3" s="1"/>
  <c r="BL459" i="3"/>
  <c r="AZ459" i="3" s="1"/>
  <c r="BA465" i="3"/>
  <c r="AZ465" i="3" s="1"/>
  <c r="BA467" i="3"/>
  <c r="AZ467" i="3" s="1"/>
  <c r="BA468" i="3"/>
  <c r="BL471" i="3"/>
  <c r="BL475" i="3"/>
  <c r="BA477" i="3"/>
  <c r="AZ477" i="3" s="1"/>
  <c r="BA478" i="3"/>
  <c r="BA481" i="3"/>
  <c r="BA488" i="3"/>
  <c r="AZ488" i="3" s="1"/>
  <c r="BA491" i="3"/>
  <c r="AZ491"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BA277" i="3"/>
  <c r="BL277" i="3"/>
  <c r="BA282" i="3"/>
  <c r="BL282" i="3"/>
  <c r="BA284" i="3"/>
  <c r="AZ284" i="3" s="1"/>
  <c r="BA291" i="3"/>
  <c r="AZ291" i="3" s="1"/>
  <c r="BL292" i="3"/>
  <c r="G558" i="3"/>
  <c r="BL398" i="3"/>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AZ434" i="3" s="1"/>
  <c r="BA436" i="3"/>
  <c r="BA438" i="3"/>
  <c r="G442" i="3"/>
  <c r="G443" i="3"/>
  <c r="BA446" i="3"/>
  <c r="BA450" i="3"/>
  <c r="BA453" i="3"/>
  <c r="BA455" i="3"/>
  <c r="AZ455" i="3" s="1"/>
  <c r="BL457" i="3"/>
  <c r="AZ457" i="3" s="1"/>
  <c r="BL460" i="3"/>
  <c r="AZ460" i="3" s="1"/>
  <c r="BL461" i="3"/>
  <c r="BL463" i="3"/>
  <c r="AZ463" i="3" s="1"/>
  <c r="G465" i="3"/>
  <c r="BA471" i="3"/>
  <c r="AZ471" i="3" s="1"/>
  <c r="G486" i="3"/>
  <c r="G488" i="3"/>
  <c r="BL317" i="3"/>
  <c r="G318" i="3"/>
  <c r="BA349" i="3"/>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G287" i="3"/>
  <c r="BL295" i="3"/>
  <c r="BA298" i="3"/>
  <c r="AZ298" i="3" s="1"/>
  <c r="BL301" i="3"/>
  <c r="AZ301" i="3" s="1"/>
  <c r="BL302" i="3"/>
  <c r="BA114" i="3"/>
  <c r="BA125" i="3"/>
  <c r="AZ125" i="3" s="1"/>
  <c r="G134" i="3"/>
  <c r="BA149" i="3"/>
  <c r="T32" i="71"/>
  <c r="D32" i="71"/>
  <c r="C47" i="71"/>
  <c r="D47" i="71" s="1"/>
  <c r="D46" i="71"/>
  <c r="C67" i="71"/>
  <c r="T68" i="71"/>
  <c r="O68" i="71"/>
  <c r="T76" i="71"/>
  <c r="D76" i="71"/>
  <c r="C75" i="71"/>
  <c r="Y27" i="71"/>
  <c r="Z27" i="71" s="1"/>
  <c r="Y26" i="71"/>
  <c r="Z26" i="71" s="1"/>
  <c r="AA3" i="71"/>
  <c r="BL293" i="3"/>
  <c r="BL294" i="3"/>
  <c r="AZ294" i="3" s="1"/>
  <c r="BA297" i="3"/>
  <c r="BL297" i="3"/>
  <c r="BL300" i="3"/>
  <c r="BA302" i="3"/>
  <c r="AZ302" i="3" s="1"/>
  <c r="BA117" i="3"/>
  <c r="BA130" i="3"/>
  <c r="AZ130" i="3" s="1"/>
  <c r="BL130" i="3"/>
  <c r="BA137" i="3"/>
  <c r="BL138" i="3"/>
  <c r="BA140" i="3"/>
  <c r="AZ140" i="3" s="1"/>
  <c r="BA142" i="3"/>
  <c r="BL149" i="3"/>
  <c r="BL150" i="3"/>
  <c r="BA152" i="3"/>
  <c r="AZ152" i="3" s="1"/>
  <c r="BA154" i="3"/>
  <c r="AZ154" i="3" s="1"/>
  <c r="BA160" i="3"/>
  <c r="BL162" i="3"/>
  <c r="AZ162" i="3" s="1"/>
  <c r="BL165" i="3"/>
  <c r="BL170" i="3"/>
  <c r="BA173" i="3"/>
  <c r="AZ173" i="3" s="1"/>
  <c r="BA174" i="3"/>
  <c r="BL179" i="3"/>
  <c r="AZ179" i="3" s="1"/>
  <c r="BA181" i="3"/>
  <c r="AZ181" i="3" s="1"/>
  <c r="BA182" i="3"/>
  <c r="BL185" i="3"/>
  <c r="BL193" i="3"/>
  <c r="AZ193" i="3" s="1"/>
  <c r="BL194" i="3"/>
  <c r="AZ194" i="3" s="1"/>
  <c r="BA198" i="3"/>
  <c r="AZ198" i="3" s="1"/>
  <c r="G199" i="3"/>
  <c r="G205" i="3"/>
  <c r="BL206" i="3"/>
  <c r="BA19" i="3"/>
  <c r="AZ19" i="3" s="1"/>
  <c r="G27" i="3"/>
  <c r="BA27" i="3"/>
  <c r="AZ27" i="3" s="1"/>
  <c r="BL30" i="3"/>
  <c r="BL31" i="3"/>
  <c r="AZ31" i="3" s="1"/>
  <c r="G37" i="3"/>
  <c r="BL40" i="3"/>
  <c r="AZ40" i="3" s="1"/>
  <c r="BL41" i="3"/>
  <c r="AZ41" i="3" s="1"/>
  <c r="BL45" i="3"/>
  <c r="BA48" i="3"/>
  <c r="BA49" i="3"/>
  <c r="AZ49" i="3" s="1"/>
  <c r="BA51" i="3"/>
  <c r="G55" i="3"/>
  <c r="BL56" i="3"/>
  <c r="BA58" i="3"/>
  <c r="AZ58" i="3" s="1"/>
  <c r="BL59" i="3"/>
  <c r="AZ59" i="3" s="1"/>
  <c r="BL60" i="3"/>
  <c r="BA61" i="3"/>
  <c r="AZ61" i="3" s="1"/>
  <c r="BA75" i="3"/>
  <c r="AZ75" i="3" s="1"/>
  <c r="BA91" i="3"/>
  <c r="AZ91" i="3" s="1"/>
  <c r="AZ100" i="3"/>
  <c r="BA110" i="3"/>
  <c r="AZ110" i="3" s="1"/>
  <c r="B13" i="1"/>
  <c r="E13" i="1" s="1"/>
  <c r="K13" i="1"/>
  <c r="M13" i="1" s="1"/>
  <c r="O13" i="1" s="1"/>
  <c r="P13" i="1" s="1"/>
  <c r="F40" i="69"/>
  <c r="C40" i="69"/>
  <c r="AB21" i="37"/>
  <c r="U21" i="37"/>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86" i="3"/>
  <c r="AZ286" i="3" s="1"/>
  <c r="G289" i="3"/>
  <c r="G290" i="3"/>
  <c r="G291" i="3"/>
  <c r="BA296" i="3"/>
  <c r="BA116" i="3"/>
  <c r="AZ116" i="3" s="1"/>
  <c r="BA121" i="3"/>
  <c r="AZ121" i="3" s="1"/>
  <c r="BL121" i="3"/>
  <c r="BA124" i="3"/>
  <c r="AZ124" i="3" s="1"/>
  <c r="BA126" i="3"/>
  <c r="AZ126" i="3" s="1"/>
  <c r="BA129" i="3"/>
  <c r="BL133" i="3"/>
  <c r="AZ133" i="3" s="1"/>
  <c r="BL139" i="3"/>
  <c r="AZ139" i="3" s="1"/>
  <c r="BL141" i="3"/>
  <c r="BL143" i="3"/>
  <c r="AZ143" i="3" s="1"/>
  <c r="G154" i="3"/>
  <c r="BL157" i="3"/>
  <c r="AZ157" i="3" s="1"/>
  <c r="BL159" i="3"/>
  <c r="AZ159" i="3" s="1"/>
  <c r="BL177" i="3"/>
  <c r="AZ177" i="3" s="1"/>
  <c r="BL183" i="3"/>
  <c r="AZ183" i="3" s="1"/>
  <c r="BA186" i="3"/>
  <c r="AZ186" i="3" s="1"/>
  <c r="BA190" i="3"/>
  <c r="AZ190" i="3" s="1"/>
  <c r="BA197" i="3"/>
  <c r="AZ197" i="3" s="1"/>
  <c r="BL201" i="3"/>
  <c r="AZ201" i="3" s="1"/>
  <c r="BL203" i="3"/>
  <c r="BA204" i="3"/>
  <c r="AZ204" i="3" s="1"/>
  <c r="BA18" i="3"/>
  <c r="BL21" i="3"/>
  <c r="G23" i="3"/>
  <c r="BL29" i="3"/>
  <c r="G33" i="3"/>
  <c r="G34" i="3"/>
  <c r="BA37" i="3"/>
  <c r="BL39" i="3"/>
  <c r="G43" i="3"/>
  <c r="G44" i="3"/>
  <c r="BA45" i="3"/>
  <c r="AZ45" i="3" s="1"/>
  <c r="BA46" i="3"/>
  <c r="AZ46" i="3" s="1"/>
  <c r="BL49" i="3"/>
  <c r="BL50" i="3"/>
  <c r="AZ50" i="3" s="1"/>
  <c r="BL51" i="3"/>
  <c r="BL64" i="3"/>
  <c r="AZ64" i="3" s="1"/>
  <c r="BL65" i="3"/>
  <c r="AZ65" i="3" s="1"/>
  <c r="BL66" i="3"/>
  <c r="BL67" i="3"/>
  <c r="AZ67" i="3" s="1"/>
  <c r="G72" i="3"/>
  <c r="BL73" i="3"/>
  <c r="BA74" i="3"/>
  <c r="AZ74" i="3" s="1"/>
  <c r="BL79" i="3"/>
  <c r="BL81" i="3"/>
  <c r="BA82" i="3"/>
  <c r="AZ82" i="3" s="1"/>
  <c r="BL83" i="3"/>
  <c r="BA87" i="3"/>
  <c r="BA89" i="3"/>
  <c r="BL93" i="3"/>
  <c r="BL94" i="3"/>
  <c r="AZ94" i="3" s="1"/>
  <c r="BL101" i="3"/>
  <c r="BL102" i="3"/>
  <c r="AZ102" i="3" s="1"/>
  <c r="G105" i="3"/>
  <c r="BL106" i="3"/>
  <c r="BA108" i="3"/>
  <c r="BL111" i="3"/>
  <c r="AZ111" i="3" s="1"/>
  <c r="AC25" i="40"/>
  <c r="U21" i="33"/>
  <c r="AB21" i="33"/>
  <c r="T44" i="71"/>
  <c r="P65" i="71"/>
  <c r="P66" i="71"/>
  <c r="AA28" i="71"/>
  <c r="Y25" i="71"/>
  <c r="Z25" i="71" s="1"/>
  <c r="C36" i="71"/>
  <c r="D35" i="71"/>
  <c r="AB32" i="71"/>
  <c r="Y35" i="71"/>
  <c r="Z35" i="71" s="1"/>
  <c r="S80" i="71"/>
  <c r="B79" i="71"/>
  <c r="B78" i="71" s="1"/>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BL47" i="3"/>
  <c r="AZ47" i="3" s="1"/>
  <c r="G49" i="3"/>
  <c r="G50" i="3"/>
  <c r="G52" i="3"/>
  <c r="BA52" i="3"/>
  <c r="AZ52" i="3" s="1"/>
  <c r="BA53" i="3"/>
  <c r="BA54" i="3"/>
  <c r="BL57" i="3"/>
  <c r="G62" i="3"/>
  <c r="BL62" i="3"/>
  <c r="AZ62" i="3" s="1"/>
  <c r="BL63" i="3"/>
  <c r="G67" i="3"/>
  <c r="BL68" i="3"/>
  <c r="BA69" i="3"/>
  <c r="AZ69" i="3" s="1"/>
  <c r="BA73" i="3"/>
  <c r="G78" i="3"/>
  <c r="G79" i="3"/>
  <c r="G81" i="3"/>
  <c r="G85" i="3"/>
  <c r="BL85" i="3"/>
  <c r="BA86" i="3"/>
  <c r="AZ86" i="3" s="1"/>
  <c r="G93" i="3"/>
  <c r="G96" i="3"/>
  <c r="BL97" i="3"/>
  <c r="AZ97" i="3" s="1"/>
  <c r="G103" i="3"/>
  <c r="BA103" i="3"/>
  <c r="AZ103" i="3" s="1"/>
  <c r="BA104" i="3"/>
  <c r="BA106" i="3"/>
  <c r="BL108" i="3"/>
  <c r="W21" i="21"/>
  <c r="AB27" i="71"/>
  <c r="C51" i="71"/>
  <c r="E39" i="71"/>
  <c r="E40" i="71" s="1"/>
  <c r="U40" i="71" s="1"/>
  <c r="Y37" i="71"/>
  <c r="Z37" i="71" s="1"/>
  <c r="F66" i="71"/>
  <c r="Q67" i="71"/>
  <c r="X25" i="71"/>
  <c r="V24" i="71"/>
  <c r="E23" i="71"/>
  <c r="E22" i="71" s="1"/>
  <c r="E21" i="71" s="1"/>
  <c r="E20" i="71" s="1"/>
  <c r="AA27" i="71"/>
  <c r="S28" i="71"/>
  <c r="C83" i="71"/>
  <c r="C79" i="71"/>
  <c r="C71" i="71"/>
  <c r="C39" i="71"/>
  <c r="Y28" i="71"/>
  <c r="Z28" i="71" s="1"/>
  <c r="Y30" i="71"/>
  <c r="Z30" i="71" s="1"/>
  <c r="X28" i="71"/>
  <c r="X32" i="71"/>
  <c r="AB38" i="71"/>
  <c r="F75" i="71"/>
  <c r="F74" i="71"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F40" i="15"/>
  <c r="F42" i="15"/>
  <c r="L48" i="15"/>
  <c r="M26" i="15"/>
  <c r="F36" i="15"/>
  <c r="M28" i="15"/>
  <c r="F6" i="15"/>
  <c r="F8" i="15"/>
  <c r="J15" i="15"/>
  <c r="F38" i="15"/>
  <c r="M24" i="15"/>
  <c r="M23" i="15"/>
  <c r="M9" i="15"/>
  <c r="M22" i="15"/>
  <c r="F13" i="15"/>
  <c r="M8" i="15"/>
  <c r="M6" i="15"/>
  <c r="L47" i="15"/>
  <c r="F16" i="15"/>
  <c r="C76" i="15"/>
  <c r="D9" i="68"/>
  <c r="C36" i="68"/>
  <c r="M26" i="67"/>
  <c r="F7" i="67"/>
  <c r="M23" i="67"/>
  <c r="M29" i="67"/>
  <c r="C76" i="67"/>
  <c r="F9" i="67"/>
  <c r="F42" i="67"/>
  <c r="F43" i="67"/>
  <c r="J15" i="67"/>
  <c r="M8" i="67"/>
  <c r="F36" i="67"/>
  <c r="F40" i="67"/>
  <c r="M22" i="67"/>
  <c r="F16" i="67"/>
  <c r="D4" i="73"/>
  <c r="L48" i="67"/>
  <c r="F9" i="15"/>
  <c r="L47" i="67"/>
  <c r="D6" i="73"/>
  <c r="D7" i="73"/>
  <c r="F26" i="15"/>
  <c r="F6" i="67"/>
  <c r="F38" i="67"/>
  <c r="M24" i="67"/>
  <c r="F37" i="15"/>
  <c r="D5" i="73"/>
  <c r="M9" i="67"/>
  <c r="F26" i="67"/>
  <c r="M28" i="67"/>
  <c r="F8" i="67"/>
  <c r="D3" i="73"/>
  <c r="M6" i="67"/>
  <c r="F13" i="67"/>
  <c r="F37" i="67"/>
  <c r="C33" i="85" l="1"/>
  <c r="C39" i="85" s="1"/>
  <c r="C46" i="85" s="1"/>
  <c r="C45" i="85" s="1"/>
  <c r="C19" i="83"/>
  <c r="C20" i="83" s="1"/>
  <c r="C26" i="83" s="1"/>
  <c r="M11" i="83"/>
  <c r="J10" i="83" s="1"/>
  <c r="J5" i="83" s="1"/>
  <c r="F11" i="83"/>
  <c r="M11" i="82"/>
  <c r="J10" i="82" s="1"/>
  <c r="J5" i="82" s="1"/>
  <c r="F11" i="82"/>
  <c r="Q71" i="15"/>
  <c r="M59" i="15"/>
  <c r="L59" i="15"/>
  <c r="Q61" i="15" s="1"/>
  <c r="N59" i="15"/>
  <c r="L58" i="15"/>
  <c r="Q60" i="15" s="1"/>
  <c r="F66" i="15"/>
  <c r="F51" i="15"/>
  <c r="F64" i="15"/>
  <c r="J57" i="15"/>
  <c r="J55" i="15" s="1"/>
  <c r="J58" i="15" s="1"/>
  <c r="Q50" i="15" s="1"/>
  <c r="I54" i="15"/>
  <c r="J53" i="15"/>
  <c r="L56" i="15" s="1"/>
  <c r="F68" i="15"/>
  <c r="E10" i="6"/>
  <c r="E15" i="6"/>
  <c r="E64" i="39" s="1"/>
  <c r="E13" i="6"/>
  <c r="E12" i="6"/>
  <c r="E57" i="40" s="1"/>
  <c r="E14" i="6"/>
  <c r="E63" i="39" s="1"/>
  <c r="E19" i="6"/>
  <c r="K6" i="1" s="1"/>
  <c r="H16" i="1" s="1"/>
  <c r="F48" i="9"/>
  <c r="O52" i="9" s="1"/>
  <c r="F30" i="11"/>
  <c r="M18" i="67"/>
  <c r="M18" i="15"/>
  <c r="F28" i="67"/>
  <c r="C28" i="67" s="1"/>
  <c r="F32" i="67"/>
  <c r="F60" i="67" s="1"/>
  <c r="F28" i="15"/>
  <c r="C28" i="15" s="1"/>
  <c r="D68" i="9"/>
  <c r="F31" i="12"/>
  <c r="C31" i="12" s="1"/>
  <c r="F30" i="69"/>
  <c r="F54" i="9"/>
  <c r="F30" i="68"/>
  <c r="F52" i="9"/>
  <c r="F32" i="15"/>
  <c r="F60" i="15" s="1"/>
  <c r="F64" i="67"/>
  <c r="F71" i="67"/>
  <c r="Q71" i="67"/>
  <c r="F50" i="67"/>
  <c r="M7" i="67"/>
  <c r="J6" i="67" s="1"/>
  <c r="J18" i="67" s="1"/>
  <c r="N94" i="46"/>
  <c r="G26" i="43"/>
  <c r="J26" i="43"/>
  <c r="N370" i="46"/>
  <c r="F26" i="43"/>
  <c r="D26" i="43" s="1"/>
  <c r="C25" i="43" s="1"/>
  <c r="E26" i="43"/>
  <c r="J7" i="36"/>
  <c r="AC7" i="36" s="1"/>
  <c r="V36" i="36" s="1"/>
  <c r="I36" i="36" s="1"/>
  <c r="F65" i="67"/>
  <c r="F66" i="67"/>
  <c r="L58" i="67"/>
  <c r="Q73" i="67" s="1"/>
  <c r="M59" i="67"/>
  <c r="N59" i="67"/>
  <c r="L59" i="67"/>
  <c r="Q74" i="67" s="1"/>
  <c r="L56" i="67"/>
  <c r="I54" i="67"/>
  <c r="J53" i="67"/>
  <c r="Q52" i="67" s="1"/>
  <c r="J57" i="67"/>
  <c r="J55" i="67" s="1"/>
  <c r="J58" i="67" s="1"/>
  <c r="Q50" i="67" s="1"/>
  <c r="C27" i="67"/>
  <c r="C6" i="67"/>
  <c r="C32" i="67" s="1"/>
  <c r="F31" i="67"/>
  <c r="C27" i="15"/>
  <c r="F51" i="67"/>
  <c r="F65" i="15"/>
  <c r="F68" i="67"/>
  <c r="C40" i="71"/>
  <c r="D39" i="71"/>
  <c r="D67" i="71"/>
  <c r="C66" i="71"/>
  <c r="O67" i="71"/>
  <c r="E28" i="6"/>
  <c r="K14" i="1" s="1"/>
  <c r="K16" i="1" s="1"/>
  <c r="AZ141" i="3"/>
  <c r="C70" i="71"/>
  <c r="D70" i="71" s="1"/>
  <c r="D71" i="71"/>
  <c r="C52" i="71"/>
  <c r="D51" i="71"/>
  <c r="AZ39" i="3"/>
  <c r="AZ108" i="3"/>
  <c r="C26" i="71"/>
  <c r="D26" i="71" s="1"/>
  <c r="D27" i="71"/>
  <c r="AZ297" i="3"/>
  <c r="AZ274" i="3"/>
  <c r="AZ223" i="3"/>
  <c r="AZ453" i="3"/>
  <c r="AZ277" i="3"/>
  <c r="AZ244" i="3"/>
  <c r="AZ239" i="3"/>
  <c r="AZ397" i="3"/>
  <c r="AC23" i="36"/>
  <c r="W23" i="36"/>
  <c r="W39" i="40"/>
  <c r="AC39" i="40"/>
  <c r="AB9" i="34"/>
  <c r="U9" i="34"/>
  <c r="AZ550" i="3"/>
  <c r="C56" i="71"/>
  <c r="D55" i="71"/>
  <c r="U23" i="35"/>
  <c r="AB23" i="35"/>
  <c r="U39" i="40"/>
  <c r="AB39" i="40"/>
  <c r="AB38" i="37"/>
  <c r="U38" i="37"/>
  <c r="AZ81" i="3"/>
  <c r="D79" i="71"/>
  <c r="C78" i="71"/>
  <c r="D78" i="71" s="1"/>
  <c r="B19" i="71"/>
  <c r="B18" i="71" s="1"/>
  <c r="B17" i="71" s="1"/>
  <c r="B16" i="71" s="1"/>
  <c r="S20" i="71"/>
  <c r="AZ182" i="3"/>
  <c r="AZ137" i="3"/>
  <c r="AZ368" i="3"/>
  <c r="AZ405" i="3"/>
  <c r="AZ398" i="3"/>
  <c r="AB23" i="36"/>
  <c r="U23" i="36"/>
  <c r="AB9" i="33"/>
  <c r="U9" i="33"/>
  <c r="D20" i="53"/>
  <c r="B40" i="72" s="1"/>
  <c r="G5" i="3"/>
  <c r="B3" i="3" s="1"/>
  <c r="AL6" i="3" s="1"/>
  <c r="AZ253" i="3"/>
  <c r="AZ482" i="3"/>
  <c r="D83" i="71"/>
  <c r="C82" i="71"/>
  <c r="D82" i="71" s="1"/>
  <c r="AZ53" i="3"/>
  <c r="D23" i="71"/>
  <c r="C22" i="71"/>
  <c r="AZ51" i="3"/>
  <c r="D75" i="71"/>
  <c r="C74" i="71"/>
  <c r="D74" i="71" s="1"/>
  <c r="AZ149" i="3"/>
  <c r="AZ238" i="3"/>
  <c r="AZ282" i="3"/>
  <c r="AC9" i="34"/>
  <c r="W9" i="34"/>
  <c r="W12" i="34"/>
  <c r="AC12" i="34"/>
  <c r="AA37" i="39"/>
  <c r="S37" i="39"/>
  <c r="AA45" i="21"/>
  <c r="S45" i="21"/>
  <c r="AZ585" i="3"/>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62" i="39"/>
  <c r="D5" i="43"/>
  <c r="C7" i="43"/>
  <c r="C5" i="43" s="1"/>
  <c r="D10" i="52"/>
  <c r="D125" i="9"/>
  <c r="D11" i="52" s="1"/>
  <c r="B7" i="74"/>
  <c r="C7" i="74" s="1"/>
  <c r="F67" i="39"/>
  <c r="F59" i="67"/>
  <c r="H7" i="37"/>
  <c r="AB7" i="37" s="1"/>
  <c r="T42" i="37" s="1"/>
  <c r="G42" i="37" s="1"/>
  <c r="H7" i="33"/>
  <c r="J7" i="33"/>
  <c r="D65" i="40"/>
  <c r="E63" i="40"/>
  <c r="F48" i="35"/>
  <c r="S7" i="36"/>
  <c r="W7" i="37"/>
  <c r="F7" i="33"/>
  <c r="E58" i="21"/>
  <c r="W7" i="36"/>
  <c r="F7" i="37"/>
  <c r="M17" i="67"/>
  <c r="M17" i="15"/>
  <c r="F59" i="15"/>
  <c r="P28" i="43"/>
  <c r="B66" i="40" s="1"/>
  <c r="P25" i="43"/>
  <c r="P29" i="43"/>
  <c r="P27" i="43"/>
  <c r="B70" i="39" s="1"/>
  <c r="M11" i="67"/>
  <c r="J10" i="67" s="1"/>
  <c r="F11" i="15"/>
  <c r="M11" i="15"/>
  <c r="J10" i="15" s="1"/>
  <c r="F11" i="67"/>
  <c r="F1" i="15"/>
  <c r="AE11" i="1"/>
  <c r="AE9" i="1"/>
  <c r="AE12" i="1"/>
  <c r="AE10" i="1"/>
  <c r="AE8" i="1"/>
  <c r="AE7" i="1"/>
  <c r="M29" i="15"/>
  <c r="F7" i="15"/>
  <c r="F43" i="15"/>
  <c r="F27" i="68"/>
  <c r="AE6" i="1"/>
  <c r="G1" i="73"/>
  <c r="F41" i="67"/>
  <c r="C16" i="67"/>
  <c r="F41" i="83"/>
  <c r="F41" i="82"/>
  <c r="F69" i="83" l="1"/>
  <c r="C53" i="83"/>
  <c r="C48" i="83" s="1"/>
  <c r="C10" i="83"/>
  <c r="C5" i="83" s="1"/>
  <c r="J24" i="83"/>
  <c r="J26" i="83"/>
  <c r="J29" i="83" s="1"/>
  <c r="Q73" i="15"/>
  <c r="F69" i="82"/>
  <c r="C53" i="82"/>
  <c r="C48" i="82" s="1"/>
  <c r="C10" i="82"/>
  <c r="C5" i="82" s="1"/>
  <c r="J24" i="82"/>
  <c r="J26" i="82"/>
  <c r="J29" i="82" s="1"/>
  <c r="Q74" i="15"/>
  <c r="Q52" i="15"/>
  <c r="E16" i="6"/>
  <c r="E58" i="40"/>
  <c r="Q16" i="1"/>
  <c r="E30" i="6"/>
  <c r="E59" i="40"/>
  <c r="F71" i="15"/>
  <c r="M7" i="15"/>
  <c r="J6" i="15" s="1"/>
  <c r="J5" i="15" s="1"/>
  <c r="J24" i="15" s="1"/>
  <c r="F50" i="15"/>
  <c r="C49" i="15" s="1"/>
  <c r="C6" i="15"/>
  <c r="AP6" i="1"/>
  <c r="C36" i="69" s="1"/>
  <c r="M6" i="1"/>
  <c r="U7" i="36"/>
  <c r="F48" i="68"/>
  <c r="C48" i="68"/>
  <c r="C30" i="68"/>
  <c r="F48" i="69"/>
  <c r="C30" i="69"/>
  <c r="C48" i="69"/>
  <c r="C48" i="11"/>
  <c r="C30" i="11"/>
  <c r="C49" i="67"/>
  <c r="S10" i="39"/>
  <c r="J10" i="40"/>
  <c r="AC10" i="40" s="1"/>
  <c r="E496" i="3"/>
  <c r="E248" i="3"/>
  <c r="E181" i="3"/>
  <c r="E378" i="3"/>
  <c r="E94" i="3"/>
  <c r="E219" i="3"/>
  <c r="E388" i="3"/>
  <c r="E548" i="3"/>
  <c r="E557" i="3"/>
  <c r="E395" i="3"/>
  <c r="E15" i="3"/>
  <c r="E563" i="3"/>
  <c r="E150" i="3"/>
  <c r="E464" i="3"/>
  <c r="E142" i="3"/>
  <c r="AY6" i="3"/>
  <c r="E119" i="3"/>
  <c r="E509" i="3"/>
  <c r="E146" i="3"/>
  <c r="E528" i="3"/>
  <c r="AS6" i="3"/>
  <c r="E314" i="3"/>
  <c r="E553" i="3"/>
  <c r="E298" i="3"/>
  <c r="E82" i="3"/>
  <c r="E552" i="3"/>
  <c r="E26" i="3"/>
  <c r="E139" i="3"/>
  <c r="E369" i="3"/>
  <c r="E240" i="3"/>
  <c r="M6" i="3"/>
  <c r="E89" i="3"/>
  <c r="E350" i="3"/>
  <c r="E384" i="3"/>
  <c r="E527" i="3"/>
  <c r="V6" i="3"/>
  <c r="AA6" i="3"/>
  <c r="E471" i="3"/>
  <c r="E312" i="3"/>
  <c r="E401" i="3"/>
  <c r="E131" i="3"/>
  <c r="E423" i="3"/>
  <c r="E377" i="3"/>
  <c r="E472" i="3"/>
  <c r="E561" i="3"/>
  <c r="E271" i="3"/>
  <c r="E578" i="3"/>
  <c r="P6" i="3"/>
  <c r="E501" i="3"/>
  <c r="E66" i="3"/>
  <c r="E123" i="3"/>
  <c r="E513" i="3"/>
  <c r="H10" i="40"/>
  <c r="AB10" i="40" s="1"/>
  <c r="F10" i="40"/>
  <c r="S10" i="40" s="1"/>
  <c r="M14" i="1"/>
  <c r="H10" i="39"/>
  <c r="U10" i="39" s="1"/>
  <c r="E118" i="3"/>
  <c r="E487" i="3"/>
  <c r="E132" i="3"/>
  <c r="AI6" i="3"/>
  <c r="E172" i="3"/>
  <c r="AB6" i="3"/>
  <c r="E579" i="3"/>
  <c r="E572" i="3"/>
  <c r="E531" i="3"/>
  <c r="E204" i="3"/>
  <c r="E171" i="3"/>
  <c r="E406" i="3"/>
  <c r="E545" i="3"/>
  <c r="E586" i="3"/>
  <c r="E183" i="3"/>
  <c r="E538" i="3"/>
  <c r="E555" i="3"/>
  <c r="E44" i="3"/>
  <c r="E476" i="3"/>
  <c r="E107" i="3"/>
  <c r="E279" i="3"/>
  <c r="E457" i="3"/>
  <c r="E511" i="3"/>
  <c r="E518" i="3"/>
  <c r="E260" i="3"/>
  <c r="E407" i="3"/>
  <c r="E239" i="3"/>
  <c r="E581" i="3"/>
  <c r="E203" i="3"/>
  <c r="E434" i="3"/>
  <c r="E304" i="3"/>
  <c r="E328" i="3"/>
  <c r="E547" i="3"/>
  <c r="E168" i="3"/>
  <c r="E136" i="3"/>
  <c r="AD6" i="3"/>
  <c r="E297" i="3"/>
  <c r="E500" i="3"/>
  <c r="E460" i="3"/>
  <c r="E340" i="3"/>
  <c r="E38" i="3"/>
  <c r="E108" i="3"/>
  <c r="E356" i="3"/>
  <c r="E502" i="3"/>
  <c r="E310" i="3"/>
  <c r="E174" i="3"/>
  <c r="E512" i="3"/>
  <c r="E220" i="3"/>
  <c r="E427"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554" i="3"/>
  <c r="E355" i="3"/>
  <c r="AF6" i="3"/>
  <c r="E497" i="3"/>
  <c r="E232" i="3"/>
  <c r="E376"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334" i="3"/>
  <c r="E252" i="3"/>
  <c r="E481" i="3"/>
  <c r="E303" i="3"/>
  <c r="E523" i="3"/>
  <c r="E317" i="3"/>
  <c r="E207" i="3"/>
  <c r="E474" i="3"/>
  <c r="E187" i="3"/>
  <c r="E374" i="3"/>
  <c r="E48" i="3"/>
  <c r="E24" i="3"/>
  <c r="E365" i="3"/>
  <c r="E392" i="3"/>
  <c r="L6" i="3"/>
  <c r="E105" i="3"/>
  <c r="E525" i="3"/>
  <c r="E467" i="3"/>
  <c r="E242" i="3"/>
  <c r="X6" i="3"/>
  <c r="E161" i="3"/>
  <c r="E215" i="3"/>
  <c r="E201" i="3"/>
  <c r="E526" i="3"/>
  <c r="E70" i="3"/>
  <c r="AO6" i="3"/>
  <c r="E362" i="3"/>
  <c r="E577" i="3"/>
  <c r="E277" i="3"/>
  <c r="E399" i="3"/>
  <c r="E180" i="3"/>
  <c r="E231" i="3"/>
  <c r="E143" i="3"/>
  <c r="E530" i="3"/>
  <c r="E162" i="3"/>
  <c r="E478" i="3"/>
  <c r="E31" i="3"/>
  <c r="E450" i="3"/>
  <c r="E193" i="3"/>
  <c r="E583" i="3"/>
  <c r="E290" i="3"/>
  <c r="E230" i="3"/>
  <c r="E151" i="3"/>
  <c r="E166" i="3"/>
  <c r="E32" i="3"/>
  <c r="E330" i="3"/>
  <c r="E221" i="3"/>
  <c r="E97" i="3"/>
  <c r="E126" i="3"/>
  <c r="E93" i="3"/>
  <c r="E313" i="3"/>
  <c r="E154" i="3"/>
  <c r="E341" i="3"/>
  <c r="E138" i="3"/>
  <c r="E521" i="3"/>
  <c r="E176" i="3"/>
  <c r="E299" i="3"/>
  <c r="E346" i="3"/>
  <c r="E329" i="3"/>
  <c r="E22" i="3"/>
  <c r="E258" i="3"/>
  <c r="E3" i="6"/>
  <c r="E6" i="6" s="1"/>
  <c r="E212" i="3"/>
  <c r="E442" i="3"/>
  <c r="E491" i="3"/>
  <c r="E349" i="3"/>
  <c r="E64" i="3"/>
  <c r="E84" i="3"/>
  <c r="E63" i="3"/>
  <c r="E494" i="3"/>
  <c r="E42" i="3"/>
  <c r="E383" i="3"/>
  <c r="E102" i="3"/>
  <c r="E205" i="3"/>
  <c r="T6" i="3"/>
  <c r="E408" i="3"/>
  <c r="E13" i="3"/>
  <c r="E41" i="3"/>
  <c r="E428" i="3"/>
  <c r="E324" i="3"/>
  <c r="E80" i="3"/>
  <c r="E16" i="3"/>
  <c r="E393" i="3"/>
  <c r="E507" i="3"/>
  <c r="AH6" i="3"/>
  <c r="E463" i="3"/>
  <c r="E539" i="3"/>
  <c r="E430" i="3"/>
  <c r="E37" i="3"/>
  <c r="E389" i="3"/>
  <c r="E160" i="3"/>
  <c r="E184" i="3"/>
  <c r="E81" i="3"/>
  <c r="E198" i="3"/>
  <c r="E18" i="3"/>
  <c r="E86" i="3"/>
  <c r="E113" i="3"/>
  <c r="E197" i="3"/>
  <c r="E405" i="3"/>
  <c r="E451" i="3"/>
  <c r="E470" i="3"/>
  <c r="E115" i="3"/>
  <c r="E412" i="3"/>
  <c r="E35" i="3"/>
  <c r="E158" i="3"/>
  <c r="E188" i="3"/>
  <c r="E564"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286" i="3"/>
  <c r="AP6" i="3"/>
  <c r="E95" i="3"/>
  <c r="E59" i="3"/>
  <c r="E371" i="3"/>
  <c r="E233" i="3"/>
  <c r="E283" i="3"/>
  <c r="E391" i="3"/>
  <c r="E96" i="3"/>
  <c r="E34" i="3"/>
  <c r="E308" i="3"/>
  <c r="E173" i="3"/>
  <c r="E456" i="3"/>
  <c r="E556" i="3"/>
  <c r="E420" i="3"/>
  <c r="E225" i="3"/>
  <c r="E190" i="3"/>
  <c r="E49" i="3"/>
  <c r="E326" i="3"/>
  <c r="E116" i="3"/>
  <c r="E543" i="3"/>
  <c r="E440"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Q60" i="67"/>
  <c r="J10" i="39"/>
  <c r="W10" i="39" s="1"/>
  <c r="E498" i="3"/>
  <c r="E490" i="3"/>
  <c r="E486" i="3"/>
  <c r="E493" i="3"/>
  <c r="E223" i="3"/>
  <c r="E83" i="3"/>
  <c r="E370" i="3"/>
  <c r="E342" i="3"/>
  <c r="E78" i="3"/>
  <c r="E243" i="3"/>
  <c r="E104" i="3"/>
  <c r="E452" i="3"/>
  <c r="E360" i="3"/>
  <c r="E469" i="3"/>
  <c r="E534" i="3"/>
  <c r="E140" i="3"/>
  <c r="E287" i="3"/>
  <c r="E206" i="3"/>
  <c r="E235" i="3"/>
  <c r="E482" i="3"/>
  <c r="E281" i="3"/>
  <c r="E309" i="3"/>
  <c r="E68" i="3"/>
  <c r="E67" i="3"/>
  <c r="E267" i="3"/>
  <c r="E409" i="3"/>
  <c r="E241" i="3"/>
  <c r="E417" i="3"/>
  <c r="E449" i="3"/>
  <c r="E575" i="3"/>
  <c r="E536" i="3"/>
  <c r="J5" i="67"/>
  <c r="J24" i="67" s="1"/>
  <c r="F1" i="67"/>
  <c r="Q61" i="67"/>
  <c r="R36" i="36"/>
  <c r="R37" i="36" s="1"/>
  <c r="E251" i="3"/>
  <c r="E522" i="3"/>
  <c r="E129" i="3"/>
  <c r="E75" i="3"/>
  <c r="E332" i="3"/>
  <c r="E21" i="3"/>
  <c r="E264" i="3"/>
  <c r="E381" i="3"/>
  <c r="E144" i="3"/>
  <c r="E23" i="3"/>
  <c r="E300" i="3"/>
  <c r="E103" i="3"/>
  <c r="E425" i="3"/>
  <c r="E76" i="3"/>
  <c r="E363" i="3"/>
  <c r="E192" i="3"/>
  <c r="E56" i="3"/>
  <c r="E435" i="3"/>
  <c r="I3" i="6"/>
  <c r="E541" i="3"/>
  <c r="R6" i="3"/>
  <c r="E199" i="3"/>
  <c r="E510" i="3"/>
  <c r="T40" i="71"/>
  <c r="D40" i="71"/>
  <c r="E33" i="3"/>
  <c r="E492" i="3"/>
  <c r="E249" i="3"/>
  <c r="E46" i="3"/>
  <c r="E484" i="3"/>
  <c r="E544" i="3"/>
  <c r="E292" i="3"/>
  <c r="E152" i="3"/>
  <c r="E479" i="3"/>
  <c r="E517" i="3"/>
  <c r="E255" i="3"/>
  <c r="E466" i="3"/>
  <c r="E499" i="3"/>
  <c r="D56" i="71"/>
  <c r="T56" i="71"/>
  <c r="O65" i="71"/>
  <c r="D66" i="71"/>
  <c r="O66" i="71"/>
  <c r="C21" i="71"/>
  <c r="D22" i="71"/>
  <c r="T52" i="71"/>
  <c r="D52" i="71"/>
  <c r="B40" i="1"/>
  <c r="F22" i="85"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B1" i="74" s="1"/>
  <c r="D3" i="34"/>
  <c r="D19" i="11"/>
  <c r="C19" i="11" s="1"/>
  <c r="C17" i="4"/>
  <c r="B4" i="52" s="1"/>
  <c r="B43" i="72" s="1"/>
  <c r="D3" i="33"/>
  <c r="D3" i="37"/>
  <c r="C39" i="43"/>
  <c r="C42" i="43"/>
  <c r="E42" i="43" s="1"/>
  <c r="C38" i="43"/>
  <c r="U10" i="40"/>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16" i="15"/>
  <c r="F41" i="15"/>
  <c r="M27" i="67"/>
  <c r="M27" i="15"/>
  <c r="C32" i="15" l="1"/>
  <c r="O8" i="15"/>
  <c r="C6" i="68"/>
  <c r="V2" i="43"/>
  <c r="C6" i="84"/>
  <c r="C6" i="85"/>
  <c r="F41" i="85"/>
  <c r="C24" i="85"/>
  <c r="C26" i="85"/>
  <c r="D22" i="85" s="1"/>
  <c r="C44" i="85"/>
  <c r="D41" i="85" s="1"/>
  <c r="C42" i="85"/>
  <c r="C43" i="85"/>
  <c r="F24" i="83"/>
  <c r="C24" i="83" s="1"/>
  <c r="F22" i="84"/>
  <c r="C38" i="83"/>
  <c r="C66" i="83"/>
  <c r="C60" i="83"/>
  <c r="C38" i="82"/>
  <c r="L36" i="43"/>
  <c r="L37" i="43" s="1"/>
  <c r="O37" i="43" s="1"/>
  <c r="F24" i="82"/>
  <c r="C66" i="82"/>
  <c r="C60" i="82"/>
  <c r="W10" i="40"/>
  <c r="C48" i="15"/>
  <c r="C66" i="15" s="1"/>
  <c r="C10" i="15"/>
  <c r="C5" i="15" s="1"/>
  <c r="C38" i="15" s="1"/>
  <c r="F27" i="69"/>
  <c r="F27" i="11"/>
  <c r="F28" i="12"/>
  <c r="C29" i="12" s="1"/>
  <c r="D28" i="12" s="1"/>
  <c r="J18" i="15"/>
  <c r="O6" i="1"/>
  <c r="O16" i="1" s="1"/>
  <c r="C48" i="67"/>
  <c r="C66" i="67" s="1"/>
  <c r="I46" i="37"/>
  <c r="J46" i="37" s="1"/>
  <c r="AA10" i="40"/>
  <c r="AC10" i="39"/>
  <c r="AB10" i="39"/>
  <c r="D116" i="43"/>
  <c r="AC6" i="3"/>
  <c r="H6" i="3"/>
  <c r="F25" i="12"/>
  <c r="C26" i="12" s="1"/>
  <c r="D25" i="12" s="1"/>
  <c r="D21" i="71"/>
  <c r="C20" i="71"/>
  <c r="F22" i="68"/>
  <c r="C44" i="68" s="1"/>
  <c r="D41" i="68" s="1"/>
  <c r="F22" i="11"/>
  <c r="C23" i="11" s="1"/>
  <c r="F24" i="67"/>
  <c r="C24" i="67" s="1"/>
  <c r="F24" i="15"/>
  <c r="C24" i="15" s="1"/>
  <c r="F22" i="69"/>
  <c r="F41" i="69" s="1"/>
  <c r="E49" i="34"/>
  <c r="E53" i="34" s="1"/>
  <c r="F53" i="34" s="1"/>
  <c r="Q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C7" i="68" s="1"/>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C17" i="15"/>
  <c r="C14" i="67"/>
  <c r="C17" i="67"/>
  <c r="F50" i="85" l="1"/>
  <c r="F50" i="84"/>
  <c r="C41" i="85"/>
  <c r="C49" i="85" s="1"/>
  <c r="C51" i="85" s="1"/>
  <c r="M37" i="43"/>
  <c r="C23" i="83"/>
  <c r="C29" i="83" s="1"/>
  <c r="C36" i="83" s="1"/>
  <c r="M36" i="43"/>
  <c r="N36" i="43"/>
  <c r="F41" i="84"/>
  <c r="C26" i="84"/>
  <c r="D22" i="84" s="1"/>
  <c r="C24" i="84"/>
  <c r="C44" i="84"/>
  <c r="D41" i="84" s="1"/>
  <c r="C42" i="84"/>
  <c r="C43" i="84"/>
  <c r="C60" i="15"/>
  <c r="C24" i="82"/>
  <c r="C23" i="82"/>
  <c r="N37" i="43"/>
  <c r="P37" i="43"/>
  <c r="Q36" i="43"/>
  <c r="P36" i="43"/>
  <c r="O36" i="43"/>
  <c r="C60" i="67"/>
  <c r="C28" i="11"/>
  <c r="C27" i="11" s="1"/>
  <c r="E6" i="3"/>
  <c r="C29" i="11"/>
  <c r="D27" i="11" s="1"/>
  <c r="C47" i="11"/>
  <c r="D45" i="11" s="1"/>
  <c r="F45" i="69"/>
  <c r="C29" i="69"/>
  <c r="D27" i="69" s="1"/>
  <c r="C47" i="69"/>
  <c r="D45" i="69" s="1"/>
  <c r="I54" i="34"/>
  <c r="J54" i="34" s="1"/>
  <c r="H24" i="6"/>
  <c r="R24" i="6" s="1"/>
  <c r="R11" i="1" s="1"/>
  <c r="D30" i="6"/>
  <c r="H22" i="6"/>
  <c r="R22" i="6" s="1"/>
  <c r="R9" i="1" s="1"/>
  <c r="H25" i="6"/>
  <c r="C26" i="68"/>
  <c r="D22" i="68" s="1"/>
  <c r="F41" i="68"/>
  <c r="C26" i="11"/>
  <c r="D22" i="11" s="1"/>
  <c r="C44" i="11"/>
  <c r="D41"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41" i="84" l="1"/>
  <c r="C49" i="84" s="1"/>
  <c r="C51" i="84" s="1"/>
  <c r="C7" i="85"/>
  <c r="C5" i="85" s="1"/>
  <c r="Q49" i="83"/>
  <c r="J59" i="83"/>
  <c r="J60" i="83" s="1"/>
  <c r="L46" i="83" s="1"/>
  <c r="C57" i="83"/>
  <c r="C64" i="83" s="1"/>
  <c r="C13" i="83"/>
  <c r="Q70" i="83" s="1"/>
  <c r="J14" i="83"/>
  <c r="J13" i="83" s="1"/>
  <c r="J23" i="83" s="1"/>
  <c r="C7" i="84"/>
  <c r="C29" i="82"/>
  <c r="J14" i="82" s="1"/>
  <c r="C8" i="68"/>
  <c r="C5" i="68" s="1"/>
  <c r="C23" i="68" s="1"/>
  <c r="D19" i="71"/>
  <c r="C18" i="7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12" l="1"/>
  <c r="C21" i="12" s="1"/>
  <c r="C22" i="12" s="1"/>
  <c r="C30" i="12" s="1"/>
  <c r="C28" i="12" s="1"/>
  <c r="C8" i="84"/>
  <c r="C5" i="84" s="1"/>
  <c r="C36" i="82"/>
  <c r="C23" i="85"/>
  <c r="C20" i="85"/>
  <c r="C25" i="85" s="1"/>
  <c r="J22" i="83"/>
  <c r="Q48" i="83"/>
  <c r="C75" i="83"/>
  <c r="C37" i="83"/>
  <c r="C56" i="83"/>
  <c r="C65" i="83" s="1"/>
  <c r="Q49" i="82"/>
  <c r="J59" i="82"/>
  <c r="J60" i="82" s="1"/>
  <c r="Q48" i="82" s="1"/>
  <c r="C57" i="82"/>
  <c r="C64" i="82" s="1"/>
  <c r="C13" i="82"/>
  <c r="C75" i="82" s="1"/>
  <c r="J13" i="82"/>
  <c r="J23" i="82" s="1"/>
  <c r="J22" i="82"/>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0" i="84" l="1"/>
  <c r="C25" i="84" s="1"/>
  <c r="C23" i="84"/>
  <c r="C27" i="12"/>
  <c r="C25" i="12" s="1"/>
  <c r="C32" i="12" s="1"/>
  <c r="B2" i="12" s="1"/>
  <c r="B3" i="12" s="1"/>
  <c r="C22" i="85"/>
  <c r="C28" i="85"/>
  <c r="C27" i="85" s="1"/>
  <c r="C37" i="82"/>
  <c r="C56" i="82"/>
  <c r="C65" i="82" s="1"/>
  <c r="Q70" i="82"/>
  <c r="L46" i="82"/>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83"/>
  <c r="M21" i="83"/>
  <c r="F35" i="82"/>
  <c r="M21" i="82"/>
  <c r="F35" i="15"/>
  <c r="F35" i="67"/>
  <c r="M21" i="15"/>
  <c r="M21" i="67"/>
  <c r="C28" i="84" l="1"/>
  <c r="C27" i="84" s="1"/>
  <c r="C22" i="84"/>
  <c r="C31" i="85"/>
  <c r="C52" i="85" s="1"/>
  <c r="B2" i="85" s="1"/>
  <c r="J20" i="83"/>
  <c r="J17" i="83" s="1"/>
  <c r="J16" i="83" s="1"/>
  <c r="J25" i="83" s="1"/>
  <c r="F63" i="83"/>
  <c r="C62" i="83" s="1"/>
  <c r="C59" i="83" s="1"/>
  <c r="C58" i="83" s="1"/>
  <c r="C67" i="83" s="1"/>
  <c r="C68" i="83" s="1"/>
  <c r="C34" i="83"/>
  <c r="C31" i="83" s="1"/>
  <c r="C30" i="83" s="1"/>
  <c r="C39" i="83" s="1"/>
  <c r="J20" i="82"/>
  <c r="J17" i="82" s="1"/>
  <c r="J16" i="82" s="1"/>
  <c r="J25" i="82" s="1"/>
  <c r="F63" i="82"/>
  <c r="C62" i="82" s="1"/>
  <c r="C59" i="82" s="1"/>
  <c r="C58" i="82" s="1"/>
  <c r="C67" i="82" s="1"/>
  <c r="C68" i="82" s="1"/>
  <c r="C34" i="82"/>
  <c r="C31" i="82" s="1"/>
  <c r="C30" i="82" s="1"/>
  <c r="C39" i="82" s="1"/>
  <c r="T16" i="71"/>
  <c r="D16" i="71"/>
  <c r="U16" i="71" s="1"/>
  <c r="C15"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B3" i="85"/>
  <c r="C19" i="9"/>
  <c r="B3" i="68"/>
  <c r="C20" i="9"/>
  <c r="C31" i="84" l="1"/>
  <c r="C52" i="84" s="1"/>
  <c r="C57" i="84" s="1"/>
  <c r="C56" i="84" s="1"/>
  <c r="C57" i="85"/>
  <c r="C56" i="85" s="1"/>
  <c r="C40" i="83"/>
  <c r="C46" i="83" s="1"/>
  <c r="Q69" i="83"/>
  <c r="Q68" i="83" s="1"/>
  <c r="C80" i="83"/>
  <c r="C79" i="83" s="1"/>
  <c r="C71" i="83"/>
  <c r="C40" i="82"/>
  <c r="C46" i="82" s="1"/>
  <c r="Q69" i="82"/>
  <c r="Q68" i="82" s="1"/>
  <c r="C80" i="82"/>
  <c r="C79" i="82" s="1"/>
  <c r="C71" i="82"/>
  <c r="C103" i="9"/>
  <c r="C102" i="9"/>
  <c r="C21" i="9"/>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87"/>
  <c r="L51" i="83"/>
  <c r="L51" i="82"/>
  <c r="D2" i="21"/>
  <c r="C20" i="87"/>
  <c r="B2" i="84" l="1"/>
  <c r="C103" i="87"/>
  <c r="C102" i="87"/>
  <c r="C21" i="87"/>
  <c r="Q67" i="83"/>
  <c r="C43" i="83"/>
  <c r="Q47" i="83"/>
  <c r="Q53" i="83" s="1"/>
  <c r="B2" i="83"/>
  <c r="B3" i="83" s="1"/>
  <c r="Q65" i="83"/>
  <c r="Q75" i="83" s="1"/>
  <c r="Q56" i="83"/>
  <c r="Q62" i="83" s="1"/>
  <c r="C83" i="83"/>
  <c r="C82" i="83" s="1"/>
  <c r="Q67" i="82"/>
  <c r="C43" i="82"/>
  <c r="B2" i="82"/>
  <c r="B3" i="82" s="1"/>
  <c r="Q65" i="82"/>
  <c r="Q75" i="82" s="1"/>
  <c r="Q47" i="82"/>
  <c r="Q53" i="82" s="1"/>
  <c r="Q56" i="82"/>
  <c r="Q62" i="82" s="1"/>
  <c r="C83" i="82"/>
  <c r="C82" i="82"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3" i="84"/>
  <c r="C20" i="86" s="1"/>
  <c r="C19" i="86"/>
  <c r="D2" i="33"/>
  <c r="L51" i="67"/>
  <c r="C102" i="86" l="1"/>
  <c r="C21" i="86"/>
  <c r="C103" i="86"/>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12" i="1"/>
  <c r="AO8"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7"/>
  <c r="D19" i="86"/>
  <c r="D19" i="9"/>
  <c r="AO6" i="1"/>
  <c r="D21" i="87" l="1"/>
  <c r="D102" i="87"/>
  <c r="G19" i="87"/>
  <c r="D22" i="87"/>
  <c r="D21" i="86"/>
  <c r="D102" i="86"/>
  <c r="G19" i="86"/>
  <c r="D22" i="86"/>
  <c r="D102" i="9"/>
  <c r="D21" i="9"/>
  <c r="G19" i="9"/>
  <c r="G21" i="9" s="1"/>
  <c r="D2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86"/>
  <c r="D20" i="9"/>
  <c r="D103" i="87" l="1"/>
  <c r="G20" i="87"/>
  <c r="C32" i="87"/>
  <c r="G21" i="87"/>
  <c r="D103" i="86"/>
  <c r="G20" i="86"/>
  <c r="C32" i="86"/>
  <c r="G21" i="86"/>
  <c r="D103" i="9"/>
  <c r="G20" i="9"/>
  <c r="D9" i="71"/>
  <c r="C8" i="71"/>
  <c r="C42" i="40"/>
  <c r="C43" i="40"/>
  <c r="E47" i="40"/>
  <c r="F47" i="40" s="1"/>
  <c r="E46" i="40"/>
  <c r="F46" i="40" s="1"/>
  <c r="I47" i="40"/>
  <c r="J47" i="40" s="1"/>
  <c r="C32" i="9" l="1"/>
  <c r="L10" i="80"/>
  <c r="C35" i="87"/>
  <c r="F118" i="87" s="1"/>
  <c r="H118" i="87"/>
  <c r="C35" i="86"/>
  <c r="F118" i="86" s="1"/>
  <c r="H118" i="86"/>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87" l="1"/>
  <c r="D118" i="87" s="1"/>
  <c r="D119" i="87" s="1"/>
  <c r="I118" i="87"/>
  <c r="C104" i="87"/>
  <c r="H119" i="87"/>
  <c r="H101" i="87"/>
  <c r="C34" i="86"/>
  <c r="D118" i="86" s="1"/>
  <c r="D119" i="86" s="1"/>
  <c r="F119" i="87"/>
  <c r="G118" i="87"/>
  <c r="I118" i="86"/>
  <c r="H119" i="86"/>
  <c r="H101" i="86"/>
  <c r="C104" i="86"/>
  <c r="F119" i="86"/>
  <c r="G118" i="86"/>
  <c r="C35" i="9"/>
  <c r="C34" i="9" s="1"/>
  <c r="D7" i="71"/>
  <c r="C6" i="71"/>
  <c r="D34" i="9"/>
  <c r="H107" i="87" l="1"/>
  <c r="D45" i="87"/>
  <c r="M48" i="87"/>
  <c r="E118" i="87"/>
  <c r="C105" i="87"/>
  <c r="H102" i="87"/>
  <c r="H107" i="86"/>
  <c r="M48" i="86"/>
  <c r="D45" i="86"/>
  <c r="E118" i="86"/>
  <c r="C105" i="86"/>
  <c r="H102" i="86"/>
  <c r="D6" i="71"/>
  <c r="C5" i="71"/>
  <c r="D5" i="71" s="1"/>
  <c r="M24" i="43" s="1"/>
  <c r="F118" i="9"/>
  <c r="F119" i="9" s="1"/>
  <c r="F5" i="52" s="1"/>
  <c r="B53" i="72" s="1"/>
  <c r="D118" i="9"/>
  <c r="D4" i="52" s="1"/>
  <c r="B47" i="72" s="1"/>
  <c r="H118" i="9"/>
  <c r="H4" i="52" s="1"/>
  <c r="D52" i="87" l="1"/>
  <c r="C93" i="87"/>
  <c r="C86" i="87" s="1"/>
  <c r="C85" i="87"/>
  <c r="D55" i="87"/>
  <c r="M53" i="87" s="1"/>
  <c r="C72" i="87"/>
  <c r="C64" i="87"/>
  <c r="C63" i="87" s="1"/>
  <c r="C67" i="87" s="1"/>
  <c r="D53" i="87"/>
  <c r="C78" i="87"/>
  <c r="C73" i="87" s="1"/>
  <c r="D122" i="87"/>
  <c r="D123" i="87" s="1"/>
  <c r="H108" i="87"/>
  <c r="M49" i="87"/>
  <c r="C72" i="86"/>
  <c r="C64" i="86"/>
  <c r="C63" i="86" s="1"/>
  <c r="C67" i="86" s="1"/>
  <c r="D53" i="86"/>
  <c r="D55" i="86"/>
  <c r="M53" i="86" s="1"/>
  <c r="C78" i="86"/>
  <c r="C73" i="86" s="1"/>
  <c r="D52" i="86"/>
  <c r="C93" i="86"/>
  <c r="C86" i="86" s="1"/>
  <c r="C85" i="86"/>
  <c r="M49" i="86"/>
  <c r="D122" i="86"/>
  <c r="D123" i="86" s="1"/>
  <c r="H108" i="86"/>
  <c r="G118" i="9"/>
  <c r="G4" i="52" s="1"/>
  <c r="B52" i="72" s="1"/>
  <c r="D119" i="9"/>
  <c r="D5" i="52" s="1"/>
  <c r="B49" i="72" s="1"/>
  <c r="C104" i="9"/>
  <c r="H101" i="9"/>
  <c r="I118" i="9"/>
  <c r="C105" i="9" s="1"/>
  <c r="H119" i="9"/>
  <c r="H5" i="52" s="1"/>
  <c r="F4" i="52"/>
  <c r="B51" i="72" s="1"/>
  <c r="D5" i="53" l="1"/>
  <c r="D6" i="53" s="1"/>
  <c r="B22" i="72" s="1"/>
  <c r="D14" i="74"/>
  <c r="C95" i="86"/>
  <c r="C96" i="86" s="1"/>
  <c r="E96" i="86" s="1"/>
  <c r="E97" i="86" s="1"/>
  <c r="C95" i="87"/>
  <c r="C96" i="87" s="1"/>
  <c r="E96" i="87" s="1"/>
  <c r="E97" i="87" s="1"/>
  <c r="L66" i="87"/>
  <c r="M66" i="87" s="1"/>
  <c r="L64" i="87"/>
  <c r="M64" i="87" s="1"/>
  <c r="L65" i="87"/>
  <c r="M65" i="87" s="1"/>
  <c r="L63" i="87"/>
  <c r="M63" i="87" s="1"/>
  <c r="L68" i="87"/>
  <c r="M68" i="87" s="1"/>
  <c r="L67" i="87"/>
  <c r="M67" i="87" s="1"/>
  <c r="D59" i="87"/>
  <c r="M55" i="87" s="1"/>
  <c r="C68" i="87"/>
  <c r="D54" i="87" s="1"/>
  <c r="C79" i="87"/>
  <c r="D59" i="86"/>
  <c r="M55" i="86" s="1"/>
  <c r="C68" i="86"/>
  <c r="D54" i="86" s="1"/>
  <c r="L66" i="86"/>
  <c r="M66" i="86" s="1"/>
  <c r="L64" i="86"/>
  <c r="M64" i="86" s="1"/>
  <c r="L63" i="86"/>
  <c r="M63" i="86" s="1"/>
  <c r="L68" i="86"/>
  <c r="M68" i="86" s="1"/>
  <c r="L67" i="86"/>
  <c r="M67" i="86" s="1"/>
  <c r="L65" i="86"/>
  <c r="M65" i="86" s="1"/>
  <c r="C79" i="86"/>
  <c r="M48" i="9"/>
  <c r="H107" i="9"/>
  <c r="D13" i="53" s="1"/>
  <c r="D45" i="9"/>
  <c r="D55" i="9" s="1"/>
  <c r="M53" i="9" s="1"/>
  <c r="B20" i="72"/>
  <c r="I4" i="52"/>
  <c r="E118" i="9"/>
  <c r="E4" i="52" s="1"/>
  <c r="B48" i="72" s="1"/>
  <c r="H102" i="9"/>
  <c r="G14" i="74" l="1"/>
  <c r="B6" i="74" s="1"/>
  <c r="D6" i="74" s="1"/>
  <c r="E14" i="74"/>
  <c r="B5" i="74"/>
  <c r="D5" i="74" s="1"/>
  <c r="F14" i="74"/>
  <c r="C97" i="87"/>
  <c r="D58" i="87" s="1"/>
  <c r="D56" i="87" s="1"/>
  <c r="M54" i="87" s="1"/>
  <c r="N57" i="87" s="1"/>
  <c r="M69" i="87"/>
  <c r="N69" i="87" s="1"/>
  <c r="C80" i="87"/>
  <c r="E80" i="87" s="1"/>
  <c r="E81" i="87" s="1"/>
  <c r="M49" i="9"/>
  <c r="L67" i="9" s="1"/>
  <c r="M67" i="9" s="1"/>
  <c r="C80" i="86"/>
  <c r="E80" i="86" s="1"/>
  <c r="E81" i="86" s="1"/>
  <c r="M69" i="86"/>
  <c r="N69" i="86" s="1"/>
  <c r="C97" i="86"/>
  <c r="D58" i="86" s="1"/>
  <c r="D56" i="86" s="1"/>
  <c r="M54" i="86" s="1"/>
  <c r="N57" i="86" s="1"/>
  <c r="H108" i="9"/>
  <c r="D15" i="53" s="1"/>
  <c r="B31" i="72" s="1"/>
  <c r="C78" i="9"/>
  <c r="C73" i="9" s="1"/>
  <c r="C72" i="9"/>
  <c r="D122" i="9"/>
  <c r="D8" i="52" s="1"/>
  <c r="D52" i="9"/>
  <c r="D53" i="9"/>
  <c r="C93" i="9"/>
  <c r="C86" i="9" s="1"/>
  <c r="C85" i="9"/>
  <c r="C64" i="9"/>
  <c r="C63" i="9" s="1"/>
  <c r="C67" i="9" s="1"/>
  <c r="D59" i="9" s="1"/>
  <c r="M55" i="9" s="1"/>
  <c r="D7" i="53"/>
  <c r="B21" i="72" s="1"/>
  <c r="B30" i="72"/>
  <c r="D14" i="53"/>
  <c r="B32" i="72" s="1"/>
  <c r="C5" i="74" l="1"/>
  <c r="C81" i="87"/>
  <c r="L68" i="9"/>
  <c r="M68" i="9" s="1"/>
  <c r="C6" i="74"/>
  <c r="L65" i="9"/>
  <c r="M65" i="9" s="1"/>
  <c r="L64" i="9"/>
  <c r="M64" i="9" s="1"/>
  <c r="L63" i="9"/>
  <c r="M63" i="9" s="1"/>
  <c r="L66" i="9"/>
  <c r="M66" i="9" s="1"/>
  <c r="P57" i="87"/>
  <c r="N58" i="87"/>
  <c r="N59" i="87"/>
  <c r="C81" i="86"/>
  <c r="N58" i="86"/>
  <c r="P57" i="86"/>
  <c r="N59" i="86"/>
  <c r="C79" i="9"/>
  <c r="C80" i="9" s="1"/>
  <c r="E80" i="9" s="1"/>
  <c r="E81" i="9" s="1"/>
  <c r="C95" i="9"/>
  <c r="C96" i="9" s="1"/>
  <c r="E96" i="9" s="1"/>
  <c r="E97" i="9" s="1"/>
  <c r="D123" i="9"/>
  <c r="D9" i="52" s="1"/>
  <c r="C68" i="9"/>
  <c r="D54" i="9" s="1"/>
  <c r="M69" i="9" l="1"/>
  <c r="N69" i="9" s="1"/>
  <c r="N60" i="87"/>
  <c r="N61" i="87"/>
  <c r="N61" i="86"/>
  <c r="N60" i="86"/>
  <c r="C97" i="9"/>
  <c r="D58" i="9" s="1"/>
  <c r="D56" i="9" s="1"/>
  <c r="M54" i="9" s="1"/>
  <c r="N57"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ECD3B3B-8657-498F-B88F-F9E80C71FF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3216585A-ED59-4C7B-BC32-C4678FD0FBE6}">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596AB7A1-FB68-4363-B343-AAEB117ECD1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601F4C0-FE7F-40F6-8228-5F3355FD35D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C0C02A1-45D6-42CD-B048-E3BA3468257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16115EDF-931D-4781-83C2-70F3789F5602}">
      <text>
        <r>
          <rPr>
            <sz val="11"/>
            <color indexed="81"/>
            <rFont val="宋体"/>
            <family val="3"/>
            <charset val="134"/>
          </rPr>
          <t>在建项目均选择“是”</t>
        </r>
      </text>
    </comment>
    <comment ref="F59" authorId="1" shapeId="0" xr:uid="{54678214-A33F-44DA-9FDE-33B9D57CAF0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CCF8F80-282C-47F8-8010-CF5438F01FEA}">
      <text>
        <r>
          <rPr>
            <sz val="10"/>
            <color indexed="81"/>
            <rFont val="宋体"/>
            <family val="3"/>
            <charset val="134"/>
          </rPr>
          <t xml:space="preserve">在建
</t>
        </r>
      </text>
    </comment>
    <comment ref="N59" authorId="0" shapeId="0" xr:uid="{B6419350-D9D9-426D-A1E6-FE673909898E}">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61EF6DE-127B-49E5-860A-B2513C066A5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99B3573-486F-4002-97EA-5AB3F2DD890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99D70AA-EA7B-4FC5-896F-E5C5F1222CB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5D8F886-DEA2-4D81-BF55-4924F60E25FE}">
      <text>
        <r>
          <rPr>
            <sz val="11"/>
            <color indexed="81"/>
            <rFont val="宋体"/>
            <family val="3"/>
            <charset val="134"/>
          </rPr>
          <t>在建项目均选择“是”</t>
        </r>
      </text>
    </comment>
    <comment ref="F59" authorId="1" shapeId="0" xr:uid="{63CC4290-DA51-4F52-8BD3-547BE77B43D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0A18E59-B3B1-424A-BFCD-6EDED94F5605}">
      <text>
        <r>
          <rPr>
            <sz val="10"/>
            <color indexed="81"/>
            <rFont val="宋体"/>
            <family val="3"/>
            <charset val="134"/>
          </rPr>
          <t xml:space="preserve">在建
</t>
        </r>
      </text>
    </comment>
    <comment ref="N59" authorId="0" shapeId="0" xr:uid="{0B79664D-C70D-4EA1-B168-37CA0CC22B33}">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3A1975A-21EE-427C-B8CF-5398008ED9A9}">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DADA4E7-95C5-490D-9833-322F2DB7A1A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B286C6BB-44F7-4C94-9AF0-4856261549FD}">
      <text>
        <r>
          <rPr>
            <sz val="11"/>
            <color indexed="81"/>
            <rFont val="宋体"/>
            <family val="3"/>
            <charset val="134"/>
          </rPr>
          <t>需在下方列示计算过程</t>
        </r>
        <r>
          <rPr>
            <sz val="9"/>
            <color indexed="81"/>
            <rFont val="宋体"/>
            <family val="3"/>
            <charset val="134"/>
          </rPr>
          <t xml:space="preserve">
</t>
        </r>
      </text>
    </comment>
    <comment ref="H75" authorId="2" shapeId="0" xr:uid="{EF72DF80-79EA-47BB-900A-A7F7F8BCA31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FA20625-17A5-43C7-B6D6-6684550C478D}">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BDE71EB-009B-4FAB-9615-1D1DEE482B3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CE06A85-9C3D-49B8-8810-8B79200D2708}">
      <text>
        <r>
          <rPr>
            <sz val="11"/>
            <color indexed="81"/>
            <rFont val="宋体"/>
            <family val="3"/>
            <charset val="134"/>
          </rPr>
          <t>需在下方列示计算过程</t>
        </r>
        <r>
          <rPr>
            <sz val="9"/>
            <color indexed="81"/>
            <rFont val="宋体"/>
            <family val="3"/>
            <charset val="134"/>
          </rPr>
          <t xml:space="preserve">
</t>
        </r>
      </text>
    </comment>
    <comment ref="H75" authorId="2" shapeId="0" xr:uid="{374307F8-F46C-4D70-8AEE-5814627FD39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<sst xmlns="http://schemas.openxmlformats.org/spreadsheetml/2006/main" count="9790" uniqueCount="3537">
  <si>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</si>
  <si>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</si>
  <si>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</si>
  <si>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</si>
  <si>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</si>
  <si>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</si>
  <si>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</si>
  <si>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</si>
  <si>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</si>
  <si>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</si>
  <si>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</si>
  <si>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</si>
  <si>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</si>
  <si>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</si>
  <si>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</si>
  <si>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</si>
  <si>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</si>
  <si>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</si>
  <si>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</si>
  <si>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</si>
  <si>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</si>
  <si>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</si>
  <si>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</si>
  <si>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</si>
  <si>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</si>
  <si>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</si>
  <si>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</si>
  <si>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</si>
  <si>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</si>
  <si>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</si>
  <si>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</si>
  <si>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</si>
  <si>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</si>
  <si>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</si>
  <si>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</si>
  <si>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</si>
  <si>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</si>
  <si>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</si>
  <si>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</si>
  <si>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</si>
  <si>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</si>
  <si>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</si>
  <si>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</si>
  <si>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</si>
  <si>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</si>
  <si>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</si>
  <si>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</si>
  <si>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</si>
  <si>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</si>
  <si>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</si>
  <si>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</si>
  <si>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</si>
  <si>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</si>
  <si>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</si>
  <si>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</si>
  <si>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</si>
  <si>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</si>
  <si>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</si>
  <si>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</si>
  <si>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</si>
  <si>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</si>
  <si>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</si>
  <si>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</si>
  <si>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</si>
  <si>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</si>
  <si>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</si>
  <si>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</si>
  <si>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</si>
  <si>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</si>
  <si>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</si>
  <si>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</si>
  <si>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</si>
  <si>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</si>
  <si>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</si>
  <si>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</si>
  <si>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</si>
  <si>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</si>
  <si>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</si>
  <si>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</si>
  <si>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</si>
  <si>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</si>
  <si>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</si>
  <si>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</si>
  <si>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</si>
  <si>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</si>
  <si>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</si>
  <si>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</si>
  <si>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</si>
  <si>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</si>
  <si>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</si>
  <si>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</si>
  <si>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</si>
  <si>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</si>
  <si>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</si>
  <si>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</si>
  <si>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</si>
  <si>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</si>
  <si>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</si>
  <si>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</si>
  <si>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</si>
  <si>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</si>
  <si>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</si>
  <si>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</si>
  <si>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</si>
  <si>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</si>
  <si>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</si>
  <si>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</si>
  <si>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</si>
  <si>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</si>
  <si>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</si>
  <si>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</si>
  <si>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</si>
  <si>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</si>
  <si>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</si>
  <si>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</si>
  <si>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</si>
  <si>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</si>
  <si>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</si>
  <si>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</si>
  <si>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</si>
  <si>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</si>
  <si>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</si>
  <si>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</si>
  <si>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</si>
  <si>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</si>
  <si>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</si>
  <si>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</si>
  <si>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</si>
  <si>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</si>
  <si>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</si>
  <si>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</si>
  <si>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</si>
  <si>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</si>
  <si>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</si>
  <si>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</si>
  <si>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</si>
  <si>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</si>
  <si>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</si>
  <si>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</si>
  <si>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</si>
  <si>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</si>
  <si>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</si>
  <si>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</si>
  <si>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</si>
  <si>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</si>
  <si>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</si>
  <si>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</si>
  <si>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</si>
  <si>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</si>
  <si>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</si>
  <si>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</si>
  <si>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</si>
  <si>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</si>
  <si>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</si>
  <si>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</si>
  <si>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</si>
  <si>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</si>
  <si>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</si>
  <si>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</si>
  <si>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</si>
  <si>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</si>
  <si>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</si>
  <si>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</si>
  <si>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</si>
  <si>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</si>
  <si>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</si>
  <si>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</si>
  <si>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</si>
  <si>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</si>
  <si>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</si>
  <si>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</si>
  <si>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</si>
  <si>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</si>
  <si>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</si>
  <si>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</si>
  <si>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</si>
  <si>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</si>
  <si>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</si>
  <si>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</si>
  <si>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</si>
  <si>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</si>
  <si>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</si>
  <si>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</si>
  <si>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</si>
  <si>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</si>
  <si>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</si>
  <si>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</si>
  <si>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</si>
  <si>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</si>
  <si>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</si>
  <si>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</si>
  <si>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</si>
  <si>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</si>
  <si>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</si>
  <si>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</si>
  <si>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</si>
  <si>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</si>
  <si>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</si>
  <si>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</si>
  <si>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</si>
  <si>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</si>
  <si>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</si>
  <si>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</si>
  <si>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</si>
  <si>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</si>
  <si>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</si>
  <si>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</si>
  <si>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</si>
  <si>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</si>
  <si>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</si>
  <si>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</si>
  <si>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</si>
  <si>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</si>
  <si>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</si>
  <si>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</si>
  <si>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</si>
  <si>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</si>
  <si>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</si>
  <si>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</si>
  <si>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</si>
  <si>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</si>
  <si>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</si>
  <si>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</si>
  <si>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</si>
  <si>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</si>
  <si>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</si>
  <si>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</si>
  <si>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</si>
  <si>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</si>
  <si>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</si>
  <si>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</si>
  <si>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</si>
  <si>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</si>
  <si>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</si>
  <si>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</si>
  <si>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</si>
  <si>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</si>
  <si>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</si>
  <si>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</si>
  <si>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</si>
  <si>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</si>
  <si>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</si>
  <si>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</si>
  <si>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</si>
  <si>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</si>
  <si>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</si>
  <si>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</si>
  <si>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</si>
  <si>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</si>
  <si>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</si>
  <si>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</si>
  <si>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</si>
  <si>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</si>
  <si>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</si>
  <si>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</si>
  <si>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</si>
  <si>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</si>
  <si>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</si>
  <si>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</si>
  <si>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</si>
  <si>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</si>
  <si>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</si>
  <si>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</si>
  <si>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</si>
  <si>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</si>
  <si>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</si>
  <si>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</si>
  <si>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</si>
  <si>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</si>
  <si>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</si>
  <si>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</si>
  <si>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</si>
  <si>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</si>
  <si>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</si>
  <si>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</si>
  <si>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</si>
  <si>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</si>
  <si>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</si>
  <si>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</si>
  <si>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</si>
  <si>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</si>
  <si>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</si>
  <si>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</si>
  <si>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</si>
  <si>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</si>
  <si>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</si>
  <si>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</si>
  <si>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</si>
  <si>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</si>
  <si>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</si>
  <si>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</si>
  <si>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</si>
  <si>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</si>
  <si>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</si>
  <si>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</si>
  <si>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</si>
  <si>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</si>
  <si>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</si>
  <si>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</si>
  <si>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</si>
  <si>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</si>
  <si>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</si>
  <si>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</si>
  <si>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</si>
  <si>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</si>
  <si>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</si>
  <si>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</si>
  <si>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</si>
  <si>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</si>
  <si>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</si>
  <si>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</si>
  <si>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</si>
  <si>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</si>
  <si>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</si>
  <si>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</si>
  <si>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</si>
  <si>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</si>
  <si>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</si>
  <si>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</si>
  <si>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</si>
  <si>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</si>
  <si>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</si>
  <si>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</si>
  <si>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</si>
  <si>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</si>
  <si>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</si>
  <si>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</si>
  <si>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</si>
  <si>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</si>
  <si>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</si>
  <si>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</si>
  <si>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</si>
  <si>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</si>
  <si>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</si>
  <si>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</si>
  <si>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</si>
  <si>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</si>
  <si>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</si>
  <si>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</si>
  <si>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</si>
  <si>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</si>
  <si>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</si>
  <si>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</si>
  <si>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</si>
  <si>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</si>
  <si>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</si>
  <si>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</si>
  <si>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</si>
  <si>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</si>
  <si>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</si>
  <si>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</si>
  <si>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</si>
  <si>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</si>
  <si>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</si>
  <si>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</si>
  <si>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</si>
  <si>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</si>
  <si>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</si>
  <si>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</si>
  <si>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</si>
  <si>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</si>
  <si>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</si>
  <si>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</si>
  <si>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</si>
  <si>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</si>
  <si>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</si>
  <si>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</si>
  <si>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</si>
  <si>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</si>
  <si>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</si>
  <si>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</si>
  <si>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</si>
  <si>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</si>
  <si>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</si>
  <si>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</si>
  <si>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</si>
  <si>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</si>
  <si>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</si>
  <si>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</si>
  <si>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</si>
  <si>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</si>
  <si>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</si>
  <si>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</si>
  <si>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</si>
  <si>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</si>
  <si>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</si>
  <si>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</si>
  <si>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</si>
  <si>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</si>
  <si>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</si>
  <si>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</si>
  <si>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</si>
  <si>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</si>
  <si>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</si>
  <si>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</si>
  <si>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</si>
  <si>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</si>
  <si>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</si>
  <si>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</si>
  <si>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</si>
  <si>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</si>
  <si>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</si>
  <si>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</si>
  <si>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</si>
  <si>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</si>
  <si>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</si>
  <si>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</si>
  <si>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</si>
  <si>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</si>
  <si>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</si>
  <si>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</si>
  <si>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</si>
  <si>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</si>
  <si>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</si>
  <si>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</si>
  <si>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</si>
  <si>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</si>
  <si>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</si>
  <si>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</si>
  <si>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</si>
  <si>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</si>
  <si>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</si>
  <si>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</si>
  <si>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</si>
  <si>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</si>
  <si>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</si>
  <si>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</si>
  <si>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</si>
  <si>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</si>
  <si>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</si>
  <si>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</si>
  <si>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</si>
  <si>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</si>
  <si>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</si>
  <si>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</si>
  <si>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</si>
  <si>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</si>
  <si>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</si>
  <si>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</si>
  <si>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</si>
  <si>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</si>
  <si>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</si>
  <si>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</si>
  <si>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</si>
  <si>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</si>
  <si>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</si>
  <si>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</si>
  <si>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</si>
  <si>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</si>
  <si>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</si>
  <si>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</si>
  <si>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</si>
  <si>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</si>
  <si>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</si>
  <si>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</si>
  <si>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</si>
  <si>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</si>
  <si>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</si>
  <si>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</si>
  <si>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</si>
  <si>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</si>
  <si>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</si>
  <si>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</si>
  <si>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</si>
  <si>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</si>
  <si>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</si>
  <si>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</si>
  <si>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</si>
  <si>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</si>
  <si>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</si>
  <si>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</si>
  <si>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</si>
  <si>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</si>
  <si>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</si>
  <si>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</si>
  <si>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</si>
  <si>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</si>
  <si>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</si>
  <si>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</si>
  <si>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</si>
  <si>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</si>
  <si>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</si>
  <si>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</si>
  <si>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</si>
  <si>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</si>
  <si>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</si>
  <si>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</si>
  <si>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</si>
  <si>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</si>
  <si>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</si>
  <si>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</si>
  <si>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</si>
  <si>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</si>
  <si>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</si>
  <si>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</si>
  <si>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</si>
  <si>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</si>
  <si>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</si>
  <si>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</si>
  <si>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</si>
  <si>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</si>
  <si>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</si>
  <si>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</si>
  <si>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</si>
  <si>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</si>
  <si>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</si>
  <si>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</si>
  <si>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</si>
  <si>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</si>
  <si>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</si>
  <si>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</si>
  <si>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</si>
  <si>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</si>
  <si>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</si>
  <si>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</si>
  <si>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</si>
  <si>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</si>
  <si>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</si>
  <si>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</si>
  <si>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</si>
  <si>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</si>
  <si>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</si>
  <si>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</si>
  <si>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</si>
  <si>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</si>
  <si>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</si>
  <si>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</si>
  <si>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</si>
  <si>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</si>
  <si>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</si>
  <si>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</si>
  <si>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</si>
  <si>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</si>
  <si>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</si>
  <si>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</si>
  <si>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</si>
  <si>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</si>
  <si>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</si>
  <si>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</si>
  <si>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</si>
  <si>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</si>
  <si>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</si>
  <si>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</si>
  <si>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</si>
  <si>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</si>
  <si>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</si>
  <si>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</si>
  <si>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</si>
  <si>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</si>
  <si>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</si>
  <si>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</si>
  <si>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</si>
  <si>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</si>
  <si>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</si>
  <si>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</si>
  <si>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</si>
  <si>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</si>
  <si>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</si>
  <si>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</si>
  <si>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</si>
  <si>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</si>
  <si>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</si>
  <si>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</si>
  <si>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</si>
  <si>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</si>
  <si>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</si>
  <si>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</si>
  <si>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</si>
  <si>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</si>
  <si>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</si>
  <si>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</si>
  <si>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</si>
  <si>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</si>
  <si>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</si>
  <si>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</si>
  <si>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</si>
  <si>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</si>
  <si>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</si>
  <si>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</si>
  <si>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</si>
  <si>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</si>
  <si>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</si>
  <si>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</si>
  <si>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</si>
  <si>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</si>
  <si>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</si>
  <si>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</si>
  <si>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</si>
  <si>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</si>
  <si>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</si>
  <si>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</si>
  <si>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</si>
  <si>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</si>
  <si>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</si>
  <si>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</si>
  <si>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</si>
  <si>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</si>
  <si>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</si>
  <si>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</si>
  <si>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</si>
  <si>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</si>
  <si>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</si>
  <si>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</si>
  <si>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</si>
  <si>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</si>
  <si>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</si>
  <si>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</si>
  <si>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</si>
  <si>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</si>
  <si>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</si>
  <si>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</si>
  <si>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</si>
  <si>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</si>
  <si>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</si>
  <si>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</si>
  <si>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</si>
  <si>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</si>
  <si>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</si>
  <si>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</si>
  <si>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</si>
  <si>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</si>
  <si>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</si>
  <si>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</si>
  <si>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</si>
  <si>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</si>
  <si>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</si>
  <si>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</si>
  <si>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</si>
  <si>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</si>
  <si>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</si>
  <si>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</si>
  <si>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</si>
  <si>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</si>
  <si>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</si>
  <si>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</si>
  <si>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</si>
  <si>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</si>
  <si>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</si>
  <si>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</si>
  <si>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</si>
  <si>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</si>
  <si>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</si>
  <si>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</si>
  <si>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</si>
  <si>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</si>
  <si>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</si>
  <si>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</si>
  <si>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</si>
  <si>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</si>
  <si>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</si>
  <si>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</si>
  <si>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</si>
  <si>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</si>
  <si>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</si>
  <si>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</si>
  <si>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</si>
  <si>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</si>
  <si>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</si>
  <si>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</si>
  <si>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</si>
  <si>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</si>
  <si>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</si>
  <si>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</si>
  <si>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</si>
  <si>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</si>
  <si>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</si>
  <si>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</si>
  <si>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</si>
  <si>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</si>
  <si>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</si>
  <si>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</si>
  <si>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</si>
  <si>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</si>
  <si>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</si>
  <si>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</si>
  <si>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</si>
  <si>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</si>
  <si>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</si>
  <si>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</si>
  <si>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</si>
  <si>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</si>
  <si>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</si>
  <si>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</si>
  <si>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</si>
  <si>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</si>
  <si>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</si>
  <si>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</si>
  <si>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</si>
  <si>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</si>
  <si>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</si>
  <si>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</si>
  <si>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</si>
  <si>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</si>
  <si>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</si>
  <si>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</si>
  <si>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</si>
  <si>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</si>
  <si>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</si>
  <si>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</si>
  <si>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</si>
  <si>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</si>
  <si>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</si>
  <si>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</si>
  <si>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</si>
  <si>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</si>
  <si>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</si>
  <si>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</si>
  <si>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</si>
  <si>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</si>
  <si>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</si>
  <si>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</si>
  <si>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</si>
  <si>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</si>
  <si>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</si>
  <si>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</si>
  <si>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</si>
  <si>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</si>
  <si>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</si>
  <si>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</si>
  <si>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</si>
  <si>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</si>
  <si>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</si>
  <si>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</si>
  <si>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</si>
  <si>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</si>
  <si>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</si>
  <si>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</si>
  <si>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</si>
  <si>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</si>
  <si>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</si>
  <si>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</si>
  <si>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</si>
  <si>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</si>
  <si>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</si>
  <si>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</si>
  <si>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</si>
  <si>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</si>
  <si>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</si>
  <si>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</si>
  <si>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</si>
  <si>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</si>
  <si>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</si>
  <si>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</si>
  <si>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</si>
  <si>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</si>
  <si>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</si>
  <si>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</si>
  <si>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</si>
  <si>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</si>
  <si>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</si>
  <si>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</si>
  <si>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</si>
  <si>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</si>
  <si>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</si>
  <si>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</si>
  <si>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</si>
  <si>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</si>
  <si>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</si>
  <si>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</si>
  <si>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</si>
  <si>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</si>
  <si>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</si>
  <si>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</si>
  <si>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</si>
  <si>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</si>
  <si>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</si>
  <si>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</si>
  <si>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</si>
  <si>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</si>
  <si>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</si>
  <si>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</si>
  <si>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</si>
  <si>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</si>
  <si>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</si>
  <si>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</si>
  <si>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</si>
  <si>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</si>
  <si>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</si>
  <si>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</si>
  <si>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</si>
  <si>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</si>
  <si>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</si>
  <si>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</si>
  <si>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</si>
  <si>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</si>
  <si>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</si>
  <si>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</si>
  <si>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</si>
  <si>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</si>
  <si>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</si>
  <si>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</si>
  <si>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</si>
  <si>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</si>
  <si>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</si>
  <si>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</si>
  <si>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</si>
  <si>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</si>
  <si>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</si>
  <si>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</si>
  <si>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</si>
  <si>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</si>
  <si>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</si>
  <si>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</si>
  <si>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</si>
  <si>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</si>
  <si>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</si>
  <si>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</si>
  <si>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</si>
  <si>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</si>
  <si>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</si>
  <si>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</si>
  <si>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</si>
  <si>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</si>
  <si>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</si>
  <si>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</si>
  <si>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</si>
  <si>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</si>
  <si>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</si>
  <si>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</si>
  <si>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</si>
  <si>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</si>
  <si>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</si>
  <si>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</si>
  <si>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</si>
  <si>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</si>
  <si>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</si>
  <si>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</si>
  <si>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</si>
  <si>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</si>
  <si>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</si>
  <si>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</si>
  <si>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</si>
  <si>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</si>
  <si>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</si>
  <si>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</si>
  <si>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</si>
  <si>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</si>
  <si>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</si>
  <si>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</si>
  <si>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</si>
  <si>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</si>
  <si>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</si>
  <si>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</si>
  <si>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</si>
  <si>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</si>
  <si>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</si>
  <si>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</si>
  <si>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</si>
  <si>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</si>
  <si>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</si>
  <si>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</si>
  <si>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</si>
  <si>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</si>
  <si>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</si>
  <si>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</si>
  <si>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</si>
  <si>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</si>
  <si>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</si>
  <si>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</si>
  <si>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</si>
  <si>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</si>
  <si>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</si>
  <si>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</si>
  <si>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</si>
  <si>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</si>
  <si>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</si>
  <si>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</si>
  <si>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</si>
  <si>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</si>
  <si>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</si>
  <si>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</si>
  <si>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</si>
  <si>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</si>
  <si>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</si>
  <si>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</si>
  <si>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</si>
  <si>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</si>
  <si>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</si>
  <si>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</si>
  <si>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</si>
  <si>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</si>
  <si>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</si>
  <si>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</si>
  <si>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</si>
  <si>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</si>
  <si>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</si>
  <si>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</si>
  <si>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</si>
  <si>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</si>
  <si>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</si>
  <si>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</si>
  <si>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</si>
  <si>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</si>
  <si>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</si>
  <si>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</si>
  <si>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</si>
  <si>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</si>
  <si>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</si>
  <si>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</si>
  <si>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</si>
  <si>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</si>
  <si>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</si>
  <si>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</si>
  <si>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</si>
  <si>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</si>
  <si>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</si>
  <si>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</si>
  <si>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</si>
  <si>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</si>
  <si>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</si>
  <si>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</si>
  <si>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</si>
  <si>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</si>
  <si>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</si>
  <si>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</si>
  <si>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</si>
  <si>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</si>
  <si>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</si>
  <si>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</si>
  <si>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</si>
  <si>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</si>
  <si>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</si>
  <si>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</si>
  <si>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</si>
  <si>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</si>
  <si>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</si>
  <si>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</si>
  <si>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</si>
  <si>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</si>
  <si>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</si>
  <si>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</si>
  <si>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</si>
  <si>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</si>
  <si>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</si>
  <si>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</si>
  <si>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</si>
  <si>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</si>
  <si>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</si>
  <si>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</si>
  <si>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</si>
  <si>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</si>
  <si>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</si>
  <si>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</si>
  <si>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</si>
  <si>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</si>
  <si>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</si>
  <si>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</si>
  <si>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</si>
  <si>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</si>
  <si>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</si>
  <si>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</si>
  <si>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</si>
  <si>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</si>
  <si>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</si>
  <si>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</si>
  <si>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</si>
  <si>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</si>
  <si>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</si>
  <si>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</si>
  <si>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</si>
  <si>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</si>
  <si>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</si>
  <si>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</si>
  <si>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</si>
  <si>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</si>
  <si>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</si>
  <si>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</si>
  <si>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</si>
  <si>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</si>
  <si>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</si>
  <si>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</si>
  <si>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</si>
  <si>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</si>
  <si>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</si>
  <si>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</si>
  <si>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</si>
  <si>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</si>
  <si>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</si>
  <si>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</si>
  <si>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</si>
  <si>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</si>
  <si>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</si>
  <si>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</si>
  <si>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</si>
  <si>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</si>
  <si>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</si>
  <si>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</si>
  <si>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</si>
  <si>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</si>
  <si>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</si>
  <si>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</si>
  <si>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</si>
  <si>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</si>
  <si>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</si>
  <si>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</si>
  <si>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</si>
  <si>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</si>
  <si>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</si>
  <si>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</si>
  <si>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</si>
  <si>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</si>
  <si>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</si>
  <si>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</si>
  <si>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</si>
  <si>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</si>
  <si>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</si>
  <si>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</si>
  <si>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</si>
  <si>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</si>
  <si>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</si>
  <si>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</si>
  <si>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</si>
  <si>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</si>
  <si>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</si>
  <si>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</si>
  <si>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</si>
  <si>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</si>
  <si>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</si>
  <si>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</si>
  <si>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</si>
  <si>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</si>
  <si>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</si>
  <si>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</si>
  <si>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</si>
  <si>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</si>
  <si>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</si>
  <si>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</si>
  <si>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</si>
  <si>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</si>
  <si>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</si>
  <si>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</si>
  <si>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</si>
  <si>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</si>
  <si>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</si>
  <si>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</si>
  <si>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</si>
  <si>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</si>
  <si>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</si>
  <si>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</si>
  <si>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</si>
  <si>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</si>
  <si>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</si>
  <si>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</si>
  <si>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</si>
  <si>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</si>
  <si>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</si>
  <si>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</si>
  <si>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</si>
  <si>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</si>
  <si>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</si>
  <si>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</si>
  <si>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</si>
  <si>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</si>
  <si>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</si>
  <si>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</si>
  <si>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</si>
  <si>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</si>
  <si>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</si>
  <si>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</si>
  <si>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</si>
  <si>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</si>
  <si>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</si>
  <si>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</si>
  <si>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</si>
  <si>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</si>
  <si>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</si>
  <si>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</si>
  <si>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</si>
  <si>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</si>
  <si>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</si>
  <si>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</si>
  <si>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</si>
  <si>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</si>
  <si>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</si>
  <si>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</si>
  <si>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</si>
  <si>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</si>
  <si>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</si>
  <si>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</si>
  <si>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</si>
  <si>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</si>
  <si>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</si>
  <si>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</si>
  <si>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</si>
  <si>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</si>
  <si>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</si>
  <si>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</si>
  <si>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</si>
  <si>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</si>
  <si>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</si>
  <si>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</si>
  <si>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</si>
  <si>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</si>
  <si>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</si>
  <si>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</si>
  <si>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</si>
  <si>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</si>
  <si>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</si>
  <si>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</si>
  <si>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</si>
  <si>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</si>
  <si>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</si>
  <si>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</si>
  <si>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</si>
  <si>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</si>
  <si>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</si>
  <si>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</si>
  <si>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</si>
  <si>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</si>
  <si>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</si>
  <si>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</si>
  <si>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</si>
  <si>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</si>
  <si>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</si>
  <si>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</si>
  <si>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</si>
  <si>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</si>
  <si>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</si>
  <si>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</si>
  <si>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</si>
  <si>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</si>
  <si>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</si>
  <si>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</si>
  <si>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</si>
  <si>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</si>
  <si>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</si>
  <si>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</si>
  <si>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</si>
  <si>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</si>
  <si>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</si>
  <si>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</si>
  <si>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</si>
  <si>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</si>
  <si>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</si>
  <si>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</si>
  <si>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</si>
  <si>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</si>
  <si>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</si>
  <si>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</si>
  <si>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</si>
  <si>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</si>
  <si>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</si>
  <si>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</si>
  <si>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</si>
  <si>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</si>
  <si>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</si>
  <si>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</si>
  <si>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</si>
  <si>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</si>
  <si>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</si>
  <si>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</si>
  <si>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</si>
  <si>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</si>
  <si>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</si>
  <si>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</si>
  <si>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</si>
  <si>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</si>
  <si>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</si>
  <si>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</si>
  <si>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</si>
  <si>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</si>
  <si>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</si>
  <si>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</si>
  <si>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</si>
  <si>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</si>
  <si>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</si>
  <si>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</si>
  <si>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</si>
  <si>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</si>
  <si>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</si>
  <si>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</si>
  <si>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</si>
  <si>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</si>
  <si>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</si>
  <si>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</si>
  <si>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</si>
  <si>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</si>
  <si>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</si>
  <si>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</si>
  <si>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</si>
  <si>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</si>
  <si>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</si>
  <si>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</si>
  <si>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</si>
  <si>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</si>
  <si>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</si>
  <si>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</si>
  <si>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</si>
  <si>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</si>
  <si>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</si>
  <si>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</si>
  <si>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</si>
  <si>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</si>
  <si>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</si>
  <si>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</si>
  <si>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</si>
  <si>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</si>
  <si>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</si>
  <si>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</si>
  <si>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</si>
  <si>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</si>
  <si>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</si>
  <si>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</si>
  <si>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</si>
  <si>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</si>
  <si>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</si>
  <si>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</si>
  <si>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</si>
  <si>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</si>
  <si>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</si>
  <si>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</si>
  <si>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</si>
  <si>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</si>
  <si>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</si>
  <si>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</si>
  <si>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</si>
  <si>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</si>
  <si>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</si>
  <si>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</si>
  <si>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</si>
  <si>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</si>
  <si>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</si>
  <si>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</si>
  <si>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</si>
  <si>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</si>
  <si>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</si>
  <si>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</si>
  <si>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</si>
  <si>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</si>
  <si>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</si>
  <si>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</si>
  <si>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</si>
  <si>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</si>
  <si>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</si>
  <si>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</si>
  <si>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</si>
  <si>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</si>
  <si>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</si>
  <si>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</si>
  <si>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</si>
  <si>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</si>
  <si>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</si>
  <si>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</si>
  <si>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</si>
  <si>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</si>
  <si>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</si>
  <si>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</si>
  <si>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</si>
  <si>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</si>
  <si>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</si>
  <si>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</si>
  <si>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</si>
  <si>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</si>
  <si>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</si>
  <si>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</si>
  <si>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</si>
  <si>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</si>
  <si>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</si>
  <si>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</si>
  <si>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</si>
  <si>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</si>
  <si>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</si>
  <si>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</si>
  <si>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</si>
  <si>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</si>
  <si>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</si>
  <si>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</si>
  <si>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</si>
  <si>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</si>
  <si>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</si>
  <si>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</si>
  <si>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</si>
  <si>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</si>
  <si>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</si>
  <si>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</si>
  <si>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</si>
  <si>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</si>
  <si>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</si>
  <si>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</si>
  <si>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</si>
  <si>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</si>
  <si>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</si>
  <si>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</si>
  <si>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</si>
  <si>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</si>
  <si>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</si>
  <si>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</si>
  <si>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</si>
  <si>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</si>
  <si>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</si>
  <si>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</si>
  <si>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</si>
  <si>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</si>
  <si>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</si>
  <si>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</si>
  <si>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</si>
  <si>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</si>
  <si>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</si>
  <si>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</si>
  <si>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</si>
  <si>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</si>
  <si>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</si>
  <si>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</si>
  <si>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</si>
  <si>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</si>
  <si>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</si>
  <si>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</si>
  <si>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</si>
  <si>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</si>
  <si>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</si>
  <si>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</si>
  <si>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</si>
  <si>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</si>
  <si>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</si>
  <si>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</si>
  <si>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</si>
  <si>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</si>
  <si>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</si>
  <si>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</si>
  <si>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</si>
  <si>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</si>
  <si>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</si>
  <si>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</si>
  <si>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</si>
  <si>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</si>
  <si>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</si>
  <si>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</si>
  <si>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</si>
  <si>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</si>
  <si>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</si>
  <si>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</si>
  <si>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</si>
  <si>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</si>
  <si>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</si>
  <si>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</si>
  <si>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</si>
  <si>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</si>
  <si>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</si>
  <si>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</si>
  <si>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</si>
  <si>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</si>
  <si>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</si>
  <si>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</si>
  <si>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</si>
  <si>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</si>
  <si>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</si>
  <si>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</si>
  <si>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</si>
  <si>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</si>
  <si>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</si>
  <si>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</si>
  <si>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</si>
  <si>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</si>
  <si>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</si>
  <si>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</si>
  <si>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</si>
  <si>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</si>
  <si>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</si>
  <si>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</si>
  <si>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</si>
  <si>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</si>
  <si>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</si>
  <si>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</si>
  <si>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</si>
  <si>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</si>
  <si>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</si>
  <si>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</si>
  <si>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</si>
  <si>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</si>
  <si>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</si>
  <si>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</si>
  <si>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</si>
  <si>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</si>
  <si>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</si>
  <si>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</si>
  <si>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</si>
  <si>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</si>
  <si>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</si>
  <si>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</si>
  <si>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</si>
  <si>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</si>
  <si>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</si>
  <si>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</si>
  <si>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</si>
  <si>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</si>
  <si>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</si>
  <si>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</si>
  <si>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</si>
  <si>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</si>
  <si>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</si>
  <si>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</si>
  <si>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</si>
  <si>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</si>
  <si>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</si>
  <si>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</si>
  <si>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</si>
  <si>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</si>
  <si>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</si>
  <si>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</si>
  <si>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</si>
  <si>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</si>
  <si>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</si>
  <si>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</si>
  <si>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</si>
  <si>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</si>
  <si>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</si>
  <si>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</si>
  <si>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</si>
  <si>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</si>
  <si>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</si>
  <si>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</si>
  <si>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</si>
  <si>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</si>
  <si>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</si>
  <si>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</si>
  <si>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</si>
  <si>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</si>
  <si>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</si>
  <si>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</si>
  <si>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</si>
  <si>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</si>
  <si>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</si>
  <si>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</si>
  <si>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</si>
  <si>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</si>
  <si>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</si>
  <si>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</si>
  <si>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</si>
  <si>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</si>
  <si>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</si>
  <si>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</si>
  <si>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</si>
  <si>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</si>
  <si>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</si>
  <si>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</si>
  <si>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</si>
  <si>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</si>
  <si>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</si>
  <si>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</si>
  <si>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</si>
  <si>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</si>
  <si>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</si>
  <si>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</si>
  <si>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</si>
  <si>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</si>
  <si>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</si>
  <si>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</si>
  <si>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</si>
  <si>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</si>
  <si>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</si>
  <si>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</si>
  <si>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</si>
  <si>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</si>
  <si>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</si>
  <si>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</si>
  <si>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</si>
  <si>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</si>
  <si>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</si>
  <si>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</si>
  <si>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</si>
  <si>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</si>
  <si>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</si>
  <si>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</si>
  <si>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</si>
  <si>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</si>
  <si>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</si>
  <si>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</si>
  <si>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</si>
  <si>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</si>
  <si>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</si>
  <si>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</si>
  <si>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</si>
  <si>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</si>
  <si>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</si>
  <si>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</si>
  <si>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</si>
  <si>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</si>
  <si>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</si>
  <si>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</si>
  <si>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</si>
  <si>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</si>
  <si>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</si>
  <si>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</si>
  <si>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</si>
  <si>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</si>
  <si>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</si>
  <si>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</si>
  <si>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</si>
  <si>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</si>
  <si>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</si>
  <si>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</si>
  <si>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</si>
  <si>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</si>
  <si>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</si>
  <si>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</si>
  <si>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</si>
  <si>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</si>
  <si>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</si>
  <si>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</si>
  <si>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</si>
  <si>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</si>
  <si>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</si>
  <si>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</si>
  <si>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</si>
  <si>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</si>
  <si>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</si>
  <si>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</si>
  <si>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</si>
  <si>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</si>
  <si>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</si>
  <si>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</si>
  <si>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</si>
  <si>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</si>
  <si>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</si>
  <si>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</si>
  <si>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</si>
  <si>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</si>
  <si>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</si>
  <si>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</si>
  <si>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</si>
  <si>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</si>
  <si>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</si>
  <si>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</si>
  <si>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</si>
  <si>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</si>
  <si>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</si>
  <si>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</si>
  <si>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</si>
  <si>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</si>
  <si>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</si>
  <si>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</si>
  <si>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</si>
  <si>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</si>
  <si>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</si>
  <si>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</si>
  <si>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</si>
  <si>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</si>
  <si>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</si>
  <si>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</si>
  <si>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</si>
  <si>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</si>
  <si>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</si>
  <si>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</si>
  <si>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</si>
  <si>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</si>
  <si>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</si>
  <si>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</si>
  <si>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</si>
  <si>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</si>
  <si>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</si>
  <si>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</si>
  <si>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</si>
  <si>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</si>
  <si>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</si>
  <si>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</si>
  <si>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</si>
  <si>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</si>
  <si>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</si>
  <si>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</si>
  <si>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</si>
  <si>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</si>
  <si>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</si>
  <si>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</si>
  <si>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</si>
  <si>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</si>
  <si>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</si>
  <si>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</si>
  <si>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</si>
  <si>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</si>
  <si>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</si>
  <si>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</si>
  <si>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</si>
  <si>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</si>
  <si>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</si>
  <si>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</si>
  <si>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</si>
  <si>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</si>
  <si>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</si>
  <si>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</si>
  <si>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</si>
  <si>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</si>
  <si>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</si>
  <si>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</si>
  <si>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</si>
  <si>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</si>
  <si>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</si>
  <si>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</si>
  <si>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</si>
  <si>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</si>
  <si>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</si>
  <si>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</si>
  <si>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</si>
  <si>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</si>
  <si>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</si>
  <si>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</si>
  <si>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</si>
  <si>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</si>
  <si>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</si>
  <si>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</si>
  <si>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</si>
  <si>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</si>
  <si>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</si>
  <si>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</si>
  <si>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</si>
  <si>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</si>
  <si>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</si>
  <si>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</si>
  <si>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</si>
  <si>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</si>
  <si>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</si>
  <si>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</si>
  <si>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</si>
  <si>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</si>
  <si>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</si>
  <si>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</si>
  <si>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</si>
  <si>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</si>
  <si>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</si>
  <si>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</si>
  <si>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</si>
  <si>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</si>
  <si>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</si>
  <si>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</si>
  <si>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</si>
  <si>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</si>
  <si>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</si>
  <si>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</si>
  <si>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</si>
  <si>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</si>
  <si>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</si>
  <si>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</si>
  <si>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</si>
  <si>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</si>
  <si>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</si>
  <si>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</si>
  <si>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</si>
  <si>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</si>
  <si>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</si>
  <si>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</si>
  <si>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</si>
  <si>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</si>
  <si>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</si>
  <si>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</si>
  <si>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</si>
  <si>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</si>
  <si>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</si>
  <si>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</si>
  <si>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</si>
  <si>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</si>
  <si>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</si>
  <si>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</si>
  <si>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</si>
  <si>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</si>
  <si>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</si>
  <si>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</si>
  <si>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</si>
  <si>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</si>
  <si>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</si>
  <si>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</si>
  <si>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</si>
  <si>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</si>
  <si>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</si>
  <si>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</si>
  <si>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</si>
  <si>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</si>
  <si>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</si>
  <si>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</si>
  <si>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</si>
  <si>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</si>
  <si>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</si>
  <si>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</si>
  <si>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</si>
  <si>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</si>
  <si>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</si>
  <si>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</si>
  <si>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</si>
  <si>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</si>
  <si>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</si>
  <si>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</si>
  <si>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</si>
  <si>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</si>
  <si>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</si>
  <si>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</si>
  <si>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</si>
  <si>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</si>
  <si>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</si>
  <si>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</si>
  <si>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</si>
  <si>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</si>
  <si>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</si>
  <si>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</si>
  <si>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</si>
  <si>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</si>
  <si>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</si>
  <si>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</si>
  <si>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</si>
  <si>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</si>
  <si>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</si>
  <si>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</si>
  <si>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</si>
  <si>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</si>
  <si>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</si>
  <si>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</si>
  <si>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</si>
  <si>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</si>
  <si>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</si>
  <si>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</si>
  <si>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</si>
  <si>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</si>
  <si>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</si>
  <si>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</si>
  <si>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</si>
  <si>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</si>
  <si>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</si>
  <si>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</si>
  <si>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</si>
  <si>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</si>
  <si>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</si>
  <si>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</si>
  <si>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</si>
  <si>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</si>
  <si>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</si>
  <si>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</si>
  <si>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</si>
  <si>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</si>
  <si>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</si>
  <si>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</si>
  <si>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</si>
  <si>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</si>
  <si>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</si>
  <si>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</si>
  <si>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</si>
  <si>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</si>
  <si>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</si>
  <si>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</si>
  <si>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</si>
  <si>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</si>
  <si>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</si>
  <si>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</si>
  <si>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</si>
  <si>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</si>
  <si>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</si>
  <si>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</si>
  <si>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</si>
  <si>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</si>
  <si>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</si>
  <si>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</si>
  <si>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</si>
  <si>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</si>
  <si>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</si>
  <si>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</si>
  <si>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</si>
  <si>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</si>
  <si>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</si>
  <si>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</si>
  <si>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</si>
  <si>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</si>
  <si>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</si>
  <si>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</si>
  <si>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</si>
  <si>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</si>
  <si>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</si>
  <si>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</si>
  <si>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</si>
  <si>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</si>
  <si>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</si>
  <si>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</si>
  <si>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</si>
  <si>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</si>
  <si>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</si>
  <si>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</si>
  <si>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</si>
  <si>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</si>
  <si>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</si>
  <si>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</si>
  <si>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</si>
  <si>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</si>
  <si>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</si>
  <si>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</si>
  <si>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</si>
  <si>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</si>
  <si>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</si>
  <si>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</si>
  <si>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</si>
  <si>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</si>
  <si>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</si>
  <si>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</si>
  <si>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</si>
  <si>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</si>
  <si>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</si>
  <si>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</si>
  <si>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</si>
  <si>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</si>
  <si>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</si>
  <si>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</si>
  <si>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</si>
  <si>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</si>
  <si>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</si>
  <si>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</si>
  <si>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</si>
  <si>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</si>
  <si>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</si>
  <si>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</si>
  <si>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</si>
  <si>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</si>
  <si>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</si>
  <si>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</si>
  <si>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</si>
  <si>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</si>
  <si>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</si>
  <si>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</si>
  <si>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</si>
  <si>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</si>
  <si>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</si>
  <si>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</si>
  <si>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</si>
  <si>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</si>
  <si>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</si>
  <si>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</si>
  <si>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</si>
  <si>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</si>
  <si>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</si>
  <si>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</si>
  <si>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</si>
  <si>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</si>
  <si>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</si>
  <si>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</si>
  <si>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</si>
  <si>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</si>
  <si>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</si>
  <si>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</si>
  <si>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</si>
  <si>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</si>
  <si>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</si>
  <si>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</si>
  <si>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</si>
  <si>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</si>
  <si>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</si>
  <si>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</si>
  <si>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</si>
  <si>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</si>
  <si>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</si>
  <si>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</si>
  <si>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</si>
  <si>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</si>
  <si>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</si>
  <si>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</si>
  <si>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</si>
  <si>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</si>
  <si>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</si>
  <si>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</si>
  <si>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</si>
  <si>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</si>
  <si>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</si>
  <si>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</si>
  <si>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</si>
  <si>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</si>
  <si>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</si>
  <si>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</si>
  <si>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</si>
  <si>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</si>
  <si>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</si>
  <si>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</si>
  <si>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</si>
  <si>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</si>
  <si>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</si>
  <si>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</si>
  <si>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</si>
  <si>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</si>
  <si>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</si>
  <si>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</si>
  <si>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</si>
  <si>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</si>
  <si>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</si>
  <si>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</si>
  <si>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</si>
  <si>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</si>
  <si>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</si>
  <si>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</si>
  <si>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</si>
  <si>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</si>
  <si>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</si>
  <si>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</si>
  <si>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</si>
  <si>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</si>
  <si>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</si>
  <si>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</si>
  <si>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</si>
  <si>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</si>
  <si>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</si>
  <si>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</si>
  <si>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</si>
  <si>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</si>
  <si>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</si>
  <si>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</si>
  <si>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</si>
  <si>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</si>
  <si>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</si>
  <si>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</si>
  <si>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</si>
  <si>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</si>
  <si>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</si>
  <si>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</si>
  <si>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</si>
  <si>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</si>
  <si>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</si>
  <si>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</si>
  <si>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</si>
  <si>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</si>
  <si>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</si>
  <si>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</si>
  <si>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</si>
  <si>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</si>
  <si>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</si>
  <si>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</si>
  <si>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</si>
  <si>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</si>
  <si>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</si>
  <si>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</si>
  <si>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</si>
  <si>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</si>
  <si>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</si>
  <si>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</si>
  <si>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</si>
  <si>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</si>
  <si>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</si>
  <si>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</si>
  <si>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</si>
  <si>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</si>
  <si>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</si>
  <si>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</si>
  <si>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</si>
  <si>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</si>
  <si>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</si>
  <si>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</si>
  <si>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</si>
  <si>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</si>
  <si>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</si>
  <si>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</si>
  <si>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</si>
  <si>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</si>
  <si>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</si>
  <si>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</si>
  <si>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</si>
  <si>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</si>
  <si>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</si>
  <si>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</si>
  <si>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</si>
  <si>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</si>
  <si>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</si>
  <si>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</si>
  <si>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</si>
  <si>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</si>
  <si>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</si>
  <si>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</si>
  <si>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</si>
  <si>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</si>
  <si>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</si>
  <si>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</si>
  <si>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</si>
  <si>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</si>
  <si>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</si>
  <si>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</si>
  <si>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</si>
  <si>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</si>
  <si>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</si>
  <si>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</si>
  <si>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</si>
  <si>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</si>
  <si>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</si>
  <si>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</si>
  <si>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</si>
  <si>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</si>
  <si>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</si>
  <si>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</si>
  <si>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</si>
  <si>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</si>
  <si>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</si>
  <si>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</si>
  <si>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</si>
  <si>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</si>
  <si>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</si>
  <si>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</si>
  <si>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</si>
  <si>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</si>
  <si>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</si>
  <si>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</si>
  <si>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</si>
  <si>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</si>
  <si>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</si>
  <si>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</si>
  <si>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</si>
  <si>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</si>
  <si>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</si>
  <si>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</si>
  <si>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</si>
  <si>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</si>
  <si>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</si>
  <si>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</si>
  <si>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</si>
  <si>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</si>
  <si>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</si>
  <si>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</si>
  <si>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</si>
  <si>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</si>
  <si>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</si>
  <si>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</si>
  <si>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</si>
  <si>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</si>
  <si>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</si>
  <si>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</si>
  <si>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</si>
  <si>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</si>
  <si>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</si>
  <si>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</si>
  <si>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</si>
  <si>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</si>
  <si>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</si>
  <si>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</si>
  <si>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</si>
  <si>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</si>
  <si>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</si>
  <si>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</si>
  <si>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</si>
  <si>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</si>
  <si>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</si>
  <si>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</si>
  <si>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</si>
  <si>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</si>
  <si>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</si>
  <si>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</si>
  <si>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</si>
  <si>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</si>
  <si>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</si>
  <si>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</si>
  <si>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</si>
  <si>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</si>
  <si>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</si>
  <si>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</si>
  <si>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</si>
  <si>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</si>
  <si>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</si>
  <si>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</si>
  <si>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</si>
  <si>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</si>
  <si>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</si>
  <si>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</si>
  <si>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</si>
  <si>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</si>
  <si>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</si>
  <si>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</si>
  <si>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</si>
  <si>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</si>
  <si>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</si>
  <si>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</si>
  <si>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</si>
  <si>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</si>
  <si>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</si>
  <si>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</si>
  <si>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</si>
  <si>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</si>
  <si>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</si>
  <si>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</si>
  <si>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</si>
  <si>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</si>
  <si>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</si>
  <si>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</si>
  <si>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</si>
  <si>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</si>
  <si>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</si>
  <si>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</si>
  <si>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</si>
  <si>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</si>
  <si>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</si>
  <si>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</si>
  <si>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</si>
  <si>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</si>
  <si>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</si>
  <si>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</si>
  <si>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</si>
  <si>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</si>
  <si>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</si>
  <si>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</si>
  <si>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</si>
  <si>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</si>
  <si>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</si>
  <si>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</si>
  <si>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</si>
  <si>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</si>
  <si>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</si>
  <si>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</si>
  <si>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</si>
  <si>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</si>
  <si>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</si>
  <si>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</si>
  <si>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</si>
  <si>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</si>
  <si>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</si>
  <si>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</si>
  <si>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</si>
  <si>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</si>
  <si>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</si>
  <si>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</si>
  <si>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</si>
  <si>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</si>
  <si>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</si>
  <si>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</si>
  <si>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</si>
  <si>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</si>
  <si>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</si>
  <si>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</si>
  <si>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</si>
  <si>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</si>
  <si>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</si>
  <si>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</si>
  <si>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</si>
  <si>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</si>
  <si>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</si>
  <si>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</si>
  <si>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</si>
  <si>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</si>
  <si>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</si>
  <si>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</si>
  <si>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</si>
  <si>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</si>
  <si>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</si>
  <si>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</si>
  <si>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</si>
  <si>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</si>
  <si>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</si>
  <si>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</si>
  <si>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</si>
  <si>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</si>
  <si>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</si>
  <si>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</si>
  <si>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</si>
  <si>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</si>
  <si>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</si>
  <si>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</si>
  <si>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</si>
  <si>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</si>
  <si>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</si>
  <si>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</si>
  <si>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</si>
  <si>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</si>
  <si>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</si>
  <si>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</si>
  <si>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</si>
  <si>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</si>
  <si>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</si>
  <si>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</si>
  <si>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</si>
  <si>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</si>
  <si>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</si>
  <si>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</si>
  <si>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</si>
  <si>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</si>
  <si>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</si>
  <si>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</si>
  <si>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</si>
  <si>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</si>
  <si>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</si>
  <si>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</si>
  <si>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</si>
  <si>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</si>
  <si>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</si>
  <si>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</si>
  <si>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</si>
  <si>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</si>
  <si>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</si>
  <si>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</si>
  <si>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</si>
  <si>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</si>
  <si>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</si>
  <si>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</si>
  <si>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</si>
  <si>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</si>
  <si>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</si>
  <si>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</si>
  <si>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</si>
  <si>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</si>
  <si>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</si>
  <si>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</si>
  <si>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</si>
  <si>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</si>
  <si>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</si>
  <si>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</si>
  <si>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</si>
  <si>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</si>
  <si>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</si>
  <si>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</si>
  <si>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</si>
  <si>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</si>
  <si>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</si>
  <si>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</si>
  <si>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</si>
  <si>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</si>
  <si>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</si>
  <si>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</si>
  <si>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</si>
  <si>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</si>
  <si>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</si>
  <si>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</si>
  <si>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</si>
  <si>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</si>
  <si>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</si>
  <si>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</si>
  <si>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</si>
  <si>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</si>
  <si>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</si>
  <si>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</si>
  <si>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</si>
  <si>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</si>
  <si>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</si>
  <si>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</si>
  <si>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</si>
  <si>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</si>
  <si>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</si>
  <si>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</si>
  <si>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</si>
  <si>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</si>
  <si>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</si>
  <si>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</si>
  <si>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</si>
  <si>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</si>
  <si>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</si>
  <si>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</si>
  <si>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</si>
  <si>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</si>
  <si>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</si>
  <si>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</si>
  <si>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</si>
  <si>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</si>
  <si>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</si>
  <si>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</si>
  <si>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</si>
  <si>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</si>
  <si>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</si>
  <si>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</si>
  <si>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</si>
  <si>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</si>
  <si>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</si>
  <si>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</si>
  <si>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</si>
  <si>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</si>
  <si>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</si>
  <si>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</si>
  <si>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</si>
  <si>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</si>
  <si>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</si>
  <si>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</si>
  <si>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</si>
  <si>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</si>
  <si>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</si>
  <si>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</si>
  <si>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</si>
  <si>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</si>
  <si>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</si>
  <si>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</si>
  <si>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</si>
  <si>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</si>
  <si>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</si>
  <si>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</si>
  <si>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</si>
  <si>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</si>
  <si>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</si>
  <si>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</si>
  <si>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</si>
  <si>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</si>
  <si>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</si>
  <si>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</si>
  <si>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</si>
  <si>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</si>
  <si>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</si>
  <si>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</si>
  <si>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</si>
  <si>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</si>
  <si>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</si>
  <si>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</si>
  <si>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</si>
  <si>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</si>
  <si>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</si>
  <si>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</si>
  <si>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</si>
  <si>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</si>
  <si>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</si>
  <si>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</si>
  <si>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</si>
  <si>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</si>
  <si>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</si>
  <si>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</si>
  <si>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</si>
  <si>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</si>
  <si>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</si>
  <si>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</si>
  <si>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</si>
  <si>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</si>
  <si>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</si>
  <si>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</si>
  <si>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</si>
  <si>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</si>
  <si>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</si>
  <si>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</si>
  <si>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</si>
  <si>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</si>
  <si>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</si>
  <si>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</si>
  <si>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</si>
  <si>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</si>
  <si>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</si>
  <si>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</si>
  <si>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</si>
  <si>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</si>
  <si>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</si>
  <si>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</si>
  <si>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</si>
  <si>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</si>
  <si>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</si>
  <si>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</si>
  <si>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</si>
  <si>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</si>
  <si>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</si>
  <si>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</si>
  <si>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</si>
  <si>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</si>
  <si>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</si>
  <si>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</si>
  <si>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</si>
  <si>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</si>
  <si>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</si>
  <si>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</si>
  <si>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</si>
  <si>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</si>
  <si>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</si>
  <si>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</si>
  <si>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</si>
  <si>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</si>
  <si>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</si>
  <si>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</si>
  <si>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</si>
  <si>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</si>
  <si>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</si>
  <si>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</si>
  <si>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</si>
  <si>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</si>
  <si>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</si>
  <si>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</si>
  <si>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</si>
  <si>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</si>
  <si>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</si>
  <si>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</si>
  <si>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</si>
  <si>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</si>
  <si>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</si>
  <si>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</si>
  <si>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</si>
  <si>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</si>
  <si>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</si>
  <si>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</si>
  <si>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</si>
  <si>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</si>
  <si>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</si>
  <si>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</si>
  <si>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</si>
  <si>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</si>
  <si>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</si>
  <si>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</si>
  <si>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</si>
  <si>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</si>
  <si>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</si>
  <si>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</si>
  <si>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</si>
  <si>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</si>
  <si>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</si>
  <si>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</si>
  <si>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</si>
  <si>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</si>
  <si>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</si>
  <si>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</si>
  <si>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</si>
  <si>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</si>
  <si>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</si>
  <si>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</si>
  <si>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</si>
  <si>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</si>
  <si>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</si>
  <si>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</si>
  <si>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</si>
  <si>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</si>
  <si>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</si>
  <si>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</si>
  <si>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</si>
  <si>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</si>
  <si>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</si>
  <si>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</si>
  <si>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</si>
  <si>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</si>
  <si>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</si>
  <si>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</si>
  <si>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</si>
  <si>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</si>
  <si>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</si>
  <si>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</si>
  <si>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</si>
  <si>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</si>
  <si>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</si>
  <si>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</si>
  <si>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</si>
  <si>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</si>
  <si>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</si>
  <si>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</si>
  <si>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</si>
  <si>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</si>
  <si>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</si>
  <si>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</si>
  <si>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</si>
  <si>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</si>
  <si>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</si>
  <si>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</si>
  <si>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</si>
  <si>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</si>
  <si>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</si>
  <si>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</si>
  <si>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</si>
  <si>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</si>
  <si>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</si>
  <si>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</si>
  <si>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</si>
  <si>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</si>
  <si>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</si>
  <si>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</si>
  <si>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</si>
  <si>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</si>
  <si>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</si>
  <si>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</si>
  <si>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</si>
  <si>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</si>
  <si>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</si>
  <si>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</si>
  <si>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</si>
  <si>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</si>
  <si>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</si>
  <si>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</si>
  <si>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</si>
  <si>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</si>
  <si>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</si>
  <si>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</si>
  <si>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</si>
  <si>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</si>
  <si>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</si>
  <si>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</si>
  <si>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</si>
  <si>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</si>
  <si>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</si>
  <si>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</si>
  <si>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</si>
  <si>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</si>
  <si>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</si>
  <si>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</si>
  <si>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</si>
  <si>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</si>
  <si>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</si>
  <si>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</si>
  <si>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</si>
  <si>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</si>
  <si>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</si>
  <si>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</si>
  <si>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</si>
  <si>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</si>
  <si>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</si>
  <si>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</si>
  <si>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</si>
  <si>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</si>
  <si>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</si>
  <si>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</si>
  <si>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</si>
  <si>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</si>
  <si>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</si>
  <si>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</si>
  <si>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</si>
  <si>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</si>
  <si>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</si>
  <si>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</si>
  <si>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</si>
  <si>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</si>
  <si>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</si>
  <si>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</si>
  <si>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</si>
  <si>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</si>
  <si>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</si>
  <si>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</si>
  <si>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</si>
  <si>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</si>
  <si>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</si>
  <si>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</si>
  <si>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</si>
  <si>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</si>
  <si>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</si>
  <si>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</si>
  <si>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</si>
  <si>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</si>
  <si>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</si>
  <si>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</si>
  <si>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</si>
  <si>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</si>
  <si>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</si>
  <si>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</si>
  <si>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</si>
  <si>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</si>
  <si>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</si>
  <si>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</si>
  <si>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</si>
  <si>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</si>
  <si>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</si>
  <si>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</si>
  <si>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</si>
  <si>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</si>
  <si>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</si>
  <si>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</si>
  <si>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</si>
  <si>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</si>
  <si>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</si>
  <si>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</si>
  <si>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</si>
  <si>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</si>
  <si>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</si>
  <si>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</si>
  <si>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</si>
  <si>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</si>
  <si>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</si>
  <si>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</si>
  <si>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</si>
  <si>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</si>
  <si>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</si>
  <si>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</si>
  <si>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</si>
  <si>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</si>
  <si>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</si>
  <si>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</si>
  <si>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</si>
  <si>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</si>
  <si>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</si>
  <si>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</si>
  <si>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</si>
  <si>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</si>
  <si>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</si>
  <si>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</si>
  <si>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</si>
  <si>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</si>
  <si>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</si>
  <si>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</si>
  <si>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</si>
  <si>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</si>
  <si>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</si>
  <si>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</si>
  <si>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</si>
  <si>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</si>
  <si>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</si>
  <si>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</si>
  <si>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</si>
  <si>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</si>
  <si>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</si>
  <si>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</si>
  <si>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</si>
  <si>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</si>
  <si>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</si>
  <si>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</si>
  <si>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</si>
  <si>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</si>
  <si>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</si>
  <si>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</si>
  <si>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</si>
  <si>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</si>
  <si>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</si>
  <si>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</si>
  <si>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</si>
  <si>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</si>
  <si>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</si>
  <si>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</si>
  <si>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</si>
  <si>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</si>
  <si>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</si>
  <si>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</si>
  <si>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</si>
  <si>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</si>
  <si>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</si>
  <si>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</si>
  <si>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</si>
  <si>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</si>
  <si>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</si>
  <si>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</si>
  <si>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</si>
  <si>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</si>
  <si>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</si>
  <si>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</si>
  <si>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</si>
  <si>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</si>
  <si>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</si>
  <si>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</si>
  <si>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</si>
  <si>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</si>
  <si>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</si>
  <si>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</si>
  <si>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</si>
  <si>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</si>
  <si>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</si>
  <si>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</si>
  <si>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</si>
  <si>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</si>
  <si>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</si>
  <si>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</si>
  <si>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</si>
  <si>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</si>
  <si>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</si>
  <si>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</si>
  <si>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</si>
  <si>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</si>
  <si>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</si>
  <si>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</si>
  <si>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</si>
  <si>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</si>
  <si>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</si>
  <si>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</si>
  <si>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</si>
  <si>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</si>
  <si>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</si>
  <si>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</si>
  <si>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</si>
  <si>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</si>
  <si>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</si>
  <si>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</si>
  <si>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</si>
  <si>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</si>
  <si>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</si>
  <si>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</si>
  <si>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</si>
  <si>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</si>
  <si>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</si>
  <si>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</si>
  <si>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</si>
  <si>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</si>
  <si>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</si>
  <si>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</si>
  <si>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</si>
  <si>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</si>
  <si>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</si>
  <si>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</si>
  <si>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</si>
  <si>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</si>
  <si>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</si>
  <si>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</si>
  <si>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</si>
  <si>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</si>
  <si>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</si>
  <si>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</si>
  <si>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</si>
  <si>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</si>
  <si>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</si>
  <si>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</si>
  <si>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</si>
  <si>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</si>
  <si>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</si>
  <si>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</si>
  <si>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</si>
  <si>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</si>
  <si>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</si>
  <si>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</si>
  <si>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</si>
  <si>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</si>
  <si>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</si>
  <si>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</si>
  <si>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</si>
  <si>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</si>
  <si>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</si>
  <si>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</si>
  <si>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</si>
  <si>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</si>
  <si>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</si>
  <si>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</si>
  <si>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</si>
  <si>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</si>
  <si>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</si>
  <si>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</si>
  <si>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</si>
  <si>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</si>
  <si>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</si>
  <si>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</si>
  <si>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</si>
  <si>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</si>
  <si>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</si>
  <si>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</si>
  <si>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</si>
  <si>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</si>
  <si>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</si>
  <si>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</si>
  <si>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</si>
  <si>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</si>
  <si>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</si>
  <si>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</si>
  <si>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</si>
  <si>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</si>
  <si>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</si>
  <si>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</si>
  <si>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</si>
  <si>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</si>
  <si>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</si>
  <si>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</si>
  <si>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</si>
  <si>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</si>
  <si>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</si>
  <si>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</si>
  <si>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</si>
  <si>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</si>
  <si>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</si>
  <si>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</si>
  <si>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</si>
  <si>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</si>
  <si>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</si>
  <si>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</si>
  <si>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</si>
  <si>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</si>
  <si>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</si>
  <si>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</si>
  <si>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</si>
  <si>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</si>
  <si>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</si>
  <si>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</si>
  <si>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</si>
  <si>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</si>
  <si>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</si>
  <si>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</si>
  <si>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</si>
  <si>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</si>
  <si>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</si>
  <si>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</si>
  <si>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</si>
  <si>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</si>
  <si>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</si>
  <si>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</si>
  <si>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</si>
  <si>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</si>
  <si>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</si>
  <si>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</si>
  <si>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</si>
  <si>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</si>
  <si>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</si>
  <si>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</si>
  <si>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</si>
  <si>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</si>
  <si>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</si>
  <si>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</si>
  <si>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</si>
  <si>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</si>
  <si>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</si>
  <si>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</si>
  <si>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</si>
  <si>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</si>
  <si>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</si>
  <si>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</si>
  <si>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</si>
  <si>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</si>
  <si>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</si>
  <si>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</si>
  <si>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</si>
  <si>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</si>
  <si>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</si>
  <si>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</si>
  <si>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</si>
  <si>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</si>
  <si>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</si>
  <si>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</si>
  <si>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</si>
  <si>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</si>
  <si>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</si>
  <si>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</si>
  <si>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</si>
  <si>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</si>
  <si>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</si>
  <si>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</si>
  <si>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</si>
  <si>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</si>
  <si>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</si>
  <si>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</si>
  <si>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</si>
  <si>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</si>
  <si>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</si>
  <si>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</si>
  <si>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</si>
  <si>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</si>
  <si>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</si>
  <si>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</si>
  <si>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</si>
  <si>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</si>
  <si>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</si>
  <si>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</si>
  <si>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</si>
  <si>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</si>
  <si>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</si>
  <si>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</si>
  <si>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</si>
  <si>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</si>
  <si>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</si>
  <si>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</si>
  <si>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</si>
  <si>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</si>
  <si>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</si>
  <si>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</si>
  <si>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</si>
  <si>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</si>
  <si>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</si>
  <si>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</si>
  <si>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</si>
  <si>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</si>
  <si>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</si>
  <si>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</si>
  <si>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</si>
  <si>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</si>
  <si>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</si>
  <si>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</si>
  <si>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</si>
  <si>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</si>
  <si>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</si>
  <si>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</si>
  <si>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</si>
  <si>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</si>
  <si>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</si>
  <si>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</si>
  <si>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</si>
  <si>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</si>
  <si>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</si>
  <si>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</si>
  <si>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</si>
  <si>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</si>
  <si>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</si>
  <si>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</si>
  <si>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</si>
  <si>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</si>
  <si>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</si>
  <si>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</si>
  <si>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</si>
  <si>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</si>
  <si>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</si>
  <si>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</si>
  <si>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</si>
  <si>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</si>
  <si>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</si>
  <si>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</si>
  <si>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</si>
  <si>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</si>
  <si>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</si>
  <si>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</si>
  <si>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</si>
  <si>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</si>
  <si>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</si>
  <si>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</si>
  <si>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</si>
  <si>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</si>
  <si>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</si>
  <si>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</si>
  <si>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</si>
  <si>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</si>
  <si>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</si>
  <si>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</si>
  <si>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</si>
  <si>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</si>
  <si>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</si>
  <si>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</si>
  <si>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</si>
  <si>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</si>
  <si>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</si>
  <si>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</si>
  <si>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</si>
  <si>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</si>
  <si>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</si>
  <si>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</si>
  <si>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</si>
  <si>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</si>
  <si>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</si>
  <si>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</si>
  <si>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</si>
  <si>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</si>
  <si>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</si>
  <si>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</si>
  <si>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</si>
  <si>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</si>
  <si>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</si>
  <si>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</si>
  <si>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</si>
  <si>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</si>
  <si>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</si>
  <si>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</si>
  <si>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</si>
  <si>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</si>
  <si>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</si>
  <si>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</si>
  <si>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</si>
  <si>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</si>
  <si>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</si>
  <si>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</si>
  <si>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</si>
  <si>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</si>
  <si>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</si>
  <si>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</si>
  <si>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</si>
  <si>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</si>
  <si>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</si>
  <si>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</si>
  <si>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</si>
  <si>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</si>
  <si>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</si>
  <si>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</si>
  <si>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</si>
  <si>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</si>
  <si>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</si>
  <si>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</si>
  <si>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</si>
  <si>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</si>
  <si>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</si>
  <si>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</si>
  <si>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</si>
  <si>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</si>
  <si>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</si>
  <si>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</si>
  <si>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</si>
  <si>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</si>
  <si>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</si>
  <si>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</si>
  <si>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</si>
  <si>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</si>
  <si>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</si>
  <si>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</si>
  <si>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</si>
  <si>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</si>
  <si>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</si>
  <si>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</si>
  <si>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</si>
  <si>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</si>
  <si>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</si>
  <si>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</si>
  <si>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</si>
  <si>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</si>
  <si>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</si>
  <si>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</si>
  <si>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</si>
  <si>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</si>
  <si>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</si>
  <si>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</si>
  <si>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</si>
  <si>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</si>
  <si>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</si>
  <si>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</si>
  <si>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</si>
  <si>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</si>
  <si>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</si>
  <si>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</si>
  <si>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</si>
  <si>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</si>
  <si>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</si>
  <si>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</si>
  <si>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</si>
  <si>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</si>
  <si>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</si>
  <si>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</si>
  <si>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</si>
  <si>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</si>
  <si>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</si>
  <si>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</si>
  <si>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</si>
  <si>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</si>
  <si>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</si>
  <si>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</si>
  <si>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</si>
  <si>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</si>
  <si>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</si>
  <si>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</si>
  <si>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</si>
  <si>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</si>
  <si>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</si>
  <si>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</si>
  <si>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</si>
  <si>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</si>
  <si>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</si>
  <si>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</si>
  <si>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</si>
  <si>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</si>
  <si>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</si>
  <si>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</si>
  <si>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</si>
  <si>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</si>
  <si>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</si>
  <si>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</si>
  <si>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</si>
  <si>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</si>
  <si>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</si>
  <si>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</si>
  <si>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</si>
  <si>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</si>
  <si>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</si>
  <si>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</si>
  <si>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</si>
  <si>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</si>
  <si>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</si>
  <si>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</si>
  <si>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</si>
  <si>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</si>
  <si>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</si>
  <si>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</si>
  <si>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</si>
  <si>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</si>
  <si>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</si>
  <si>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</si>
  <si>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</si>
  <si>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</si>
  <si>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</si>
  <si>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</si>
  <si>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</si>
  <si>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</si>
  <si>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</si>
  <si>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</si>
  <si>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</si>
  <si>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</si>
  <si>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</si>
  <si>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</si>
  <si>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</si>
  <si>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</si>
  <si>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</si>
  <si>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</si>
  <si>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</si>
  <si>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</si>
  <si>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</si>
  <si>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</si>
  <si>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</si>
  <si>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</si>
  <si>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</si>
  <si>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</si>
  <si>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</si>
  <si>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</si>
  <si>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</si>
  <si>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</si>
  <si>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</si>
  <si>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</si>
  <si>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</si>
  <si>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</si>
  <si>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</si>
  <si>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</si>
  <si>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</si>
  <si>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</si>
  <si>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</si>
  <si>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</si>
  <si>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</si>
  <si>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</si>
  <si>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</si>
  <si>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</si>
  <si>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</si>
  <si>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</si>
  <si>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</si>
  <si>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</si>
  <si>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</si>
  <si>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</si>
  <si>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</si>
  <si>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</si>
  <si>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</si>
  <si>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</si>
  <si>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</si>
  <si>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</si>
  <si>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</si>
  <si>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</si>
  <si>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</si>
  <si>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</si>
  <si>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</si>
  <si>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</si>
  <si>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</si>
  <si>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</si>
  <si>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</si>
  <si>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</si>
  <si>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</si>
  <si>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</si>
  <si>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</si>
  <si>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</si>
  <si>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</si>
  <si>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</si>
  <si>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</si>
  <si>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</si>
  <si>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</si>
  <si>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</si>
  <si>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</si>
  <si>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</si>
  <si>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</si>
  <si>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</si>
  <si>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</si>
  <si>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</si>
  <si>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</si>
  <si>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</si>
  <si>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</si>
  <si>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</si>
  <si>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</si>
  <si>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</si>
  <si>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</si>
  <si>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</si>
  <si>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</si>
  <si>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</si>
  <si>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</si>
  <si>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</si>
  <si>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</si>
  <si>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</si>
  <si>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</si>
  <si>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</si>
  <si>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</si>
  <si>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</si>
  <si>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</si>
  <si>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</si>
  <si>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</si>
  <si>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</si>
  <si>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</si>
  <si>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</si>
  <si>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</si>
  <si>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</si>
  <si>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</si>
  <si>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</si>
  <si>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</si>
  <si>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</si>
  <si>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</si>
  <si>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</si>
  <si>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</si>
  <si>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</si>
  <si>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</si>
  <si>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</si>
  <si>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</si>
  <si>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</si>
  <si>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</si>
  <si>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</si>
  <si>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</si>
  <si>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</si>
  <si>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</si>
  <si>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</si>
  <si>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</si>
  <si>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</si>
  <si>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</si>
  <si>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</si>
  <si>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</si>
  <si>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</si>
  <si>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</si>
  <si>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</si>
  <si>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</si>
  <si>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</si>
  <si>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</si>
  <si>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</si>
  <si>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</si>
  <si>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</si>
  <si>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</si>
  <si>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</si>
  <si>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</si>
  <si>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</si>
  <si>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</si>
  <si>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</si>
  <si>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</si>
  <si>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</si>
  <si>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</si>
  <si>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</si>
  <si>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</si>
  <si>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</si>
  <si>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</si>
  <si>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</si>
  <si>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</si>
  <si>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</si>
  <si>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</si>
  <si>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</si>
  <si>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</si>
  <si>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</si>
  <si>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</si>
  <si>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</si>
  <si>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</si>
  <si>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</si>
  <si>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</si>
  <si>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</si>
  <si>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</si>
  <si>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</si>
  <si>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</si>
  <si>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</si>
  <si>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</si>
  <si>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</si>
  <si>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</si>
  <si>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</si>
  <si>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</si>
  <si>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</si>
  <si>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</si>
  <si>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</si>
  <si>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</si>
  <si>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</si>
  <si>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</si>
  <si>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</si>
  <si>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</si>
  <si>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</si>
  <si>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</si>
  <si>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</si>
  <si>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</si>
  <si>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</si>
  <si>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</si>
  <si>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</si>
  <si>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</si>
  <si>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</si>
  <si>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</si>
  <si>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</si>
  <si>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</si>
  <si>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</si>
  <si>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</si>
  <si>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</si>
  <si>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</si>
  <si>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</si>
  <si>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</si>
  <si>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</si>
  <si>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</si>
  <si>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</si>
  <si>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</si>
  <si>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</si>
  <si>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</si>
  <si>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</si>
  <si>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</si>
  <si>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</si>
  <si>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</si>
  <si>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</si>
  <si>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</si>
  <si>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</si>
  <si>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</si>
  <si>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</si>
  <si>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</si>
  <si>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</si>
  <si>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</si>
  <si>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</si>
  <si>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</si>
  <si>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</si>
  <si>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</si>
  <si>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</si>
  <si>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</si>
  <si>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</si>
  <si>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</si>
  <si>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</si>
  <si>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</si>
  <si>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</si>
  <si>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</si>
  <si>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</si>
  <si>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</si>
  <si>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</si>
  <si>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</si>
  <si>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</si>
  <si>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</si>
  <si>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</si>
  <si>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</si>
  <si>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</si>
  <si>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</si>
  <si>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</si>
  <si>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</si>
  <si>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</si>
  <si>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</si>
  <si>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</si>
  <si>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</si>
  <si>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</si>
  <si>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</si>
  <si>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</si>
  <si>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</si>
  <si>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</si>
  <si>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</si>
  <si>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</si>
  <si>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</si>
  <si>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</si>
  <si>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</si>
  <si>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</si>
  <si>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</si>
  <si>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</si>
  <si>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</si>
  <si>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</si>
  <si>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</si>
  <si>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</si>
  <si>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</si>
  <si>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</si>
  <si>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</si>
  <si>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</si>
  <si>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</si>
  <si>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</si>
  <si>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</si>
  <si>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</si>
  <si>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</si>
  <si>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</si>
  <si>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</si>
  <si>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</si>
  <si>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</si>
  <si>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</si>
  <si>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</si>
  <si>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</si>
  <si>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</si>
  <si>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</si>
  <si>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</si>
  <si>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</si>
  <si>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</si>
  <si>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</si>
  <si>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</si>
  <si>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</si>
  <si>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</si>
  <si>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</si>
  <si>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</si>
  <si>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</si>
  <si>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</si>
  <si>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</si>
  <si>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</si>
  <si>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</si>
  <si>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</si>
  <si>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</si>
  <si>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</si>
  <si>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</si>
  <si>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</si>
  <si>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</si>
  <si>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</si>
  <si>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</si>
  <si>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</si>
  <si>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</si>
  <si>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</si>
  <si>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</si>
  <si>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</si>
  <si>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</si>
  <si>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</si>
  <si>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</si>
  <si>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</si>
  <si>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</si>
  <si>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</si>
  <si>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</si>
  <si>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</si>
  <si>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</si>
  <si>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</si>
  <si>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</si>
  <si>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</si>
  <si>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</si>
  <si>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</si>
  <si>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</si>
  <si>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</si>
  <si>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</si>
  <si>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</si>
  <si>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</si>
  <si>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</si>
  <si>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</si>
  <si>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</si>
  <si>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</si>
  <si>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</si>
  <si>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</si>
  <si>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</si>
  <si>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</si>
  <si>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</si>
  <si>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</si>
  <si>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</si>
  <si>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</si>
  <si>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</si>
  <si>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</si>
  <si>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</si>
  <si>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</si>
  <si>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</si>
  <si>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</si>
  <si>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</si>
  <si>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</si>
  <si>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</si>
  <si>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</si>
  <si>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</si>
  <si>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</si>
  <si>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</si>
  <si>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</si>
  <si>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</si>
  <si>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</si>
  <si>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</si>
  <si>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</si>
  <si>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</si>
  <si>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</si>
  <si>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</si>
  <si>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</si>
  <si>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</si>
  <si>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</si>
  <si>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</si>
  <si>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</si>
  <si>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</si>
  <si>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</si>
  <si>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</si>
  <si>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</si>
  <si>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</si>
  <si>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</si>
  <si>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</si>
  <si>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</si>
  <si>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</si>
  <si>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</si>
  <si>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</si>
  <si>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</si>
  <si>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</si>
  <si>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</si>
  <si>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</si>
  <si>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</si>
  <si>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</si>
  <si>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</si>
  <si>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</si>
  <si>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</si>
  <si>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</si>
  <si>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</si>
  <si>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</si>
  <si>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</si>
  <si>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</si>
  <si>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</si>
  <si>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</si>
  <si>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</si>
  <si>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</si>
  <si>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</si>
  <si>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</si>
  <si>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</si>
  <si>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</si>
  <si>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</si>
  <si>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</si>
  <si>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</si>
  <si>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</si>
  <si>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</si>
  <si>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</si>
  <si>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</si>
  <si>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</si>
  <si>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</si>
  <si>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</si>
  <si>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</si>
  <si>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</si>
  <si>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r>
      <t>X京房权证通字第</t>
    </r>
    <r>
      <rPr>
        <sz val="11"/>
        <color theme="1"/>
        <rFont val="宋体"/>
        <family val="3"/>
        <charset val="134"/>
        <scheme val="minor"/>
      </rPr>
      <t>1519848号</t>
    </r>
    <phoneticPr fontId="134" type="noConversion"/>
  </si>
  <si>
    <t>北京万国利达资产运营有限公司</t>
    <phoneticPr fontId="134" type="noConversion"/>
  </si>
  <si>
    <t>通州区翠平西路2号</t>
    <phoneticPr fontId="134" type="noConversion"/>
  </si>
  <si>
    <t>商业</t>
    <phoneticPr fontId="134" type="noConversion"/>
  </si>
  <si>
    <t>总层数</t>
    <phoneticPr fontId="134" type="noConversion"/>
  </si>
  <si>
    <r>
      <t>3</t>
    </r>
    <r>
      <rPr>
        <sz val="11"/>
        <color theme="1"/>
        <rFont val="宋体"/>
        <family val="3"/>
        <charset val="134"/>
        <scheme val="minor"/>
      </rPr>
      <t>5（-02）</t>
    </r>
    <phoneticPr fontId="134" type="noConversion"/>
  </si>
  <si>
    <t>所在层次</t>
    <phoneticPr fontId="134" type="noConversion"/>
  </si>
  <si>
    <t>地下1层</t>
    <phoneticPr fontId="134" type="noConversion"/>
  </si>
  <si>
    <t>部位及房号</t>
    <phoneticPr fontId="134" type="noConversion"/>
  </si>
  <si>
    <t>地下商业</t>
    <phoneticPr fontId="134" type="noConversion"/>
  </si>
  <si>
    <t>商业1</t>
    <phoneticPr fontId="134" type="noConversion"/>
  </si>
  <si>
    <t>商业2</t>
    <phoneticPr fontId="134" type="noConversion"/>
  </si>
  <si>
    <t>结构</t>
    <phoneticPr fontId="134" type="noConversion"/>
  </si>
  <si>
    <t>钢混</t>
    <phoneticPr fontId="134" type="noConversion"/>
  </si>
  <si>
    <t>建成年份</t>
    <phoneticPr fontId="134" type="noConversion"/>
  </si>
  <si>
    <t>套数</t>
    <phoneticPr fontId="134" type="noConversion"/>
  </si>
  <si>
    <t>建筑面积</t>
    <phoneticPr fontId="134" type="noConversion"/>
  </si>
  <si>
    <t>分摊占地面积</t>
    <phoneticPr fontId="134" type="noConversion"/>
  </si>
  <si>
    <t>X京房权证通字第1519849号</t>
    <phoneticPr fontId="134" type="noConversion"/>
  </si>
  <si>
    <t>通州区翠平西路4、6、8号</t>
    <phoneticPr fontId="134" type="noConversion"/>
  </si>
  <si>
    <t>18(-02)</t>
    <phoneticPr fontId="134" type="noConversion"/>
  </si>
  <si>
    <t>商业3</t>
    <phoneticPr fontId="134" type="noConversion"/>
  </si>
  <si>
    <t>商业4</t>
    <phoneticPr fontId="134" type="noConversion"/>
  </si>
  <si>
    <t>京房权证通字第1015608号</t>
    <phoneticPr fontId="134" type="noConversion"/>
  </si>
  <si>
    <t>通州区通朝大街202、204、206号和208、210、212号</t>
    <phoneticPr fontId="134" type="noConversion"/>
  </si>
  <si>
    <t>18(-01)</t>
    <phoneticPr fontId="134" type="noConversion"/>
  </si>
  <si>
    <r>
      <t>2</t>
    </r>
    <r>
      <rPr>
        <sz val="11"/>
        <color theme="1"/>
        <rFont val="宋体"/>
        <family val="3"/>
        <charset val="134"/>
        <scheme val="minor"/>
      </rPr>
      <t>02、204、206</t>
    </r>
    <phoneticPr fontId="134" type="noConversion"/>
  </si>
  <si>
    <r>
      <t>2</t>
    </r>
    <r>
      <rPr>
        <sz val="11"/>
        <color theme="1"/>
        <rFont val="宋体"/>
        <family val="3"/>
        <charset val="134"/>
        <scheme val="minor"/>
      </rPr>
      <t>08、210、212</t>
    </r>
    <phoneticPr fontId="134" type="noConversion"/>
  </si>
  <si>
    <t>坐落</t>
    <phoneticPr fontId="134" type="noConversion"/>
  </si>
  <si>
    <t>房屋所有权人</t>
    <phoneticPr fontId="134" type="noConversion"/>
  </si>
  <si>
    <t>房屋所有权证</t>
    <phoneticPr fontId="134" type="noConversion"/>
  </si>
  <si>
    <t>房本1</t>
    <phoneticPr fontId="134" type="noConversion"/>
  </si>
  <si>
    <t>房本2</t>
    <phoneticPr fontId="134" type="noConversion"/>
  </si>
  <si>
    <t>房本3</t>
    <phoneticPr fontId="134" type="noConversion"/>
  </si>
  <si>
    <t>https://bj.58.com/shangpu/85239412982875x.shtml?PGTID=0d006b31-0000-013a-212b-6a3f657049ab&amp;ClickID=22</t>
    <phoneticPr fontId="134" type="noConversion"/>
  </si>
  <si>
    <t>https://bj.58.com/shangpu/85128679919195x.shtml?PGTID=0d006b31-0000-013a-212b-6a3f657049ab&amp;ClickID=18</t>
  </si>
  <si>
    <r>
      <t>1</t>
    </r>
    <r>
      <rPr>
        <sz val="11"/>
        <color theme="1"/>
        <rFont val="宋体"/>
        <family val="3"/>
        <charset val="134"/>
        <scheme val="minor"/>
      </rPr>
      <t>-2层</t>
    </r>
    <phoneticPr fontId="134" type="noConversion"/>
  </si>
  <si>
    <t>https://shangye.lianjia.com/bj/sp_rent/101128691869.html?tags=%E4%B8%9A%E4%B8%BB%E4%BB%98%E4%BD%A3%2C%E6%9C%89%E5%85%8D%E7%A7%9F%E6%9C%9F%2C%E8%BF%91%E5%9C%B0%E9%93%81%2C%E6%9C%89%E4%BE%9B%E6%9A%96%2C%E5%8F%AF%E6%B3%A8%E5%86%8C%2C%E5%8F%AF%E5%88%86%E5%89%B2%2C%E4%B8%8B%E6%B0%B4%2C%E4%B8%8A%E6%B0%B4%2C380v</t>
    <phoneticPr fontId="134" type="noConversion"/>
  </si>
  <si>
    <t>1层</t>
    <phoneticPr fontId="134" type="noConversion"/>
  </si>
  <si>
    <t>案例1</t>
    <phoneticPr fontId="134" type="noConversion"/>
  </si>
  <si>
    <t>案例2</t>
    <phoneticPr fontId="134" type="noConversion"/>
  </si>
  <si>
    <t>案例3</t>
    <phoneticPr fontId="134" type="noConversion"/>
  </si>
  <si>
    <t>修正到1层</t>
    <phoneticPr fontId="134" type="noConversion"/>
  </si>
  <si>
    <t>2层</t>
    <phoneticPr fontId="134" type="noConversion"/>
  </si>
  <si>
    <t>https://shangye.lianjia.com/bj/sp_rent/101133111811.html?tags=%E4%B8%9A%E4%B8%BB%E4%BB%98%E4%BD%A3%2C%E6%9C%89%E5%85%8D%E7%A7%9F%E6%9C%9F%2C%E8%BF%91%E5%9C%B0%E9%93%81%2C%E6%9C%89%E4%BE%9B%E6%9A%96%2C%E7%B2%BE%E8%A3%85%E4%BF%AE%2C%E5%8F%AF%E6%B3%A8%E5%86%8C%2C%E4%B8%8B%E6%B0%B4%2C%E4%B8%8A%E6%B0%B4%2C380v</t>
  </si>
  <si>
    <t>https://bj.58.com/shangpu/85063722533853x.shtml?PGTID=0d006b31-0000-054f-5f88-bb28a490c5fb&amp;ClickID=7</t>
  </si>
  <si>
    <t>https://bj.58.com/shangpu/81732277151964x.shtml?PGTID=0d006b31-0000-054f-5f88-bb28a490c5fb&amp;ClickID=9</t>
  </si>
  <si>
    <t>https://bj.58.com/shangpu/82687341638877x.shtml?PGTID=0d006b31-0000-054f-5f88-bb28a490c5fb&amp;ClickID=12</t>
  </si>
  <si>
    <t>成新度</t>
  </si>
  <si>
    <t>北京通</t>
    <phoneticPr fontId="6" type="noConversion"/>
  </si>
  <si>
    <t>是</t>
  </si>
  <si>
    <t>商业项目</t>
  </si>
  <si>
    <t>现房</t>
  </si>
  <si>
    <t>地上</t>
  </si>
  <si>
    <t>地下</t>
  </si>
  <si>
    <t>建成年代</t>
    <phoneticPr fontId="3" type="noConversion"/>
  </si>
  <si>
    <t>产证</t>
    <phoneticPr fontId="3" type="noConversion"/>
  </si>
  <si>
    <t>直线</t>
    <phoneticPr fontId="3" type="noConversion"/>
  </si>
  <si>
    <t>观察</t>
    <phoneticPr fontId="3" type="noConversion"/>
  </si>
  <si>
    <t>综合</t>
    <phoneticPr fontId="3" type="noConversion"/>
  </si>
  <si>
    <t>九棵树街道</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</si>
  <si>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</si>
  <si>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</si>
  <si>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日租金</t>
    <phoneticPr fontId="3" type="noConversion"/>
  </si>
  <si>
    <t>系数</t>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</si>
  <si>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</si>
  <si>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</si>
  <si>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综合日租金</t>
    <phoneticPr fontId="3" type="noConversion"/>
  </si>
  <si>
    <t>合计</t>
    <phoneticPr fontId="3" type="noConversion"/>
  </si>
  <si>
    <t>押一</t>
  </si>
  <si>
    <t>钢混</t>
  </si>
  <si>
    <t>非生产用房</t>
  </si>
  <si>
    <t>否</t>
  </si>
  <si>
    <t>自定义容积率</t>
  </si>
  <si>
    <t>不临65条商业街</t>
  </si>
  <si>
    <t>按公示增长率计算</t>
  </si>
  <si>
    <t>中心城区以外</t>
  </si>
  <si>
    <t>与级别开发程度一致</t>
  </si>
  <si>
    <t>楼层修正</t>
  </si>
  <si>
    <t>未包含在土地购买价格中</t>
  </si>
  <si>
    <t>已包含在土地取得成本中</t>
  </si>
  <si>
    <t>全部缴纳</t>
  </si>
  <si>
    <t>成本法</t>
  </si>
  <si>
    <t>总价</t>
  </si>
  <si>
    <t>总建筑面积合计</t>
    <phoneticPr fontId="134" type="noConversion"/>
  </si>
  <si>
    <t>总分摊土地面积合计</t>
    <phoneticPr fontId="134" type="noConversion"/>
  </si>
  <si>
    <t>成本比率</t>
  </si>
  <si>
    <t>较好</t>
  </si>
  <si>
    <t>一般</t>
  </si>
  <si>
    <t>好</t>
  </si>
  <si>
    <t>地下面积</t>
    <phoneticPr fontId="134" type="noConversion"/>
  </si>
  <si>
    <t>地上面积</t>
    <phoneticPr fontId="134" type="noConversion"/>
  </si>
  <si>
    <t>房本1</t>
  </si>
  <si>
    <t>房本1</t>
    <phoneticPr fontId="3" type="noConversion"/>
  </si>
  <si>
    <r>
      <rPr>
        <sz val="10"/>
        <color indexed="8"/>
        <rFont val="宋体"/>
        <family val="3"/>
        <charset val="134"/>
      </rPr>
      <t>房本</t>
    </r>
    <r>
      <rPr>
        <sz val="10"/>
        <color indexed="8"/>
        <rFont val="Arial"/>
        <family val="2"/>
      </rPr>
      <t>2</t>
    </r>
    <phoneticPr fontId="3" type="noConversion"/>
  </si>
  <si>
    <r>
      <rPr>
        <sz val="10"/>
        <color indexed="8"/>
        <rFont val="宋体"/>
        <family val="3"/>
        <charset val="134"/>
      </rPr>
      <t>房本</t>
    </r>
    <r>
      <rPr>
        <sz val="10"/>
        <color indexed="8"/>
        <rFont val="Arial"/>
        <family val="2"/>
      </rPr>
      <t>3</t>
    </r>
    <phoneticPr fontId="3" type="noConversion"/>
  </si>
  <si>
    <t>房本1</t>
    <phoneticPr fontId="7" type="noConversion"/>
  </si>
  <si>
    <t>房本2</t>
  </si>
  <si>
    <t>房本2</t>
    <phoneticPr fontId="7" type="noConversion"/>
  </si>
  <si>
    <t>房本3</t>
  </si>
  <si>
    <t>房本3</t>
    <phoneticPr fontId="7" type="noConversion"/>
  </si>
  <si>
    <t>成本法房本1</t>
  </si>
  <si>
    <t>成本法房本1</t>
    <phoneticPr fontId="16" type="noConversion"/>
  </si>
  <si>
    <t>成本法房本2</t>
  </si>
  <si>
    <t>成本法房本2</t>
    <phoneticPr fontId="16" type="noConversion"/>
  </si>
  <si>
    <t>成本法房本3</t>
  </si>
  <si>
    <t>成本法房本3</t>
    <phoneticPr fontId="16" type="noConversion"/>
  </si>
  <si>
    <t>收益法房本1</t>
  </si>
  <si>
    <t>收益法房本1</t>
    <phoneticPr fontId="16" type="noConversion"/>
  </si>
  <si>
    <t>收益法房本2</t>
  </si>
  <si>
    <t>收益法房本2</t>
    <phoneticPr fontId="16" type="noConversion"/>
  </si>
  <si>
    <t>收益法房本3</t>
  </si>
  <si>
    <t>收益法房本3</t>
    <phoneticPr fontId="16" type="noConversion"/>
  </si>
  <si>
    <t>房本1</t>
    <phoneticPr fontId="3" type="noConversion"/>
  </si>
  <si>
    <r>
      <rPr>
        <sz val="10"/>
        <color indexed="8"/>
        <rFont val="宋体"/>
        <family val="3"/>
        <charset val="134"/>
      </rPr>
      <t>房本</t>
    </r>
    <r>
      <rPr>
        <sz val="10"/>
        <color indexed="8"/>
        <rFont val="Arial"/>
        <family val="2"/>
      </rPr>
      <t>2</t>
    </r>
    <phoneticPr fontId="3" type="noConversion"/>
  </si>
  <si>
    <r>
      <rPr>
        <sz val="10"/>
        <color indexed="8"/>
        <rFont val="宋体"/>
        <family val="3"/>
        <charset val="134"/>
      </rPr>
      <t>房本</t>
    </r>
    <r>
      <rPr>
        <sz val="10"/>
        <color indexed="8"/>
        <rFont val="Arial"/>
        <family val="2"/>
      </rPr>
      <t>3</t>
    </r>
    <phoneticPr fontId="3" type="noConversion"/>
  </si>
  <si>
    <r>
      <rPr>
        <sz val="10"/>
        <color theme="9" tint="-0.249977111117893"/>
        <rFont val="宋体"/>
        <family val="3"/>
        <charset val="134"/>
      </rPr>
      <t>通州区翠平西路</t>
    </r>
    <r>
      <rPr>
        <sz val="10"/>
        <color theme="9" tint="-0.249977111117893"/>
        <rFont val="Arial"/>
        <family val="2"/>
      </rPr>
      <t>2</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t>
    </r>
    <r>
      <rPr>
        <sz val="10"/>
        <color theme="9" tint="-0.249977111117893"/>
        <rFont val="Arial"/>
        <family val="2"/>
      </rPr>
      <t>8</t>
    </r>
    <r>
      <rPr>
        <sz val="10"/>
        <color theme="9" tint="-0.249977111117893"/>
        <rFont val="宋体"/>
        <family val="3"/>
        <charset val="134"/>
      </rPr>
      <t>号；通朝大街</t>
    </r>
    <r>
      <rPr>
        <sz val="10"/>
        <color theme="9" tint="-0.249977111117893"/>
        <rFont val="Arial"/>
        <family val="2"/>
      </rPr>
      <t>202</t>
    </r>
    <r>
      <rPr>
        <sz val="10"/>
        <color theme="9" tint="-0.249977111117893"/>
        <rFont val="宋体"/>
        <family val="3"/>
        <charset val="134"/>
      </rPr>
      <t>、</t>
    </r>
    <r>
      <rPr>
        <sz val="10"/>
        <color theme="9" tint="-0.249977111117893"/>
        <rFont val="Arial"/>
        <family val="2"/>
      </rPr>
      <t>204</t>
    </r>
    <r>
      <rPr>
        <sz val="10"/>
        <color theme="9" tint="-0.249977111117893"/>
        <rFont val="宋体"/>
        <family val="3"/>
        <charset val="134"/>
      </rPr>
      <t>、</t>
    </r>
    <r>
      <rPr>
        <sz val="10"/>
        <color theme="9" tint="-0.249977111117893"/>
        <rFont val="Arial"/>
        <family val="2"/>
      </rPr>
      <t>206</t>
    </r>
    <r>
      <rPr>
        <sz val="10"/>
        <color theme="9" tint="-0.249977111117893"/>
        <rFont val="宋体"/>
        <family val="3"/>
        <charset val="134"/>
      </rPr>
      <t>号、</t>
    </r>
    <r>
      <rPr>
        <sz val="10"/>
        <color theme="9" tint="-0.249977111117893"/>
        <rFont val="Arial"/>
        <family val="2"/>
      </rPr>
      <t>208</t>
    </r>
    <r>
      <rPr>
        <sz val="10"/>
        <color theme="9" tint="-0.249977111117893"/>
        <rFont val="宋体"/>
        <family val="3"/>
        <charset val="134"/>
      </rPr>
      <t>、</t>
    </r>
    <r>
      <rPr>
        <sz val="10"/>
        <color theme="9" tint="-0.249977111117893"/>
        <rFont val="Arial"/>
        <family val="2"/>
      </rPr>
      <t>210</t>
    </r>
    <r>
      <rPr>
        <sz val="10"/>
        <color theme="9" tint="-0.249977111117893"/>
        <rFont val="宋体"/>
        <family val="3"/>
        <charset val="134"/>
      </rPr>
      <t>、</t>
    </r>
    <r>
      <rPr>
        <sz val="10"/>
        <color theme="9" tint="-0.249977111117893"/>
        <rFont val="Arial"/>
        <family val="2"/>
      </rPr>
      <t>212</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</si>
</sst>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color indexed="8"/>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272" fillId="0" borderId="0" xfId="19">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0" borderId="0" xfId="0" applyFill="1">
      <alignment vertical="center"/>
    </xf>
    <xf numFmtId="183" fontId="77" fillId="0" borderId="1" xfId="0" applyNumberFormat="1" applyFont="1" applyBorder="1" applyAlignment="1" applyProtection="1">
      <alignment horizontal="center" vertical="center" shrinkToFit="1"/>
      <protection locked="0"/>
    </xf>
    <xf numFmtId="0" fontId="0" fillId="0" borderId="1" xfId="0" applyBorder="1">
      <alignment vertical="center"/>
    </xf>
    <xf numFmtId="0" fontId="95" fillId="0" borderId="1" xfId="0" applyFont="1" applyBorder="1">
      <alignment vertical="center"/>
    </xf>
    <xf numFmtId="0" fontId="95" fillId="5" borderId="1" xfId="0" applyFont="1" applyFill="1" applyBorder="1">
      <alignment vertical="center"/>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273"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0" fillId="5" borderId="15" xfId="0" applyFont="1" applyFill="1" applyBorder="1">
      <alignment vertical="center"/>
    </xf>
    <xf numFmtId="0" fontId="77" fillId="0" borderId="1" xfId="0" applyFont="1" applyBorder="1" applyAlignment="1" applyProtection="1">
      <alignment horizontal="center" vertical="center" wrapText="1"/>
      <protection locked="0"/>
    </xf>
    <xf numFmtId="0" fontId="273" fillId="0" borderId="1" xfId="0" applyFont="1" applyBorder="1" applyAlignment="1" applyProtection="1">
      <alignment vertical="center" wrapText="1"/>
      <protection locked="0"/>
    </xf>
    <xf numFmtId="49" fontId="274" fillId="12" borderId="4" xfId="0" applyNumberFormat="1" applyFont="1" applyFill="1" applyBorder="1" applyAlignment="1" applyProtection="1">
      <alignment horizontal="left"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7">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323850</xdr:colOff>
      <xdr:row>0</xdr:row>
      <xdr:rowOff>0</xdr:rowOff>
    </xdr:from>
    <xdr:to>
      <xdr:col>27</xdr:col>
      <xdr:colOff>204800</xdr:colOff>
      <xdr:row>16</xdr:row>
      <xdr:rowOff>61727</xdr:rowOff>
    </xdr:to>
    <xdr:pic>
      <xdr:nvPicPr>
        <xdr:cNvPr id="2" name="图片 1">
          <a:extLst>
            <a:ext uri="{FF2B5EF4-FFF2-40B4-BE49-F238E27FC236}">
              <a16:creationId xmlns:a16="http://schemas.microsoft.com/office/drawing/2014/main" id="{A84F10BD-77A5-58F3-02A9-A9F69555B016}"/>
            </a:ext>
          </a:extLst>
        </xdr:cNvPr>
        <xdr:cNvPicPr>
          <a:picLocks noChangeAspect="1"/>
        </xdr:cNvPicPr>
      </xdr:nvPicPr>
      <xdr:blipFill>
        <a:blip xmlns:r="http://schemas.openxmlformats.org/officeDocument/2006/relationships" r:embed="rId1"/>
        <a:stretch>
          <a:fillRect/>
        </a:stretch>
      </xdr:blipFill>
      <xdr:spPr>
        <a:xfrm>
          <a:off x="13436600" y="0"/>
          <a:ext cx="4148150" cy="2906527"/>
        </a:xfrm>
        <a:prstGeom prst="rect">
          <a:avLst/>
        </a:prstGeom>
      </xdr:spPr>
    </xdr:pic>
    <xdr:clientData/>
  </xdr:twoCellAnchor>
  <xdr:twoCellAnchor editAs="oneCell">
    <xdr:from>
      <xdr:col>5</xdr:col>
      <xdr:colOff>249624</xdr:colOff>
      <xdr:row>36</xdr:row>
      <xdr:rowOff>88900</xdr:rowOff>
    </xdr:from>
    <xdr:to>
      <xdr:col>27</xdr:col>
      <xdr:colOff>9630</xdr:colOff>
      <xdr:row>69</xdr:row>
      <xdr:rowOff>19050</xdr:rowOff>
    </xdr:to>
    <xdr:pic>
      <xdr:nvPicPr>
        <xdr:cNvPr id="3" name="图片 2">
          <a:extLst>
            <a:ext uri="{FF2B5EF4-FFF2-40B4-BE49-F238E27FC236}">
              <a16:creationId xmlns:a16="http://schemas.microsoft.com/office/drawing/2014/main" id="{CCA47606-0DAA-657D-D64E-EEE28F595BB2}"/>
            </a:ext>
          </a:extLst>
        </xdr:cNvPr>
        <xdr:cNvPicPr>
          <a:picLocks noChangeAspect="1"/>
        </xdr:cNvPicPr>
      </xdr:nvPicPr>
      <xdr:blipFill>
        <a:blip xmlns:r="http://schemas.openxmlformats.org/officeDocument/2006/relationships" r:embed="rId2"/>
        <a:stretch>
          <a:fillRect/>
        </a:stretch>
      </xdr:blipFill>
      <xdr:spPr>
        <a:xfrm>
          <a:off x="4218374" y="6489700"/>
          <a:ext cx="13609356" cy="5797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1</xdr:row>
      <xdr:rowOff>50800</xdr:rowOff>
    </xdr:from>
    <xdr:to>
      <xdr:col>13</xdr:col>
      <xdr:colOff>426359</xdr:colOff>
      <xdr:row>38</xdr:row>
      <xdr:rowOff>138386</xdr:rowOff>
    </xdr:to>
    <xdr:pic>
      <xdr:nvPicPr>
        <xdr:cNvPr id="2" name="图片 1">
          <a:extLst>
            <a:ext uri="{FF2B5EF4-FFF2-40B4-BE49-F238E27FC236}">
              <a16:creationId xmlns:a16="http://schemas.microsoft.com/office/drawing/2014/main" id="{662289F7-A39E-D1C3-A99A-742A26D22E64}"/>
            </a:ext>
          </a:extLst>
        </xdr:cNvPr>
        <xdr:cNvPicPr>
          <a:picLocks noChangeAspect="1"/>
        </xdr:cNvPicPr>
      </xdr:nvPicPr>
      <xdr:blipFill>
        <a:blip xmlns:r="http://schemas.openxmlformats.org/officeDocument/2006/relationships" r:embed="rId1"/>
        <a:stretch>
          <a:fillRect/>
        </a:stretch>
      </xdr:blipFill>
      <xdr:spPr>
        <a:xfrm>
          <a:off x="6350" y="228600"/>
          <a:ext cx="8344809" cy="6666186"/>
        </a:xfrm>
        <a:prstGeom prst="rect">
          <a:avLst/>
        </a:prstGeom>
      </xdr:spPr>
    </xdr:pic>
    <xdr:clientData/>
  </xdr:twoCellAnchor>
  <xdr:twoCellAnchor editAs="oneCell">
    <xdr:from>
      <xdr:col>0</xdr:col>
      <xdr:colOff>0</xdr:colOff>
      <xdr:row>42</xdr:row>
      <xdr:rowOff>133350</xdr:rowOff>
    </xdr:from>
    <xdr:to>
      <xdr:col>14</xdr:col>
      <xdr:colOff>438688</xdr:colOff>
      <xdr:row>84</xdr:row>
      <xdr:rowOff>103443</xdr:rowOff>
    </xdr:to>
    <xdr:pic>
      <xdr:nvPicPr>
        <xdr:cNvPr id="3" name="图片 2">
          <a:extLst>
            <a:ext uri="{FF2B5EF4-FFF2-40B4-BE49-F238E27FC236}">
              <a16:creationId xmlns:a16="http://schemas.microsoft.com/office/drawing/2014/main" id="{0044A8A8-34A7-45CB-0164-E105E6D97372}"/>
            </a:ext>
          </a:extLst>
        </xdr:cNvPr>
        <xdr:cNvPicPr>
          <a:picLocks noChangeAspect="1"/>
        </xdr:cNvPicPr>
      </xdr:nvPicPr>
      <xdr:blipFill>
        <a:blip xmlns:r="http://schemas.openxmlformats.org/officeDocument/2006/relationships" r:embed="rId2"/>
        <a:stretch>
          <a:fillRect/>
        </a:stretch>
      </xdr:blipFill>
      <xdr:spPr>
        <a:xfrm>
          <a:off x="0" y="7600950"/>
          <a:ext cx="8973088" cy="7437693"/>
        </a:xfrm>
        <a:prstGeom prst="rect">
          <a:avLst/>
        </a:prstGeom>
      </xdr:spPr>
    </xdr:pic>
    <xdr:clientData/>
  </xdr:twoCellAnchor>
  <xdr:twoCellAnchor editAs="oneCell">
    <xdr:from>
      <xdr:col>0</xdr:col>
      <xdr:colOff>107950</xdr:colOff>
      <xdr:row>88</xdr:row>
      <xdr:rowOff>50800</xdr:rowOff>
    </xdr:from>
    <xdr:to>
      <xdr:col>12</xdr:col>
      <xdr:colOff>501264</xdr:colOff>
      <xdr:row>124</xdr:row>
      <xdr:rowOff>14657</xdr:rowOff>
    </xdr:to>
    <xdr:pic>
      <xdr:nvPicPr>
        <xdr:cNvPr id="4" name="图片 3">
          <a:extLst>
            <a:ext uri="{FF2B5EF4-FFF2-40B4-BE49-F238E27FC236}">
              <a16:creationId xmlns:a16="http://schemas.microsoft.com/office/drawing/2014/main" id="{76CBA0D4-071F-99BC-276F-39591222EB63}"/>
            </a:ext>
          </a:extLst>
        </xdr:cNvPr>
        <xdr:cNvPicPr>
          <a:picLocks noChangeAspect="1"/>
        </xdr:cNvPicPr>
      </xdr:nvPicPr>
      <xdr:blipFill>
        <a:blip xmlns:r="http://schemas.openxmlformats.org/officeDocument/2006/relationships" r:embed="rId3"/>
        <a:stretch>
          <a:fillRect/>
        </a:stretch>
      </xdr:blipFill>
      <xdr:spPr>
        <a:xfrm>
          <a:off x="107950" y="15697200"/>
          <a:ext cx="7708514" cy="6364657"/>
        </a:xfrm>
        <a:prstGeom prst="rect">
          <a:avLst/>
        </a:prstGeom>
      </xdr:spPr>
    </xdr:pic>
    <xdr:clientData/>
  </xdr:twoCellAnchor>
  <xdr:twoCellAnchor editAs="oneCell">
    <xdr:from>
      <xdr:col>0</xdr:col>
      <xdr:colOff>0</xdr:colOff>
      <xdr:row>127</xdr:row>
      <xdr:rowOff>158750</xdr:rowOff>
    </xdr:from>
    <xdr:to>
      <xdr:col>14</xdr:col>
      <xdr:colOff>45164</xdr:colOff>
      <xdr:row>162</xdr:row>
      <xdr:rowOff>151286</xdr:rowOff>
    </xdr:to>
    <xdr:pic>
      <xdr:nvPicPr>
        <xdr:cNvPr id="5" name="图片 4">
          <a:extLst>
            <a:ext uri="{FF2B5EF4-FFF2-40B4-BE49-F238E27FC236}">
              <a16:creationId xmlns:a16="http://schemas.microsoft.com/office/drawing/2014/main" id="{10347AD2-6102-5F11-78BF-6E56D82DC1E3}"/>
            </a:ext>
          </a:extLst>
        </xdr:cNvPr>
        <xdr:cNvPicPr>
          <a:picLocks noChangeAspect="1"/>
        </xdr:cNvPicPr>
      </xdr:nvPicPr>
      <xdr:blipFill>
        <a:blip xmlns:r="http://schemas.openxmlformats.org/officeDocument/2006/relationships" r:embed="rId4"/>
        <a:stretch>
          <a:fillRect/>
        </a:stretch>
      </xdr:blipFill>
      <xdr:spPr>
        <a:xfrm>
          <a:off x="0" y="22739350"/>
          <a:ext cx="8579564" cy="6215536"/>
        </a:xfrm>
        <a:prstGeom prst="rect">
          <a:avLst/>
        </a:prstGeom>
      </xdr:spPr>
    </xdr:pic>
    <xdr:clientData/>
  </xdr:twoCellAnchor>
  <xdr:twoCellAnchor editAs="oneCell">
    <xdr:from>
      <xdr:col>0</xdr:col>
      <xdr:colOff>0</xdr:colOff>
      <xdr:row>165</xdr:row>
      <xdr:rowOff>6350</xdr:rowOff>
    </xdr:from>
    <xdr:to>
      <xdr:col>16</xdr:col>
      <xdr:colOff>74971</xdr:colOff>
      <xdr:row>223</xdr:row>
      <xdr:rowOff>8236</xdr:rowOff>
    </xdr:to>
    <xdr:pic>
      <xdr:nvPicPr>
        <xdr:cNvPr id="6" name="图片 5">
          <a:extLst>
            <a:ext uri="{FF2B5EF4-FFF2-40B4-BE49-F238E27FC236}">
              <a16:creationId xmlns:a16="http://schemas.microsoft.com/office/drawing/2014/main" id="{26EBD853-C150-CE23-68DE-5EB3862B146D}"/>
            </a:ext>
          </a:extLst>
        </xdr:cNvPr>
        <xdr:cNvPicPr>
          <a:picLocks noChangeAspect="1"/>
        </xdr:cNvPicPr>
      </xdr:nvPicPr>
      <xdr:blipFill>
        <a:blip xmlns:r="http://schemas.openxmlformats.org/officeDocument/2006/relationships" r:embed="rId5"/>
        <a:stretch>
          <a:fillRect/>
        </a:stretch>
      </xdr:blipFill>
      <xdr:spPr>
        <a:xfrm>
          <a:off x="0" y="29343350"/>
          <a:ext cx="9828571" cy="10314286"/>
        </a:xfrm>
        <a:prstGeom prst="rect">
          <a:avLst/>
        </a:prstGeom>
      </xdr:spPr>
    </xdr:pic>
    <xdr:clientData/>
  </xdr:twoCellAnchor>
  <xdr:twoCellAnchor editAs="oneCell">
    <xdr:from>
      <xdr:col>0</xdr:col>
      <xdr:colOff>0</xdr:colOff>
      <xdr:row>226</xdr:row>
      <xdr:rowOff>127000</xdr:rowOff>
    </xdr:from>
    <xdr:to>
      <xdr:col>15</xdr:col>
      <xdr:colOff>598857</xdr:colOff>
      <xdr:row>280</xdr:row>
      <xdr:rowOff>40086</xdr:rowOff>
    </xdr:to>
    <xdr:pic>
      <xdr:nvPicPr>
        <xdr:cNvPr id="7" name="图片 6">
          <a:extLst>
            <a:ext uri="{FF2B5EF4-FFF2-40B4-BE49-F238E27FC236}">
              <a16:creationId xmlns:a16="http://schemas.microsoft.com/office/drawing/2014/main" id="{9240E783-2C06-84DF-6E68-4F729A116E5E}"/>
            </a:ext>
          </a:extLst>
        </xdr:cNvPr>
        <xdr:cNvPicPr>
          <a:picLocks noChangeAspect="1"/>
        </xdr:cNvPicPr>
      </xdr:nvPicPr>
      <xdr:blipFill>
        <a:blip xmlns:r="http://schemas.openxmlformats.org/officeDocument/2006/relationships" r:embed="rId6"/>
        <a:stretch>
          <a:fillRect/>
        </a:stretch>
      </xdr:blipFill>
      <xdr:spPr>
        <a:xfrm>
          <a:off x="0" y="40309800"/>
          <a:ext cx="9742857" cy="9514286"/>
        </a:xfrm>
        <a:prstGeom prst="rect">
          <a:avLst/>
        </a:prstGeom>
      </xdr:spPr>
    </xdr:pic>
    <xdr:clientData/>
  </xdr:twoCellAnchor>
  <xdr:twoCellAnchor editAs="oneCell">
    <xdr:from>
      <xdr:col>0</xdr:col>
      <xdr:colOff>31750</xdr:colOff>
      <xdr:row>283</xdr:row>
      <xdr:rowOff>38100</xdr:rowOff>
    </xdr:from>
    <xdr:to>
      <xdr:col>15</xdr:col>
      <xdr:colOff>259178</xdr:colOff>
      <xdr:row>341</xdr:row>
      <xdr:rowOff>97128</xdr:rowOff>
    </xdr:to>
    <xdr:pic>
      <xdr:nvPicPr>
        <xdr:cNvPr id="8" name="图片 7">
          <a:extLst>
            <a:ext uri="{FF2B5EF4-FFF2-40B4-BE49-F238E27FC236}">
              <a16:creationId xmlns:a16="http://schemas.microsoft.com/office/drawing/2014/main" id="{37132E75-3217-7B2E-BA2E-AB08BC0224D1}"/>
            </a:ext>
          </a:extLst>
        </xdr:cNvPr>
        <xdr:cNvPicPr>
          <a:picLocks noChangeAspect="1"/>
        </xdr:cNvPicPr>
      </xdr:nvPicPr>
      <xdr:blipFill>
        <a:blip xmlns:r="http://schemas.openxmlformats.org/officeDocument/2006/relationships" r:embed="rId7"/>
        <a:stretch>
          <a:fillRect/>
        </a:stretch>
      </xdr:blipFill>
      <xdr:spPr>
        <a:xfrm>
          <a:off x="31750" y="50355500"/>
          <a:ext cx="9371428" cy="103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j.58.com/shangpu/85239412982875x.shtml?PGTID=0d006b31-0000-013a-212b-6a3f657049ab&amp;ClickID=22"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北京市通州区翠平西路2号，4、6、8号；通朝大街202、204、206号、208、210、212号房地产抵押价值预评估</v>
      </c>
    </row>
    <row r="3" spans="1:2">
      <c r="A3" s="1118" t="s">
        <v>523</v>
      </c>
      <c r="B3" s="1119">
        <f>'预评函-封皮'!B40</f>
        <v>0</v>
      </c>
    </row>
    <row r="4" spans="1:2">
      <c r="A4" s="1118" t="s">
        <v>524</v>
      </c>
      <c r="B4" s="1119" t="str">
        <f>'预评函-封皮'!B46</f>
        <v>（注册号：0)、（注册号：0)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受贵公司委托，我公司对北京市通州区翠平西路2号，4、6、8号；通朝大街202、204、206号、208、210、212号房地产抵押价值进行了预评估。</v>
      </c>
    </row>
    <row r="7" spans="1:2">
      <c r="A7" s="1118" t="s">
        <v>566</v>
      </c>
      <c r="B7" s="1119" t="str">
        <f>'预评函-1'!A7</f>
        <v>估价对象为北京市通州区翠平西路2号，4、6、8号；通朝大街202、204、206号、208、210、212号房地产，为所有。根据《国有土地使用证》[]，估价对象（分摊）出让国有建设用地使用权面积为0平方米，建筑面积为20244.17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通州区翠平西路2号，4、6、8号；通朝大街202、204、206号、208、210、212号房地产,属开发建设的商业项目，该项目尚在开发建设中。根据《国有土地使用证》[]，估价对象（分摊）出让国有建设用地使用权面积为0平方米，规划建筑面积为20244.17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通州区翠平西路2号，4、6、8号；通朝大街202、204、206号、208、210、212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2025年11月13日</v>
      </c>
    </row>
    <row r="13" spans="1:2">
      <c r="A13" s="1118" t="s">
        <v>529</v>
      </c>
      <c r="B13" s="1119"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本次评估采用的主估价方法为成本法和收益法。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11982</v>
      </c>
    </row>
    <row r="21" spans="1:2">
      <c r="A21" s="1118" t="s">
        <v>537</v>
      </c>
      <c r="B21" s="1119">
        <f ca="1">'预评函-2'!D7</f>
        <v>12041</v>
      </c>
    </row>
    <row r="22" spans="1:2">
      <c r="A22" s="1118" t="s">
        <v>538</v>
      </c>
      <c r="B22" s="1119" t="str">
        <f ca="1">'预评函-2'!D6</f>
        <v>壹亿壹仟玖佰捌拾贰万元整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11982</v>
      </c>
    </row>
    <row r="31" spans="1:2">
      <c r="A31" s="1118" t="s">
        <v>576</v>
      </c>
      <c r="B31" s="1119">
        <f ca="1">'预评函-2'!D15</f>
        <v>12041</v>
      </c>
    </row>
    <row r="32" spans="1:2">
      <c r="A32" s="1118" t="s">
        <v>543</v>
      </c>
      <c r="B32" s="1119" t="str">
        <f ca="1">'预评函-2'!D14</f>
        <v>壹亿壹仟玖佰捌拾贰万元整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北京市通州区翠平西路2号，4、6、8号；通朝大街202、204、206号、208、210、212号房地产</v>
      </c>
    </row>
    <row r="42" spans="1:2" ht="30">
      <c r="A42" s="1118" t="s">
        <v>590</v>
      </c>
      <c r="B42" s="1119" t="str">
        <f>'预评函-3'!B2</f>
        <v>建筑面积</v>
      </c>
    </row>
    <row r="43" spans="1:2">
      <c r="A43" s="1118" t="s">
        <v>591</v>
      </c>
      <c r="B43" s="1119">
        <f>'预评函-3'!B4</f>
        <v>20244.170000000002</v>
      </c>
    </row>
    <row r="44" spans="1:2" ht="30">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f>'预评函-4'!A4</f>
        <v>0</v>
      </c>
    </row>
    <row r="71" spans="1:2">
      <c r="A71" s="1118" t="s">
        <v>563</v>
      </c>
      <c r="B71" s="1119">
        <f>'预评函-4'!B4</f>
        <v>0</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4" sqref="F24"/>
    </sheetView>
  </sheetViews>
  <sheetFormatPr defaultColWidth="9" defaultRowHeight="14"/>
  <cols>
    <col min="1" max="1" width="13.453125" style="1447" customWidth="1"/>
    <col min="2" max="2" width="23.26953125" style="1404" customWidth="1"/>
    <col min="3" max="3" width="13" style="1444" customWidth="1"/>
    <col min="4" max="4" width="5.7265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8" width="15.08984375" style="1444" customWidth="1"/>
    <col min="29" max="16384" width="9" style="1404"/>
  </cols>
  <sheetData>
    <row r="1" spans="1:28" s="1439" customFormat="1" ht="42">
      <c r="A1" s="1435" t="s">
        <v>44</v>
      </c>
      <c r="B1" s="1436" t="s">
        <v>977</v>
      </c>
      <c r="C1" s="1437"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3402</v>
      </c>
      <c r="AA1" s="1437" t="s">
        <v>3401</v>
      </c>
      <c r="AB1" s="1437" t="s">
        <v>3</v>
      </c>
    </row>
    <row r="2" spans="1:28">
      <c r="A2" s="1440" t="s">
        <v>19</v>
      </c>
      <c r="B2" s="1440" t="s">
        <v>993</v>
      </c>
      <c r="C2" s="1441" t="s">
        <v>315</v>
      </c>
      <c r="D2" s="1442" t="s">
        <v>994</v>
      </c>
      <c r="E2" s="1442" t="s">
        <v>995</v>
      </c>
      <c r="F2" s="1442" t="s">
        <v>996</v>
      </c>
      <c r="G2" s="1442">
        <v>20</v>
      </c>
      <c r="H2" s="1442" t="s">
        <v>996</v>
      </c>
      <c r="I2" s="1442" t="s">
        <v>3334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3408</v>
      </c>
      <c r="Z2" s="1444" t="s">
        <v>2452</v>
      </c>
      <c r="AA2" s="1444" t="s">
        <v>3409</v>
      </c>
      <c r="AB2" s="1444" t="s">
        <v>2479</v>
      </c>
    </row>
    <row r="3" spans="1:28">
      <c r="A3" s="1440" t="s">
        <v>1001</v>
      </c>
      <c r="B3" s="1443" t="s">
        <v>448</v>
      </c>
      <c r="C3" s="1441" t="s">
        <v>316</v>
      </c>
      <c r="D3" s="1442" t="s">
        <v>1002</v>
      </c>
      <c r="E3" s="1442" t="s">
        <v>13</v>
      </c>
      <c r="F3" s="1442" t="s">
        <v>1003</v>
      </c>
      <c r="G3" s="1442">
        <v>40</v>
      </c>
      <c r="H3" s="1442" t="s">
        <v>1003</v>
      </c>
      <c r="I3" s="1442" t="s">
        <v>3335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3410</v>
      </c>
    </row>
    <row r="6" spans="1:28">
      <c r="A6" s="1440" t="s">
        <v>1020</v>
      </c>
      <c r="B6" s="1443" t="s">
        <v>449</v>
      </c>
      <c r="C6" s="1445" t="s">
        <v>24</v>
      </c>
      <c r="F6" s="1442" t="s">
        <v>1017</v>
      </c>
      <c r="H6" s="1442" t="s">
        <v>1021</v>
      </c>
      <c r="I6" s="1442" t="s">
        <v>3338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3339</v>
      </c>
      <c r="X7" s="1444" t="s">
        <v>2449</v>
      </c>
      <c r="Z7" s="1444" t="s">
        <v>2462</v>
      </c>
      <c r="AB7" s="1444" t="s">
        <v>2488</v>
      </c>
    </row>
    <row r="8" spans="1:28">
      <c r="A8" s="1440" t="s">
        <v>1026</v>
      </c>
      <c r="B8" s="1440" t="s">
        <v>1027</v>
      </c>
      <c r="C8" s="1441" t="s">
        <v>319</v>
      </c>
      <c r="F8" s="1442" t="s">
        <v>1028</v>
      </c>
      <c r="H8" s="1442" t="s">
        <v>2577</v>
      </c>
      <c r="I8" s="1442" t="s">
        <v>3340</v>
      </c>
      <c r="X8" s="1444" t="s">
        <v>3411</v>
      </c>
      <c r="Z8" s="1444" t="s">
        <v>2464</v>
      </c>
      <c r="AB8" s="1444" t="s">
        <v>2490</v>
      </c>
    </row>
    <row r="9" spans="1:28">
      <c r="A9" s="1440" t="s">
        <v>1029</v>
      </c>
      <c r="B9" s="1440" t="s">
        <v>1030</v>
      </c>
      <c r="C9" s="1441" t="s">
        <v>320</v>
      </c>
      <c r="F9" s="1442" t="s">
        <v>1031</v>
      </c>
      <c r="H9" s="1442"/>
      <c r="I9" s="1444" t="s">
        <v>3341</v>
      </c>
      <c r="X9" s="1444" t="s">
        <v>3412</v>
      </c>
      <c r="Z9" s="1444" t="s">
        <v>2466</v>
      </c>
      <c r="AB9" s="1444" t="s">
        <v>2492</v>
      </c>
    </row>
    <row r="10" spans="1:28">
      <c r="A10" s="1440" t="s">
        <v>1032</v>
      </c>
      <c r="B10" s="1440" t="s">
        <v>1033</v>
      </c>
      <c r="C10" s="1441" t="s">
        <v>321</v>
      </c>
      <c r="F10" s="1442" t="s">
        <v>2578</v>
      </c>
      <c r="I10" s="1444" t="s">
        <v>3342</v>
      </c>
      <c r="Z10" s="1444" t="s">
        <v>2468</v>
      </c>
      <c r="AB10" s="1444" t="s">
        <v>2494</v>
      </c>
    </row>
    <row r="11" spans="1:28">
      <c r="A11" s="1440" t="s">
        <v>1034</v>
      </c>
      <c r="B11" s="1440" t="s">
        <v>1035</v>
      </c>
      <c r="C11" s="1441" t="s">
        <v>322</v>
      </c>
      <c r="F11" s="1442" t="s">
        <v>13</v>
      </c>
      <c r="I11" s="1444" t="s">
        <v>3343</v>
      </c>
      <c r="Z11" s="1444" t="s">
        <v>2470</v>
      </c>
      <c r="AB11" s="1444" t="s">
        <v>2496</v>
      </c>
    </row>
    <row r="12" spans="1:28">
      <c r="A12" s="1440" t="s">
        <v>1036</v>
      </c>
      <c r="B12" s="1440" t="s">
        <v>1037</v>
      </c>
      <c r="C12" s="1441" t="s">
        <v>323</v>
      </c>
      <c r="I12" s="1444" t="s">
        <v>3344</v>
      </c>
      <c r="Z12" s="1444" t="s">
        <v>2472</v>
      </c>
      <c r="AB12" s="1444" t="s">
        <v>2498</v>
      </c>
    </row>
    <row r="13" spans="1:28">
      <c r="A13" s="1440" t="s">
        <v>1038</v>
      </c>
      <c r="B13" s="1440" t="s">
        <v>1039</v>
      </c>
      <c r="C13" s="1441" t="s">
        <v>324</v>
      </c>
      <c r="I13" s="1444" t="s">
        <v>3345</v>
      </c>
      <c r="Z13" s="1444" t="s">
        <v>2474</v>
      </c>
    </row>
    <row r="14" spans="1:28">
      <c r="A14" s="1440" t="s">
        <v>1040</v>
      </c>
      <c r="B14" s="1440" t="s">
        <v>1041</v>
      </c>
      <c r="C14" s="1442" t="s">
        <v>13</v>
      </c>
      <c r="I14" s="1444" t="s">
        <v>3346</v>
      </c>
      <c r="Z14" s="1444" t="s">
        <v>2476</v>
      </c>
    </row>
    <row r="15" spans="1:28">
      <c r="A15" s="1440" t="s">
        <v>1042</v>
      </c>
      <c r="B15" s="1440" t="s">
        <v>1043</v>
      </c>
      <c r="C15" s="1441"/>
      <c r="I15" s="1444" t="s">
        <v>3347</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3522</v>
      </c>
      <c r="C19" s="1441"/>
    </row>
    <row r="20" spans="1:3">
      <c r="A20" s="1440" t="s">
        <v>1048</v>
      </c>
      <c r="B20" s="1440" t="s">
        <v>3524</v>
      </c>
      <c r="C20" s="1441"/>
    </row>
    <row r="21" spans="1:3">
      <c r="A21" s="1440" t="s">
        <v>1049</v>
      </c>
      <c r="B21" s="1440" t="s">
        <v>3526</v>
      </c>
      <c r="C21" s="1441"/>
    </row>
    <row r="22" spans="1:3">
      <c r="A22" s="1440" t="s">
        <v>1050</v>
      </c>
      <c r="B22" s="1440" t="s">
        <v>3528</v>
      </c>
      <c r="C22" s="1441"/>
    </row>
    <row r="23" spans="1:3">
      <c r="A23" s="1440" t="s">
        <v>1051</v>
      </c>
      <c r="B23" s="1440" t="s">
        <v>3530</v>
      </c>
      <c r="C23" s="1441"/>
    </row>
    <row r="24" spans="1:3">
      <c r="A24" s="1440" t="s">
        <v>1052</v>
      </c>
      <c r="B24" s="1440" t="s">
        <v>3532</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翠平西路2号，4、6、8号；通朝大街202、204、206号、208、210、212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6" t="s">
        <v>385</v>
      </c>
      <c r="C54" s="1444" t="s">
        <v>583</v>
      </c>
    </row>
    <row r="55" spans="1:4">
      <c r="A55" s="3209"/>
      <c r="B55" s="1446" t="s">
        <v>386</v>
      </c>
      <c r="C55" s="1444" t="s">
        <v>584</v>
      </c>
    </row>
    <row r="56" spans="1:4">
      <c r="A56" s="3209"/>
      <c r="B56" s="1446" t="s">
        <v>387</v>
      </c>
      <c r="C56" s="1444" t="s">
        <v>588</v>
      </c>
    </row>
    <row r="57" spans="1:4">
      <c r="A57" s="320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0" t="s">
        <v>2580</v>
      </c>
      <c r="J2" s="3210"/>
      <c r="K2" s="3210"/>
      <c r="L2" s="3210"/>
      <c r="M2" s="3210"/>
      <c r="N2" s="3210"/>
      <c r="O2" s="3210"/>
      <c r="P2" s="3210"/>
      <c r="Q2" s="3210"/>
      <c r="R2" s="3210"/>
    </row>
    <row r="3" spans="1:18">
      <c r="A3" s="2760" t="s">
        <v>2501</v>
      </c>
      <c r="B3" s="2761">
        <f>项目基本情况!D3</f>
        <v>45974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1.0900000000000001</v>
      </c>
      <c r="D5" s="2765">
        <f>IF(ISERROR(ROUND(POWER(1+E5,A5-C5)*(POWER(1+E5,C5)-1)/(POWER(1+E5,A5)-1),3)),0,ROUND(POWER(1+E5,A5-C5)*(POWER(1+E5,C5)-1)/(POWER(1+E5,A5)-1),4))</f>
        <v>5.2900000000000003E-2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v>
      </c>
      <c r="D6" s="2765">
        <f>IF(ISERROR(ROUND(POWER(1+E6,A6-C6)*(POWER(1+E6,C6)-1)/(POWER(1+E6,A6)-1),3)),0,ROUND(POWER(1+E6,A6-C6)*(POWER(1+E6,C6)-1)/(POWER(1+E6,A6)-1),4))</f>
        <v>0.4108</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31.12</v>
      </c>
      <c r="D7" s="2765">
        <f>IF(ISERROR(ROUND(POWER(1+E7,A7-C7)*(POWER(1+E7,C7)-1)/(POWER(1+E7,A7)-1),3)),0,ROUND(POWER(1+E7,A7-C7)*(POWER(1+E7,C7)-1)/(POWER(1+E7,A7)-1),4))</f>
        <v>0.75329999999999997</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O11" sqref="O11"/>
    </sheetView>
  </sheetViews>
  <sheetFormatPr defaultColWidth="10" defaultRowHeight="12.5"/>
  <cols>
    <col min="1" max="1" width="16.90625" style="1617" customWidth="1"/>
    <col min="2" max="2" width="10" style="1617" customWidth="1"/>
    <col min="3" max="3" width="11.453125" style="1617" customWidth="1"/>
    <col min="4" max="4" width="10" style="1617" customWidth="1"/>
    <col min="5" max="5" width="12.6328125" style="1617" customWidth="1"/>
    <col min="6" max="6" width="10" style="1617" customWidth="1"/>
    <col min="7" max="7" width="10.7265625" style="1617" customWidth="1"/>
    <col min="8" max="8" width="10" style="1617" customWidth="1"/>
    <col min="9" max="9" width="11.08984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11" t="str">
        <f>IF(B10="北京市","北京市",C10)&amp;F10&amp;IF(结果表房本1!G1="在建","出让国有建设用地使用权及在建建筑物",IF(结果表房本1!G1="土地","出让国有建设用地使用权",))&amp;B9&amp;"预评估"</f>
        <v>北京市通州区翠平西路2号，4、6、8号；通朝大街202、204、206号、208、210、212号房地产抵押价值预评估</v>
      </c>
      <c r="C1" s="3212"/>
      <c r="D1" s="3212"/>
      <c r="E1" s="3212"/>
      <c r="F1" s="3212"/>
      <c r="G1" s="3212"/>
      <c r="H1" s="3212"/>
      <c r="I1" s="3213"/>
      <c r="J1" s="2243"/>
      <c r="K1" s="2181"/>
      <c r="L1" s="2182"/>
      <c r="M1" s="2182"/>
      <c r="N1" s="2180"/>
      <c r="O1" s="1465"/>
      <c r="P1" s="2180"/>
      <c r="Q1" s="2180"/>
      <c r="R1" s="2180"/>
      <c r="S1" s="1560" t="str">
        <f>IF(B10="北京市","北京市",C10)&amp;F10&amp;IF(结果表房本1!G1="在建","出让国有建设用地使用权及在建建筑物房地产抵押价值",IF(结果表房本1!G1="土地","出让国有建设用地使用权抵押价值",B9))</f>
        <v>北京市通州区翠平西路2号，4、6、8号；通朝大街202、204、206号、208、210、212号房地产抵押价值</v>
      </c>
      <c r="T1" s="1617"/>
      <c r="U1" s="1617"/>
      <c r="V1" s="1617"/>
      <c r="W1" s="1617"/>
      <c r="X1" s="1617"/>
      <c r="Y1" s="1617"/>
      <c r="Z1" s="1617"/>
      <c r="AA1" s="1617"/>
      <c r="AB1" s="1617"/>
    </row>
    <row r="2" spans="1:30" ht="13">
      <c r="A2" s="2180" t="s">
        <v>2169</v>
      </c>
      <c r="B2" s="122"/>
      <c r="D2" s="2445"/>
      <c r="E2" s="2439"/>
      <c r="F2" s="2439"/>
      <c r="G2" s="2440"/>
      <c r="H2" s="2440"/>
      <c r="I2" s="2440"/>
      <c r="J2" s="2243"/>
      <c r="K2" s="2181"/>
      <c r="L2" s="2182"/>
      <c r="M2" s="2182"/>
      <c r="N2" s="2180"/>
      <c r="O2" s="1465"/>
      <c r="P2" s="2180"/>
      <c r="Q2" s="2180"/>
      <c r="R2" s="2180"/>
      <c r="S2" s="1560" t="str">
        <f>IF(B10="北京市","北京市",C10)&amp;F10&amp;IF(结果表房本1!G1="在建","出让国有建设用地使用权及在建建筑物房地产",IF(结果表房本1!G1="土地","出让国有建设用地使用权","房地产"))</f>
        <v>北京市通州区翠平西路2号，4、6、8号；通朝大街202、204、206号、208、210、212号房地产</v>
      </c>
      <c r="T2" s="1617"/>
      <c r="U2" s="1617"/>
      <c r="V2" s="1617"/>
      <c r="W2" s="1617"/>
      <c r="X2" s="1617"/>
      <c r="Y2" s="1617"/>
      <c r="Z2" s="1617"/>
      <c r="AA2" s="1617"/>
      <c r="AB2" s="1617"/>
    </row>
    <row r="3" spans="1:30" ht="13">
      <c r="A3" s="294" t="s">
        <v>2170</v>
      </c>
      <c r="B3" s="2183"/>
      <c r="C3" s="2184" t="s">
        <v>2171</v>
      </c>
      <c r="D3" s="2183">
        <v>45974</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ht="13">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ht="13">
      <c r="A7" s="2192" t="s">
        <v>2175</v>
      </c>
      <c r="B7" s="2196"/>
      <c r="C7" s="2194"/>
      <c r="D7" s="2195"/>
      <c r="E7" s="2439"/>
      <c r="F7" s="2440"/>
      <c r="G7" s="2440"/>
      <c r="H7" s="2440"/>
      <c r="I7" s="2440"/>
      <c r="J7" s="2243"/>
      <c r="K7" s="2400"/>
      <c r="L7" s="2397"/>
      <c r="M7" s="2397"/>
      <c r="N7" s="2243"/>
      <c r="O7" s="1669"/>
      <c r="P7" s="2243"/>
      <c r="Q7" s="2243"/>
      <c r="R7" s="2243"/>
    </row>
    <row r="8" spans="1:30" ht="13">
      <c r="A8" s="2197" t="s">
        <v>2176</v>
      </c>
      <c r="B8" s="2198" t="s">
        <v>3416</v>
      </c>
      <c r="C8" s="2199"/>
      <c r="D8" s="3214" t="s">
        <v>2177</v>
      </c>
      <c r="E8" s="2200" t="s">
        <v>3417</v>
      </c>
      <c r="F8" s="2201"/>
      <c r="G8" s="2440"/>
      <c r="H8" s="2440"/>
      <c r="I8" s="2440"/>
      <c r="J8" s="2243"/>
      <c r="K8" s="2398"/>
      <c r="L8" s="2397"/>
      <c r="M8" s="2397"/>
      <c r="N8" s="2243"/>
      <c r="O8" s="1669"/>
      <c r="P8" s="2243"/>
      <c r="Q8" s="2243"/>
      <c r="R8" s="2243"/>
    </row>
    <row r="9" spans="1:30" ht="13.5" thickBot="1">
      <c r="A9" s="2202" t="s">
        <v>2178</v>
      </c>
      <c r="B9" s="2203" t="s">
        <v>3417</v>
      </c>
      <c r="C9" s="2204"/>
      <c r="D9" s="3215"/>
      <c r="E9" s="2203"/>
      <c r="F9" s="2205"/>
      <c r="G9" s="2441"/>
      <c r="H9" s="2441"/>
      <c r="I9" s="2441"/>
      <c r="J9" s="2243"/>
      <c r="K9" s="2400"/>
      <c r="L9" s="2397"/>
      <c r="M9" s="2397"/>
      <c r="N9" s="2243"/>
      <c r="O9" s="1669"/>
      <c r="P9" s="2243"/>
      <c r="Q9" s="2243"/>
      <c r="R9" s="2243"/>
    </row>
    <row r="10" spans="1:30" ht="13.5" thickTop="1">
      <c r="A10" s="2206" t="s">
        <v>2179</v>
      </c>
      <c r="B10" s="2207" t="s">
        <v>3418</v>
      </c>
      <c r="C10" s="2208"/>
      <c r="D10" s="2191"/>
      <c r="E10" s="2209" t="s">
        <v>2180</v>
      </c>
      <c r="F10" s="3518" t="s">
        <v>3536</v>
      </c>
      <c r="G10" s="2442"/>
      <c r="H10" s="2443"/>
      <c r="I10" s="2444"/>
      <c r="J10" s="2243"/>
      <c r="K10" s="2400"/>
      <c r="L10" s="2397"/>
      <c r="M10" s="2397"/>
      <c r="N10" s="2243"/>
      <c r="O10" s="1669"/>
      <c r="P10" s="2243"/>
      <c r="Q10" s="2243"/>
      <c r="R10" s="2243"/>
    </row>
    <row r="11" spans="1:30" ht="13">
      <c r="A11" s="2210" t="s">
        <v>2181</v>
      </c>
      <c r="B11" s="2211" t="s">
        <v>3419</v>
      </c>
      <c r="C11" s="2212"/>
      <c r="D11" s="2213"/>
      <c r="E11" s="2180"/>
      <c r="F11" s="2180"/>
      <c r="G11" s="2180"/>
      <c r="H11" s="2180"/>
      <c r="I11" s="2180"/>
      <c r="J11" s="2799"/>
      <c r="K11" s="2397"/>
      <c r="L11" s="2397"/>
      <c r="M11" s="2397"/>
      <c r="N11" s="2243"/>
      <c r="O11" s="1669"/>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69"/>
      <c r="O12" s="2243"/>
      <c r="P12" s="2243"/>
      <c r="Q12" s="2243"/>
      <c r="AD12" s="1617"/>
    </row>
    <row r="13" spans="1:30" ht="13">
      <c r="A13" s="3119" t="s">
        <v>3330</v>
      </c>
      <c r="B13" s="2216" t="s">
        <v>2190</v>
      </c>
      <c r="C13" s="802"/>
      <c r="D13" s="802">
        <v>51831</v>
      </c>
      <c r="E13" s="3507" t="s">
        <v>3469</v>
      </c>
      <c r="F13" s="802"/>
      <c r="G13" s="802"/>
      <c r="H13" s="802"/>
      <c r="I13" s="802"/>
      <c r="J13" s="2800"/>
      <c r="K13" s="2397"/>
      <c r="L13" s="2397"/>
      <c r="M13" s="2243"/>
      <c r="N13" s="1669"/>
      <c r="O13" s="2243"/>
      <c r="P13" s="2243"/>
      <c r="Q13" s="2243"/>
      <c r="AD13" s="1617"/>
    </row>
    <row r="14" spans="1:30" ht="13">
      <c r="A14" s="1017"/>
      <c r="B14" s="2216" t="s">
        <v>2191</v>
      </c>
      <c r="C14" s="2217"/>
      <c r="D14" s="2217">
        <v>40</v>
      </c>
      <c r="E14" s="2217"/>
      <c r="F14" s="2217"/>
      <c r="G14" s="2217"/>
      <c r="H14" s="2217"/>
      <c r="I14" s="2217"/>
      <c r="J14" s="2801"/>
      <c r="K14" s="2397"/>
      <c r="L14" s="2397"/>
      <c r="M14" s="2243"/>
      <c r="N14" s="1669"/>
      <c r="O14" s="2243"/>
      <c r="P14" s="2243"/>
      <c r="Q14" s="2243"/>
      <c r="AD14" s="1617"/>
    </row>
    <row r="15" spans="1:30" ht="13">
      <c r="A15" s="312"/>
      <c r="B15" s="2218" t="s">
        <v>2192</v>
      </c>
      <c r="C15" s="2219" t="str">
        <f>IF(A13="出让",IF(C13="","",ROUNDDOWN(MIN((C13-$D$3)/365,C14),2)),C14)</f>
        <v/>
      </c>
      <c r="D15" s="2219">
        <f>IF(A13="出让",IF(D13="","",ROUNDDOWN(MIN((D13-$D$3)/365,D14),2)),D14)</f>
        <v>16.04</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ht="13">
      <c r="A16" s="2209" t="s">
        <v>2193</v>
      </c>
      <c r="B16" s="3221"/>
      <c r="C16" s="3222"/>
      <c r="D16" s="3223"/>
      <c r="E16" s="2220" t="s">
        <v>2194</v>
      </c>
      <c r="F16" s="3224"/>
      <c r="G16" s="3225"/>
      <c r="H16" s="3225"/>
      <c r="I16" s="3226"/>
      <c r="J16" s="2243"/>
      <c r="K16" s="2401"/>
      <c r="L16" s="1669"/>
      <c r="M16" s="1669"/>
      <c r="N16" s="2243"/>
      <c r="O16" s="1669"/>
      <c r="P16" s="2243"/>
      <c r="Q16" s="2243"/>
      <c r="R16" s="2243"/>
    </row>
    <row r="17" spans="1:28" ht="13">
      <c r="A17" s="305" t="s">
        <v>2195</v>
      </c>
      <c r="B17" s="294" t="s">
        <v>2196</v>
      </c>
      <c r="C17" s="8">
        <f>'数据-汇总表'!E3</f>
        <v>20244.170000000002</v>
      </c>
      <c r="D17" s="1255" t="s">
        <v>2197</v>
      </c>
      <c r="E17" s="3227" t="s">
        <v>2198</v>
      </c>
      <c r="F17" s="3228"/>
      <c r="G17" s="3228"/>
      <c r="H17" s="3228"/>
      <c r="I17" s="3229"/>
      <c r="J17" s="2243"/>
      <c r="K17" s="2402"/>
      <c r="L17" s="1669"/>
      <c r="M17" s="1669"/>
      <c r="N17" s="2243"/>
      <c r="O17" s="1669"/>
      <c r="P17" s="2243"/>
      <c r="Q17" s="2243"/>
      <c r="R17" s="2243"/>
      <c r="S17" s="2243"/>
      <c r="T17" s="2243"/>
      <c r="U17" s="2243"/>
      <c r="V17" s="2243"/>
    </row>
    <row r="18" spans="1:28" ht="26.5" thickBot="1">
      <c r="A18" s="2221" t="s">
        <v>2199</v>
      </c>
      <c r="B18" s="1026" t="s">
        <v>2200</v>
      </c>
      <c r="C18" s="2222">
        <f>'数据-汇总表'!D3</f>
        <v>0</v>
      </c>
      <c r="D18" s="1028" t="s">
        <v>2201</v>
      </c>
      <c r="E18" s="3230" t="s">
        <v>2202</v>
      </c>
      <c r="F18" s="3231"/>
      <c r="G18" s="3231"/>
      <c r="H18" s="3231"/>
      <c r="I18" s="3232"/>
      <c r="J18" s="2243"/>
      <c r="K18" s="2402"/>
      <c r="L18" s="1669"/>
      <c r="M18" s="1669"/>
      <c r="N18" s="2243"/>
      <c r="O18" s="1669"/>
      <c r="P18" s="2243"/>
      <c r="Q18" s="2243"/>
      <c r="R18" s="2243"/>
      <c r="S18" s="2243"/>
      <c r="T18" s="2243"/>
      <c r="U18" s="2243"/>
      <c r="V18" s="2243"/>
    </row>
    <row r="19" spans="1:28" ht="40" thickTop="1" thickBot="1">
      <c r="A19" s="319" t="s">
        <v>1055</v>
      </c>
      <c r="B19" s="299" t="s">
        <v>2203</v>
      </c>
      <c r="C19" s="1454" t="s">
        <v>3470</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ht="13">
      <c r="A20" s="2415" t="s">
        <v>2205</v>
      </c>
      <c r="B20" s="3217" t="s">
        <v>2206</v>
      </c>
      <c r="C20" s="3218"/>
      <c r="D20" s="3219" t="s">
        <v>2207</v>
      </c>
      <c r="E20" s="3220"/>
      <c r="F20" s="2428" t="s">
        <v>1056</v>
      </c>
      <c r="G20" s="2440"/>
      <c r="H20" s="2440"/>
      <c r="I20" s="2440"/>
      <c r="J20" s="2243"/>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5"/>
      <c r="P20" s="2180"/>
      <c r="Q20" s="2180"/>
      <c r="R20" s="2180"/>
      <c r="S20" s="2180"/>
      <c r="T20" s="2180"/>
      <c r="U20" s="2180"/>
      <c r="V20" s="2180"/>
      <c r="W20" s="1617"/>
      <c r="X20" s="1617"/>
      <c r="Y20" s="1617"/>
      <c r="Z20" s="1617"/>
      <c r="AA20" s="1617"/>
      <c r="AB20" s="1617"/>
    </row>
    <row r="21" spans="1:28" ht="26.5" thickBot="1">
      <c r="A21" s="2415"/>
      <c r="B21" s="2416" t="s">
        <v>2209</v>
      </c>
      <c r="C21" s="2294" t="s">
        <v>1057</v>
      </c>
      <c r="D21" s="1459" t="s">
        <v>2210</v>
      </c>
      <c r="E21" s="2417" t="s">
        <v>1057</v>
      </c>
      <c r="F21" s="2429"/>
      <c r="G21" s="2440"/>
      <c r="H21" s="2440"/>
      <c r="I21" s="2440"/>
      <c r="J21" s="2243"/>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6.5" thickBot="1">
      <c r="A22" s="2415"/>
      <c r="B22" s="2418" t="s">
        <v>2211</v>
      </c>
      <c r="C22" s="2294" t="s">
        <v>1058</v>
      </c>
      <c r="D22" s="2440"/>
      <c r="E22" s="2440"/>
      <c r="F22" s="2440"/>
      <c r="G22" s="2440"/>
      <c r="H22" s="2440"/>
      <c r="I22" s="2440"/>
      <c r="J22" s="2243"/>
      <c r="K22" s="3216"/>
      <c r="L22" s="646" t="str">
        <f>IF(E19="否","",IF(结果表房本1!D36="同一抵押权人同一抵押物续贷","由于本次评估为同一抵押权人的续贷房地产抵押估价，故未将已抵押担保的债权数额（"&amp;C26&amp;"）作为法定优先受偿款予以扣减。",IF(结果表房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ht="13">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34" t="s">
        <v>2214</v>
      </c>
      <c r="B27" s="312" t="s">
        <v>2215</v>
      </c>
      <c r="C27" s="2223" t="s">
        <v>3471</v>
      </c>
      <c r="D27" s="2224"/>
      <c r="E27" s="2440"/>
      <c r="F27" s="2440"/>
      <c r="G27" s="2440"/>
      <c r="H27" s="2440"/>
      <c r="I27" s="2440"/>
      <c r="J27" s="2243"/>
      <c r="K27" s="2401"/>
      <c r="L27" s="1669"/>
      <c r="M27" s="1669"/>
      <c r="N27" s="2243"/>
      <c r="O27" s="1669"/>
      <c r="P27" s="2243"/>
      <c r="Q27" s="2243"/>
      <c r="R27" s="2243"/>
      <c r="S27" s="2243"/>
      <c r="T27" s="2243"/>
      <c r="U27" s="2243"/>
      <c r="V27" s="2243"/>
    </row>
    <row r="28" spans="1:28" ht="13">
      <c r="A28" s="3234"/>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ht="13">
      <c r="A29" s="3234"/>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ht="13">
      <c r="A30" s="3235"/>
      <c r="B30" s="294" t="s">
        <v>2218</v>
      </c>
      <c r="C30" s="3236"/>
      <c r="D30" s="3237"/>
      <c r="E30" s="2440"/>
      <c r="F30" s="2440"/>
      <c r="G30" s="2440"/>
      <c r="H30" s="2440"/>
      <c r="I30" s="2440"/>
      <c r="J30" s="2243"/>
      <c r="K30" s="2400"/>
      <c r="L30" s="2397"/>
      <c r="M30" s="2397"/>
      <c r="N30" s="2243"/>
      <c r="O30" s="1669"/>
      <c r="P30" s="2243"/>
      <c r="Q30" s="2243"/>
      <c r="R30" s="2243"/>
      <c r="S30" s="2243"/>
      <c r="T30" s="2243"/>
      <c r="U30" s="2243"/>
      <c r="V30" s="2243"/>
    </row>
    <row r="31" spans="1:28">
      <c r="A31" s="3238" t="s">
        <v>2219</v>
      </c>
      <c r="B31" s="2229" t="s">
        <v>3472</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9"/>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9"/>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ht="13">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3"/>
      <c r="V34" s="2243"/>
    </row>
    <row r="35" spans="1:30">
      <c r="A35" s="2234"/>
      <c r="B35" s="3233" t="s">
        <v>2229</v>
      </c>
      <c r="C35" s="3233"/>
      <c r="D35" s="3233"/>
      <c r="E35" s="323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3"/>
      <c r="V35" s="2243"/>
    </row>
    <row r="36" spans="1:30" ht="13">
      <c r="A36" s="2181"/>
      <c r="B36" s="8" t="s">
        <v>2185</v>
      </c>
      <c r="C36" s="8" t="s">
        <v>2186</v>
      </c>
      <c r="D36" s="8" t="s">
        <v>2184</v>
      </c>
      <c r="E36" s="8" t="s">
        <v>2189</v>
      </c>
      <c r="F36" s="2798" t="s">
        <v>2579</v>
      </c>
      <c r="G36" s="2440"/>
      <c r="H36" s="2440"/>
      <c r="I36" s="2440"/>
      <c r="J36" s="2243"/>
      <c r="K36" s="2400"/>
      <c r="L36" s="2397"/>
      <c r="M36" s="2397"/>
      <c r="N36" s="2243"/>
      <c r="O36" s="1669"/>
      <c r="P36" s="2243"/>
      <c r="Q36" s="2243"/>
      <c r="R36" s="2243"/>
      <c r="S36" s="2243"/>
      <c r="T36" s="2243"/>
      <c r="U36" s="2243"/>
      <c r="V36" s="2243"/>
    </row>
    <row r="37" spans="1:30" ht="13">
      <c r="A37" s="2413" t="s">
        <v>2230</v>
      </c>
      <c r="B37" s="2235" t="s">
        <v>303</v>
      </c>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t="s">
        <v>3006</v>
      </c>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ht="13">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4" width="9.453125" style="1462" customWidth="1"/>
    <col min="15" max="15" width="9.90625" style="1462" customWidth="1"/>
    <col min="16" max="16" width="9.7265625" style="1462" customWidth="1"/>
    <col min="17" max="17" width="9.36328125" style="1462" customWidth="1"/>
    <col min="18" max="18" width="9.26953125" style="1462" customWidth="1"/>
    <col min="19" max="19" width="10.90625" style="1462" customWidth="1"/>
    <col min="20" max="21" width="10.7265625" style="1462" customWidth="1"/>
    <col min="22" max="22" width="10.90625" style="1462" customWidth="1"/>
    <col min="23" max="27" width="10.7265625" style="1462" customWidth="1"/>
    <col min="28" max="28" width="10.90625" style="1462" customWidth="1"/>
    <col min="29" max="29" width="11" style="1462" bestFit="1" customWidth="1"/>
    <col min="30" max="30" width="10" style="1462" bestFit="1" customWidth="1"/>
    <col min="31" max="31" width="9.7265625" style="1462" customWidth="1"/>
    <col min="32" max="46" width="9.453125" style="1462" customWidth="1"/>
    <col min="47" max="47" width="18.08984375" style="1462" customWidth="1"/>
    <col min="48" max="50" width="9.7265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10"/>
      <c r="B3" s="11">
        <f>IF(C3="否",G5-AT5,G5)</f>
        <v>20244.170000000002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2" t="s">
        <v>1071</v>
      </c>
      <c r="B5" s="1258"/>
      <c r="C5" s="1258"/>
      <c r="D5" s="1259"/>
      <c r="E5" s="13" t="s">
        <v>0</v>
      </c>
      <c r="F5" s="13">
        <f>SUM(F13:F587)</f>
        <v>0</v>
      </c>
      <c r="G5" s="13">
        <f>SUM(G13:G587)</f>
        <v>20244.170000000002</v>
      </c>
      <c r="H5" s="13">
        <f t="shared" ref="H5:AT5" si="0">SUM(H13:H656)</f>
        <v>20244.170000000002</v>
      </c>
      <c r="I5" s="13">
        <f t="shared" si="0"/>
        <v>18015.920000000002</v>
      </c>
      <c r="J5" s="13">
        <f t="shared" si="0"/>
        <v>0</v>
      </c>
      <c r="K5" s="13">
        <f t="shared" si="0"/>
        <v>2228.25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20244.170000000002</v>
      </c>
      <c r="BA5" s="15">
        <f t="shared" si="1"/>
        <v>20244.170000000002</v>
      </c>
      <c r="BB5" s="15">
        <f t="shared" si="1"/>
        <v>18015.920000000002</v>
      </c>
      <c r="BC5" s="15">
        <f t="shared" si="1"/>
        <v>2228.25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
      <c r="A9" s="1481"/>
      <c r="B9" s="1481"/>
      <c r="C9" s="1481"/>
      <c r="D9" s="1481"/>
      <c r="E9" s="1481"/>
      <c r="F9" s="1481"/>
      <c r="G9" s="1006"/>
      <c r="H9" s="1489" t="s">
        <v>1091</v>
      </c>
      <c r="I9" s="1490" t="s">
        <v>3473</v>
      </c>
      <c r="J9" s="760"/>
      <c r="K9" s="1490" t="s">
        <v>3474</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
      <c r="A10" s="1481"/>
      <c r="B10" s="1481"/>
      <c r="C10" s="1481"/>
      <c r="D10" s="1481"/>
      <c r="E10" s="1481"/>
      <c r="F10" s="1481"/>
      <c r="G10" s="1006"/>
      <c r="H10" s="25"/>
      <c r="I10" s="1490" t="s">
        <v>673</v>
      </c>
      <c r="J10" s="760"/>
      <c r="K10" s="1496" t="s">
        <v>673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
      <c r="A13" s="628"/>
      <c r="B13" s="628"/>
      <c r="C13" s="3516" t="s">
        <v>3513</v>
      </c>
      <c r="D13" s="1512" t="s">
        <v>3470</v>
      </c>
      <c r="E13" s="13">
        <f>IF($C$3="是",ROUND($A$3*G13/$B$3,2),ROUND($A$3*(G13-AT13)/$B$3,2))</f>
        <v>0</v>
      </c>
      <c r="F13" s="29"/>
      <c r="G13" s="30">
        <f>H13+AC13+AT13</f>
        <v>9951.27</v>
      </c>
      <c r="H13" s="17">
        <f>SUMIF(I$12:AB$12,"总值",I13:AB13)</f>
        <v>9951.27</v>
      </c>
      <c r="I13" s="1513">
        <f>信息!O7</f>
        <v>7723.02</v>
      </c>
      <c r="J13" s="1513"/>
      <c r="K13" s="1513">
        <f>信息!O6</f>
        <v>2228.25</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房本1</v>
      </c>
      <c r="AY13" s="1259">
        <f>ROUND($AY$6*AZ13/$AZ$5,2)</f>
        <v>0</v>
      </c>
      <c r="AZ13" s="13">
        <f>BA13+BL13</f>
        <v>9951.27</v>
      </c>
      <c r="BA13" s="13">
        <f>SUM(BB13:BK13)</f>
        <v>9951.27</v>
      </c>
      <c r="BB13" s="13">
        <f>IF($D13="是",I13-J13,0)</f>
        <v>7723.02</v>
      </c>
      <c r="BC13" s="13">
        <f>IF($D13="是",K13-L13,0)</f>
        <v>2228.25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
      <c r="A14" s="628"/>
      <c r="B14" s="628"/>
      <c r="C14" s="3517" t="s">
        <v>3514</v>
      </c>
      <c r="D14" s="1512" t="s">
        <v>3470</v>
      </c>
      <c r="E14" s="13">
        <f>IF($C$3="是",ROUND($A$3*G14/$B$3,2),ROUND($A$3*(G14-AT14)/$B$3,2))</f>
        <v>0</v>
      </c>
      <c r="F14" s="29"/>
      <c r="G14" s="30">
        <f>H14+AC14+AT14</f>
        <v>2137.38</v>
      </c>
      <c r="H14" s="17">
        <f>SUMIF(I$12:AB$12,"总值",I14:AB14)</f>
        <v>2137.38</v>
      </c>
      <c r="I14" s="1513">
        <f>信息!O17</f>
        <v>2137.38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房本2</v>
      </c>
      <c r="AY14" s="1259">
        <f>ROUND($AY$6*AZ14/$AZ$5,2)</f>
        <v>0</v>
      </c>
      <c r="AZ14" s="13">
        <f>BA14+BL14</f>
        <v>2137.38</v>
      </c>
      <c r="BA14" s="13">
        <f>SUM(BB14:BK14)</f>
        <v>2137.38</v>
      </c>
      <c r="BB14" s="13">
        <f>IF($D14="是",I14-J14,0)</f>
        <v>2137.38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
      <c r="A15" s="628"/>
      <c r="B15" s="628"/>
      <c r="C15" s="3517" t="s">
        <v>3515</v>
      </c>
      <c r="D15" s="1512" t="s">
        <v>3470</v>
      </c>
      <c r="E15" s="13">
        <f>IF($C$3="是",ROUND($A$3*G15/$B$3,2),ROUND($A$3*(G15-AT15)/$B$3,2))</f>
        <v>0</v>
      </c>
      <c r="F15" s="29"/>
      <c r="G15" s="30">
        <f>H15+AC15+AT15</f>
        <v>8155.52</v>
      </c>
      <c r="H15" s="17">
        <f>SUMIF(I$12:AB$12,"总值",I15:AB15)</f>
        <v>8155.52</v>
      </c>
      <c r="I15" s="1513">
        <f>信息!O25</f>
        <v>8155.52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房本3</v>
      </c>
      <c r="AY15" s="1259">
        <f>ROUND($AY$6*AZ15/$AZ$5,2)</f>
        <v>0</v>
      </c>
      <c r="AZ15" s="13">
        <f>BA15+BL15</f>
        <v>8155.52</v>
      </c>
      <c r="BA15" s="13">
        <f>SUM(BB15:BK15)</f>
        <v>8155.52</v>
      </c>
      <c r="BB15" s="13">
        <f>IF($D15="是",I15-J15,0)</f>
        <v>8155.52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6953125" defaultRowHeight="14"/>
  <cols>
    <col min="1" max="1" width="12.08984375" style="1521" customWidth="1"/>
    <col min="2" max="2" width="10.2695312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2695312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49" t="s">
        <v>1131</v>
      </c>
      <c r="B2" s="3249"/>
      <c r="C2" s="3249"/>
      <c r="D2" s="747" t="s">
        <v>1107</v>
      </c>
      <c r="E2" s="1522" t="s">
        <v>1108</v>
      </c>
      <c r="F2" s="2437"/>
      <c r="G2" s="2430"/>
      <c r="H2" s="2431"/>
      <c r="I2" s="2144" t="s">
        <v>1132</v>
      </c>
      <c r="J2" s="2437"/>
      <c r="K2" s="2437"/>
      <c r="L2" s="2437"/>
      <c r="M2" s="2437"/>
      <c r="N2" s="2438"/>
      <c r="O2" s="2437"/>
      <c r="P2" s="2437"/>
    </row>
    <row r="3" spans="1:16" ht="14.5" thickBot="1">
      <c r="A3" s="3250" t="s">
        <v>1105</v>
      </c>
      <c r="B3" s="3250"/>
      <c r="C3" s="3250"/>
      <c r="D3" s="41">
        <f>'数据-基础表'!AY6</f>
        <v>0</v>
      </c>
      <c r="E3" s="41">
        <f>'数据-基础表'!AZ5</f>
        <v>20244.170000000002</v>
      </c>
      <c r="F3" s="2437"/>
      <c r="G3" s="42"/>
      <c r="H3" s="43" t="s">
        <v>1106</v>
      </c>
      <c r="I3" s="801" t="e">
        <f>ROUND('数据-基础表'!B3/'数据-基础表'!A3,2)</f>
        <v>#DIV/0!</v>
      </c>
      <c r="J3" s="2437"/>
      <c r="K3" s="2437"/>
      <c r="L3" s="2437"/>
      <c r="M3" s="2437"/>
      <c r="N3" s="2438"/>
      <c r="O3" s="2437"/>
      <c r="P3" s="2437"/>
    </row>
    <row r="4" spans="1:16">
      <c r="A4" s="3251"/>
      <c r="B4" s="3252"/>
      <c r="C4" s="3253"/>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54" t="s">
        <v>1110</v>
      </c>
      <c r="C5" s="3254"/>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4.5" thickBot="1">
      <c r="A6" s="1526"/>
      <c r="B6" s="3254" t="s">
        <v>1111</v>
      </c>
      <c r="C6" s="3254"/>
      <c r="D6" s="43">
        <f>ROUND($D$3*E6/$E$3,2)</f>
        <v>0</v>
      </c>
      <c r="E6" s="44">
        <f>E3-E5</f>
        <v>20244.170000000002</v>
      </c>
      <c r="F6" s="2437"/>
      <c r="G6" s="1528" t="s">
        <v>1112</v>
      </c>
      <c r="H6" s="45" t="s">
        <v>1113</v>
      </c>
      <c r="I6" s="2433" t="e">
        <f>ROUND(F31/D31,2)</f>
        <v>#DIV/0!</v>
      </c>
      <c r="J6" s="2437"/>
      <c r="K6" s="2437"/>
      <c r="L6" s="2437"/>
      <c r="M6" s="2437"/>
      <c r="N6" s="2437"/>
      <c r="O6" s="2437"/>
      <c r="P6" s="2437"/>
    </row>
    <row r="7" spans="1:16" ht="14.5" thickBot="1">
      <c r="A7" s="3246"/>
      <c r="B7" s="3247"/>
      <c r="C7" s="3248"/>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18015.920000000002</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2228.25</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6"/>
      <c r="B16" s="1529"/>
      <c r="C16" s="45" t="s">
        <v>1123</v>
      </c>
      <c r="D16" s="45">
        <f>SUM(D8:D15)</f>
        <v>0</v>
      </c>
      <c r="E16" s="48">
        <f>SUM(E8:E15)</f>
        <v>20244.170000000002</v>
      </c>
      <c r="F16" s="2437"/>
      <c r="G16" s="2437"/>
      <c r="H16" s="1530" t="s">
        <v>1135</v>
      </c>
      <c r="I16" s="1531"/>
      <c r="J16" s="1070"/>
      <c r="K16" s="3243" t="s">
        <v>1135</v>
      </c>
      <c r="L16" s="3244"/>
      <c r="M16" s="3244"/>
      <c r="N16" s="3244"/>
      <c r="O16" s="3244"/>
      <c r="P16" s="3245"/>
    </row>
    <row r="17" spans="1:19">
      <c r="A17" s="1532" t="s">
        <v>1136</v>
      </c>
      <c r="B17" s="1533" t="s">
        <v>1137</v>
      </c>
      <c r="C17" s="1534" t="s">
        <v>1138</v>
      </c>
      <c r="D17" s="1535" t="s">
        <v>1126</v>
      </c>
      <c r="E17" s="1536" t="s">
        <v>1127</v>
      </c>
      <c r="F17" s="1537"/>
      <c r="G17" s="1538"/>
      <c r="H17" s="1539" t="s">
        <v>1139</v>
      </c>
      <c r="I17" s="1540" t="s">
        <v>1124</v>
      </c>
      <c r="J17" s="1070"/>
      <c r="K17" s="3240" t="s">
        <v>1140</v>
      </c>
      <c r="L17" s="3241"/>
      <c r="M17" s="3242"/>
      <c r="N17" s="3240" t="s">
        <v>1141</v>
      </c>
      <c r="O17" s="3241"/>
      <c r="P17" s="3242"/>
      <c r="R17" s="768" t="s">
        <v>1142</v>
      </c>
      <c r="S17" s="54"/>
    </row>
    <row r="18" spans="1:19">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3516</v>
      </c>
      <c r="D19" s="43">
        <f>ROUND($D$3*E19/$E$3,2)</f>
        <v>0</v>
      </c>
      <c r="E19" s="51">
        <f t="shared" ref="E19:E26" si="1">SUM(F19:G19)</f>
        <v>9951.27</v>
      </c>
      <c r="F19" s="2555">
        <f>'数据-基础表'!I13</f>
        <v>7723.02</v>
      </c>
      <c r="G19" s="1242">
        <f>'数据-基础表'!K13</f>
        <v>2228.25</v>
      </c>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9951.27</v>
      </c>
    </row>
    <row r="20" spans="1:19">
      <c r="A20" s="1548"/>
      <c r="B20" s="45" t="s">
        <v>1153</v>
      </c>
      <c r="C20" s="3113" t="s">
        <v>3518</v>
      </c>
      <c r="D20" s="43">
        <f t="shared" ref="D20:D26" si="6">ROUND($D$3*E20/$E$3,2)</f>
        <v>0</v>
      </c>
      <c r="E20" s="51">
        <f t="shared" si="1"/>
        <v>2137.38</v>
      </c>
      <c r="F20" s="2555">
        <f>'数据-基础表'!I14</f>
        <v>2137.38</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2137.38</v>
      </c>
    </row>
    <row r="21" spans="1:19">
      <c r="A21" s="1548"/>
      <c r="B21" s="45" t="s">
        <v>1153</v>
      </c>
      <c r="C21" s="3113" t="s">
        <v>3520</v>
      </c>
      <c r="D21" s="43">
        <f t="shared" si="6"/>
        <v>0</v>
      </c>
      <c r="E21" s="51">
        <f t="shared" si="1"/>
        <v>8155.52</v>
      </c>
      <c r="F21" s="2555">
        <f>'数据-基础表'!I15</f>
        <v>8155.52</v>
      </c>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8155.52</v>
      </c>
    </row>
    <row r="22" spans="1:19">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4.5" thickBot="1">
      <c r="A27" s="1548"/>
      <c r="B27" s="43"/>
      <c r="C27" s="1553" t="s">
        <v>1154</v>
      </c>
      <c r="D27" s="1071">
        <f>SUM(D19:D26)</f>
        <v>0</v>
      </c>
      <c r="E27" s="1072">
        <f>IF(SUM(E19:E26)='数据-基础表'!BA5,SUM(E19:E26),IF(F27="地上面积有误","面积有误","地下面积有误"))</f>
        <v>20244.170000000002</v>
      </c>
      <c r="F27" s="1071">
        <f>IF(SUM(F19:F26)=E8,SUM(F19:F26),"地上面积有误")</f>
        <v>18015.920000000002</v>
      </c>
      <c r="G27" s="1073">
        <f>SUM(G19:G26)</f>
        <v>2228.25</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20244.170000000002</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4.5" thickBot="1">
      <c r="A31" s="1556"/>
      <c r="B31" s="96"/>
      <c r="C31" s="784" t="s">
        <v>1158</v>
      </c>
      <c r="D31" s="643">
        <f>D27+D30</f>
        <v>0</v>
      </c>
      <c r="E31" s="643">
        <f>E27+E30</f>
        <v>20244.170000000002</v>
      </c>
      <c r="F31" s="644">
        <f>F27+F30</f>
        <v>18015.920000000002</v>
      </c>
      <c r="G31" s="645">
        <f>G27+G30</f>
        <v>2228.25</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J24" sqref="AJ24"/>
    </sheetView>
  </sheetViews>
  <sheetFormatPr defaultColWidth="13.7265625" defaultRowHeight="12.5"/>
  <cols>
    <col min="1" max="1" width="20.90625" style="1617" customWidth="1"/>
    <col min="2" max="2" width="12" style="1560" customWidth="1"/>
    <col min="3" max="3" width="12.7265625" style="1560" customWidth="1"/>
    <col min="4" max="4" width="9.08984375" style="1618" customWidth="1"/>
    <col min="5" max="5" width="15" style="1560" bestFit="1" customWidth="1"/>
    <col min="6"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7.453125" style="1560" customWidth="1"/>
    <col min="22" max="22" width="6.36328125" style="1560" customWidth="1"/>
    <col min="23" max="23" width="6.7265625" style="1560" customWidth="1"/>
    <col min="24" max="24" width="8.54296875" style="1560" customWidth="1"/>
    <col min="25" max="25" width="11.08984375" style="1560" customWidth="1"/>
    <col min="26" max="30" width="6.7265625" style="1560" customWidth="1"/>
    <col min="31" max="31" width="8" style="1560" customWidth="1"/>
    <col min="32" max="34" width="7.26953125" style="1560" customWidth="1"/>
    <col min="35" max="39" width="8" style="1560" customWidth="1"/>
    <col min="40" max="40" width="13.7265625" style="122"/>
    <col min="41" max="41" width="11.6328125" style="122" customWidth="1"/>
    <col min="42" max="42" width="9.7265625" style="122" customWidth="1"/>
    <col min="43" max="67" width="13.7265625" style="122"/>
    <col min="68" max="16384" width="13.726562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3">
        <f>项目基本情况!D3</f>
        <v>45974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3468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
      <c r="A6" s="1585" t="str">
        <f>'数据-汇总表'!C19</f>
        <v>房本1</v>
      </c>
      <c r="B6" s="1586" t="str">
        <f>IF(A6=0,"","经营性")</f>
        <v>经营性</v>
      </c>
      <c r="C6" s="1587" t="s">
        <v>673</v>
      </c>
      <c r="D6" s="804">
        <f>SUMIF(项目基本情况!C$12:I$12,C6,项目基本情况!C$14:I$14)</f>
        <v>40</v>
      </c>
      <c r="E6" s="803">
        <f>IF(B6="","",SUMIF(项目基本情况!C$12:I$12,C6,项目基本情况!C$13:I$13))</f>
        <v>51831</v>
      </c>
      <c r="F6" s="61">
        <f>SUMIF(项目基本情况!C$12:I$12,C6,项目基本情况!C$15:I$15)</f>
        <v>16.04</v>
      </c>
      <c r="G6" s="62">
        <f>IF(ISERROR(ROUND(POWER(1+H6,D6-F6)*(POWER(1+H6,F6)-1)/(POWER(1+H6,D6)-1),3)),0,ROUND(POWER(1+H6,D6-F6)*(POWER(1+H6,F6)-1)/(POWER(1+H6,D6)-1),3))</f>
        <v>0.63300000000000001</v>
      </c>
      <c r="H6" s="691">
        <v>0.05</v>
      </c>
      <c r="I6" s="691">
        <v>5.5E-2</v>
      </c>
      <c r="J6" s="63">
        <v>7.0000000000000007E-2</v>
      </c>
      <c r="K6" s="969">
        <f>SUMIF('数据-汇总表'!C$19:C$33,A6,'数据-汇总表'!E$19:E$33)</f>
        <v>9951.27</v>
      </c>
      <c r="L6" s="692">
        <v>3500</v>
      </c>
      <c r="M6" s="64">
        <f t="shared" ref="M6:M14" si="0">ROUND(K6*L6/10000,0)</f>
        <v>3483</v>
      </c>
      <c r="N6" s="690">
        <f>O21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4">
        <f>Y28</f>
        <v>2.42</v>
      </c>
      <c r="V6" s="67">
        <v>0.02</v>
      </c>
      <c r="W6" s="67">
        <v>0.1</v>
      </c>
      <c r="X6" s="978"/>
      <c r="Y6" s="68">
        <f>N6</f>
        <v>0.74</v>
      </c>
      <c r="Z6" s="69"/>
      <c r="AA6" s="63"/>
      <c r="AB6" s="63"/>
      <c r="AC6" s="978"/>
      <c r="AD6" s="70"/>
      <c r="AE6" s="979">
        <f ca="1">IF(AN6="",0,SUMIF(INDIRECT("'"&amp;AN6&amp;"'"&amp;"!E:E"),$AE$5,INDIRECT("'"&amp;AN6&amp;"'"&amp;"!F:F")))</f>
        <v>16.04</v>
      </c>
      <c r="AF6" s="74"/>
      <c r="AG6" s="130">
        <f>IF(AF6="",0,AE6-AF6)</f>
        <v>0</v>
      </c>
      <c r="AH6" s="71"/>
      <c r="AI6" s="73">
        <v>365</v>
      </c>
      <c r="AJ6" s="74"/>
      <c r="AK6" s="75">
        <v>5.0000000000000001E-3</v>
      </c>
      <c r="AL6" s="76">
        <v>1E-3</v>
      </c>
      <c r="AM6" s="77">
        <v>0.01</v>
      </c>
      <c r="AN6" s="1588" t="s">
        <v>3527</v>
      </c>
      <c r="AO6" s="50">
        <f ca="1">SUMIF(INDIRECT("'"&amp;AN6&amp;"'"&amp;"!A:A"),"总价",INDIRECT("'"&amp;AN6&amp;"'"&amp;"!B:B"))</f>
        <v>8070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t="str">
        <f>'数据-汇总表'!C20</f>
        <v>房本2</v>
      </c>
      <c r="B7" s="1586" t="str">
        <f t="shared" ref="B7:B13" si="1">IF(A7=0,"","经营性")</f>
        <v>经营性</v>
      </c>
      <c r="C7" s="1587" t="s">
        <v>673</v>
      </c>
      <c r="D7" s="804">
        <f>SUMIF(项目基本情况!C$12:I$12,C7,项目基本情况!C$14:I$14)</f>
        <v>40</v>
      </c>
      <c r="E7" s="803">
        <f>IF(B7="","",SUMIF(项目基本情况!C$12:I$12,C7,项目基本情况!C$13:I$13))</f>
        <v>51831</v>
      </c>
      <c r="F7" s="61">
        <f>SUMIF(项目基本情况!C$12:I$12,C7,项目基本情况!C$15:I$15)</f>
        <v>16.04</v>
      </c>
      <c r="G7" s="62">
        <f t="shared" ref="G7:G11" si="2">IF(ISERROR(ROUND(POWER(1+H7,D7-F7)*(POWER(1+H7,F7)-1)/(POWER(1+H7,D7)-1),3)),0,ROUND(POWER(1+H7,D7-F7)*(POWER(1+H7,F7)-1)/(POWER(1+H7,D7)-1),3))</f>
        <v>0.63300000000000001</v>
      </c>
      <c r="H7" s="691">
        <f>H6</f>
        <v>0.05</v>
      </c>
      <c r="I7" s="691">
        <f t="shared" ref="I7:J8" si="3">I6</f>
        <v>5.5E-2</v>
      </c>
      <c r="J7" s="691">
        <f t="shared" si="3"/>
        <v>7.0000000000000007E-2</v>
      </c>
      <c r="K7" s="969">
        <f>SUMIF('数据-汇总表'!C$19:C$33,A7,'数据-汇总表'!E$19:E$33)</f>
        <v>2137.38</v>
      </c>
      <c r="L7" s="692">
        <f>L6</f>
        <v>3500</v>
      </c>
      <c r="M7" s="64">
        <f t="shared" si="0"/>
        <v>748</v>
      </c>
      <c r="N7" s="690">
        <f>N6</f>
        <v>0.74</v>
      </c>
      <c r="O7" s="64" t="str">
        <f t="shared" ref="O7:O14" si="4">IF($N$5="成新度","——",ROUND(M7*N7,0))</f>
        <v>——</v>
      </c>
      <c r="P7" s="65" t="str">
        <f t="shared" ref="P7:P14" si="5">IF($N$5="成新度","——",M7-O7)</f>
        <v>——</v>
      </c>
      <c r="Q7" s="693">
        <v>0.15</v>
      </c>
      <c r="R7" s="66">
        <f ca="1">SUMIF('数据-汇总表'!C$19:C$33,A7,'数据-汇总表'!R$19:R$27)</f>
        <v>0</v>
      </c>
      <c r="S7" s="49">
        <f>IF('数据-汇总表'!$I$17="按面积比例",SUMIF('数据-汇总表'!C$19:C$33,A7,'数据-汇总表'!K$19:K$33),SUMIF('数据-汇总表'!C$19:C$33,A7,'数据-汇总表'!N$19:N$33))</f>
        <v>0</v>
      </c>
      <c r="T7" s="1091">
        <f t="shared" ref="T7:T13" si="6">ROUND($L$14*S7/10000,0)</f>
        <v>0</v>
      </c>
      <c r="U7" s="3124">
        <f>Z28</f>
        <v>2.56</v>
      </c>
      <c r="V7" s="67">
        <f>V6</f>
        <v>0.02</v>
      </c>
      <c r="W7" s="67">
        <f>W6</f>
        <v>0.1</v>
      </c>
      <c r="X7" s="978"/>
      <c r="Y7" s="68">
        <f>Y6</f>
        <v>0.74</v>
      </c>
      <c r="Z7" s="69"/>
      <c r="AA7" s="63"/>
      <c r="AB7" s="63"/>
      <c r="AC7" s="978"/>
      <c r="AD7" s="70"/>
      <c r="AE7" s="979">
        <f t="shared" ref="AE7:AE13" ca="1" si="7">IF(AN7="",0,SUMIF(INDIRECT("'"&amp;AN7&amp;"'"&amp;"!E:E"),$AE$5,INDIRECT("'"&amp;AN7&amp;"'"&amp;"!F:F")))</f>
        <v>16.04</v>
      </c>
      <c r="AF7" s="74"/>
      <c r="AG7" s="130">
        <f t="shared" ref="AG7:AG13" si="8">IF(AF7="",0,AE7-AF7)</f>
        <v>0</v>
      </c>
      <c r="AH7" s="71"/>
      <c r="AI7" s="73">
        <v>365</v>
      </c>
      <c r="AJ7" s="74"/>
      <c r="AK7" s="75">
        <f>AK6</f>
        <v>5.0000000000000001E-3</v>
      </c>
      <c r="AL7" s="75">
        <f t="shared" ref="AL7:AM8" si="9">AL6</f>
        <v>1E-3</v>
      </c>
      <c r="AM7" s="75">
        <f t="shared" si="9"/>
        <v>0.01</v>
      </c>
      <c r="AN7" s="1588" t="s">
        <v>3529</v>
      </c>
      <c r="AO7" s="50">
        <f t="shared" ref="AO7:AO13" ca="1" si="10">SUMIF(INDIRECT("'"&amp;AN7&amp;"'"&amp;"!A:A"),"总价",INDIRECT("'"&amp;AN7&amp;"'"&amp;"!B:B"))</f>
        <v>1834</v>
      </c>
      <c r="AP7" s="1589">
        <f t="shared" ref="AP7:AP13" si="11">IF(C7="住宅",K7*L7,0)</f>
        <v>0</v>
      </c>
      <c r="AQ7" s="50">
        <f t="shared" ref="AQ7:AQ13" si="12">ROUND($L$14*$N$14*S7/10000,0)</f>
        <v>0</v>
      </c>
      <c r="AR7" s="50">
        <f t="shared" ref="AR7:AR13" si="13">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c r="A8" s="1585" t="str">
        <f>'数据-汇总表'!C21</f>
        <v>房本3</v>
      </c>
      <c r="B8" s="1586" t="str">
        <f t="shared" si="1"/>
        <v>经营性</v>
      </c>
      <c r="C8" s="1587" t="s">
        <v>673</v>
      </c>
      <c r="D8" s="804">
        <f>SUMIF(项目基本情况!C$12:I$12,C8,项目基本情况!C$14:I$14)</f>
        <v>40</v>
      </c>
      <c r="E8" s="803">
        <f>IF(B8="","",SUMIF(项目基本情况!C$12:I$12,C8,项目基本情况!C$13:I$13))</f>
        <v>51831</v>
      </c>
      <c r="F8" s="61">
        <f>SUMIF(项目基本情况!C$12:I$12,C8,项目基本情况!C$15:I$15)</f>
        <v>16.04</v>
      </c>
      <c r="G8" s="62">
        <f t="shared" si="2"/>
        <v>0.63300000000000001</v>
      </c>
      <c r="H8" s="691">
        <f>H7</f>
        <v>0.05</v>
      </c>
      <c r="I8" s="691">
        <f t="shared" si="3"/>
        <v>5.5E-2</v>
      </c>
      <c r="J8" s="691">
        <f t="shared" si="3"/>
        <v>7.0000000000000007E-2</v>
      </c>
      <c r="K8" s="969">
        <f>SUMIF('数据-汇总表'!C$19:C$33,A8,'数据-汇总表'!E$19:E$33)</f>
        <v>8155.52</v>
      </c>
      <c r="L8" s="692">
        <v>3000</v>
      </c>
      <c r="M8" s="64">
        <f>ROUND(K8*L8/10000,0)</f>
        <v>2447</v>
      </c>
      <c r="N8" s="690">
        <f>N7</f>
        <v>0.74</v>
      </c>
      <c r="O8" s="64" t="str">
        <f t="shared" si="4"/>
        <v>——</v>
      </c>
      <c r="P8" s="65" t="str">
        <f t="shared" si="5"/>
        <v>——</v>
      </c>
      <c r="Q8" s="693">
        <v>0.15</v>
      </c>
      <c r="R8" s="66">
        <f ca="1">SUMIF('数据-汇总表'!C$19:C$33,A8,'数据-汇总表'!R$19:R$27)</f>
        <v>0</v>
      </c>
      <c r="S8" s="49">
        <f>IF('数据-汇总表'!$I$17="按面积比例",SUMIF('数据-汇总表'!C$19:C$33,A8,'数据-汇总表'!K$19:K$33),SUMIF('数据-汇总表'!C$19:C$33,A8,'数据-汇总表'!N$19:N$33))</f>
        <v>0</v>
      </c>
      <c r="T8" s="1091">
        <f t="shared" si="6"/>
        <v>0</v>
      </c>
      <c r="U8" s="3125">
        <f>AA28</f>
        <v>2.66</v>
      </c>
      <c r="V8" s="694">
        <f>V7</f>
        <v>0.02</v>
      </c>
      <c r="W8" s="694">
        <v>0.15</v>
      </c>
      <c r="X8" s="978"/>
      <c r="Y8" s="68">
        <f>Y7</f>
        <v>0.74</v>
      </c>
      <c r="Z8" s="69"/>
      <c r="AA8" s="63"/>
      <c r="AB8" s="63"/>
      <c r="AC8" s="978"/>
      <c r="AD8" s="70"/>
      <c r="AE8" s="979">
        <f t="shared" ca="1" si="7"/>
        <v>16.04</v>
      </c>
      <c r="AF8" s="74"/>
      <c r="AG8" s="130">
        <f t="shared" si="8"/>
        <v>0</v>
      </c>
      <c r="AH8" s="695"/>
      <c r="AI8" s="73">
        <v>365</v>
      </c>
      <c r="AJ8" s="74"/>
      <c r="AK8" s="696">
        <f>AK7</f>
        <v>5.0000000000000001E-3</v>
      </c>
      <c r="AL8" s="696">
        <f t="shared" si="9"/>
        <v>1E-3</v>
      </c>
      <c r="AM8" s="696">
        <f t="shared" si="9"/>
        <v>0.01</v>
      </c>
      <c r="AN8" s="1588" t="s">
        <v>3531</v>
      </c>
      <c r="AO8" s="50">
        <f t="shared" ca="1" si="10"/>
        <v>6831</v>
      </c>
      <c r="AP8" s="1589">
        <f t="shared" si="11"/>
        <v>0</v>
      </c>
      <c r="AQ8" s="50">
        <f t="shared" si="12"/>
        <v>0</v>
      </c>
      <c r="AR8" s="50">
        <f t="shared" si="13"/>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1">
        <f t="shared" si="6"/>
        <v>0</v>
      </c>
      <c r="U9" s="3124"/>
      <c r="V9" s="67"/>
      <c r="W9" s="67"/>
      <c r="X9" s="978"/>
      <c r="Y9" s="68"/>
      <c r="Z9" s="69"/>
      <c r="AA9" s="63"/>
      <c r="AB9" s="63"/>
      <c r="AC9" s="978"/>
      <c r="AD9" s="70"/>
      <c r="AE9" s="979">
        <f t="shared" ca="1" si="7"/>
        <v>0</v>
      </c>
      <c r="AF9" s="74"/>
      <c r="AG9" s="130">
        <f t="shared" si="8"/>
        <v>0</v>
      </c>
      <c r="AH9" s="71"/>
      <c r="AI9" s="73"/>
      <c r="AJ9" s="74"/>
      <c r="AK9" s="75"/>
      <c r="AL9" s="76"/>
      <c r="AM9" s="77"/>
      <c r="AN9" s="1588"/>
      <c r="AO9" s="50" t="e">
        <f t="shared" ca="1" si="10"/>
        <v>#REF!</v>
      </c>
      <c r="AP9" s="1589">
        <f t="shared" si="11"/>
        <v>0</v>
      </c>
      <c r="AQ9" s="50">
        <f t="shared" si="12"/>
        <v>0</v>
      </c>
      <c r="AR9" s="50">
        <f t="shared" si="13"/>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1">
        <f t="shared" si="6"/>
        <v>0</v>
      </c>
      <c r="U10" s="3124"/>
      <c r="V10" s="67"/>
      <c r="W10" s="67"/>
      <c r="X10" s="978"/>
      <c r="Y10" s="68"/>
      <c r="Z10" s="69"/>
      <c r="AA10" s="63"/>
      <c r="AB10" s="63"/>
      <c r="AC10" s="978"/>
      <c r="AD10" s="70"/>
      <c r="AE10" s="979">
        <f t="shared" ca="1" si="7"/>
        <v>0</v>
      </c>
      <c r="AF10" s="74"/>
      <c r="AG10" s="130">
        <f t="shared" si="8"/>
        <v>0</v>
      </c>
      <c r="AH10" s="71"/>
      <c r="AI10" s="73"/>
      <c r="AJ10" s="74"/>
      <c r="AK10" s="75"/>
      <c r="AL10" s="76"/>
      <c r="AM10" s="77"/>
      <c r="AN10" s="1588"/>
      <c r="AO10" s="50" t="e">
        <f t="shared" ca="1" si="10"/>
        <v>#REF!</v>
      </c>
      <c r="AP10" s="1589">
        <f t="shared" si="11"/>
        <v>0</v>
      </c>
      <c r="AQ10" s="50">
        <f t="shared" si="12"/>
        <v>0</v>
      </c>
      <c r="AR10" s="50">
        <f t="shared" si="13"/>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1">
        <f t="shared" si="6"/>
        <v>0</v>
      </c>
      <c r="U11" s="3124"/>
      <c r="V11" s="63"/>
      <c r="W11" s="63"/>
      <c r="X11" s="978"/>
      <c r="Y11" s="68"/>
      <c r="Z11" s="81"/>
      <c r="AA11" s="63"/>
      <c r="AB11" s="63"/>
      <c r="AC11" s="978"/>
      <c r="AD11" s="70"/>
      <c r="AE11" s="979">
        <f t="shared" ca="1" si="7"/>
        <v>0</v>
      </c>
      <c r="AF11" s="74"/>
      <c r="AG11" s="130">
        <f t="shared" si="8"/>
        <v>0</v>
      </c>
      <c r="AH11" s="71"/>
      <c r="AI11" s="73"/>
      <c r="AJ11" s="74"/>
      <c r="AK11" s="75"/>
      <c r="AL11" s="76"/>
      <c r="AM11" s="77"/>
      <c r="AN11" s="1588"/>
      <c r="AO11" s="50" t="e">
        <f t="shared" ca="1" si="10"/>
        <v>#REF!</v>
      </c>
      <c r="AP11" s="1589">
        <f t="shared" si="11"/>
        <v>0</v>
      </c>
      <c r="AQ11" s="50">
        <f t="shared" si="12"/>
        <v>0</v>
      </c>
      <c r="AR11" s="50">
        <f t="shared" si="13"/>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1">
        <f t="shared" si="6"/>
        <v>0</v>
      </c>
      <c r="U12" s="3124"/>
      <c r="V12" s="63"/>
      <c r="W12" s="63"/>
      <c r="X12" s="978"/>
      <c r="Y12" s="68"/>
      <c r="Z12" s="81"/>
      <c r="AA12" s="63"/>
      <c r="AB12" s="63"/>
      <c r="AC12" s="978"/>
      <c r="AD12" s="70"/>
      <c r="AE12" s="979">
        <f t="shared" ca="1" si="7"/>
        <v>0</v>
      </c>
      <c r="AF12" s="74"/>
      <c r="AG12" s="130">
        <f t="shared" si="8"/>
        <v>0</v>
      </c>
      <c r="AH12" s="71"/>
      <c r="AI12" s="73"/>
      <c r="AJ12" s="74"/>
      <c r="AK12" s="75"/>
      <c r="AL12" s="76"/>
      <c r="AM12" s="77"/>
      <c r="AN12" s="1588"/>
      <c r="AO12" s="50" t="e">
        <f t="shared" ca="1" si="10"/>
        <v>#REF!</v>
      </c>
      <c r="AP12" s="1589">
        <f t="shared" si="11"/>
        <v>0</v>
      </c>
      <c r="AQ12" s="50">
        <f t="shared" si="12"/>
        <v>0</v>
      </c>
      <c r="AR12" s="50">
        <f t="shared" si="13"/>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1">
        <f t="shared" si="6"/>
        <v>0</v>
      </c>
      <c r="U13" s="3126"/>
      <c r="V13" s="67"/>
      <c r="W13" s="67"/>
      <c r="X13" s="978"/>
      <c r="Y13" s="68"/>
      <c r="Z13" s="69"/>
      <c r="AA13" s="63"/>
      <c r="AB13" s="63"/>
      <c r="AC13" s="978"/>
      <c r="AD13" s="70"/>
      <c r="AE13" s="979">
        <f t="shared" ca="1" si="7"/>
        <v>0</v>
      </c>
      <c r="AF13" s="74"/>
      <c r="AG13" s="130">
        <f t="shared" si="8"/>
        <v>0</v>
      </c>
      <c r="AH13" s="71"/>
      <c r="AI13" s="73"/>
      <c r="AJ13" s="74"/>
      <c r="AK13" s="75"/>
      <c r="AL13" s="76"/>
      <c r="AM13" s="77"/>
      <c r="AN13" s="1588"/>
      <c r="AO13" s="50" t="e">
        <f t="shared" ca="1" si="10"/>
        <v>#REF!</v>
      </c>
      <c r="AP13" s="1589">
        <f t="shared" si="11"/>
        <v>0</v>
      </c>
      <c r="AQ13" s="50">
        <f t="shared" si="12"/>
        <v>0</v>
      </c>
      <c r="AR13" s="50">
        <f t="shared" si="13"/>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4"/>
        <v>——</v>
      </c>
      <c r="P14" s="65" t="str">
        <f t="shared" si="5"/>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2"/>
      <c r="C16" s="782"/>
      <c r="D16" s="1593"/>
      <c r="E16" s="82"/>
      <c r="F16" s="82"/>
      <c r="G16" s="83">
        <f>ROUND(SUMPRODUCT(G6:G13,K6:K13)/SUMPRODUCT((G6:G13&gt;0)*(K6:K13)),3)</f>
        <v>0.63300000000000001</v>
      </c>
      <c r="H16" s="84">
        <f>ROUND(SUMPRODUCT(H6:H13,K6:K13)/SUMPRODUCT((H6:H13&gt;0)*(K6:K13)),3)</f>
        <v>0.05</v>
      </c>
      <c r="I16" s="85"/>
      <c r="J16" s="85"/>
      <c r="K16" s="86">
        <f>SUM(K6:K15)</f>
        <v>20244.170000000002</v>
      </c>
      <c r="L16" s="87">
        <f>ROUND(M16*10000/SUM(K6:K14),0)</f>
        <v>3299</v>
      </c>
      <c r="M16" s="87">
        <f>SUM(M6:M14)</f>
        <v>6678</v>
      </c>
      <c r="N16" s="88">
        <f>ROUND(SUMPRODUCT(M6:M14,N6:N14)/M16,3)</f>
        <v>0.74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3511"/>
      <c r="T17" s="2446"/>
      <c r="U17" s="3511"/>
      <c r="V17" s="3511"/>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2446"/>
      <c r="N18" s="3511" t="s">
        <v>3475</v>
      </c>
      <c r="O18" s="2446">
        <f>信息!I5</f>
        <v>2005</v>
      </c>
      <c r="P18" s="3511" t="s">
        <v>3476</v>
      </c>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5" t="s">
        <v>1211</v>
      </c>
      <c r="B19" s="97">
        <v>0</v>
      </c>
      <c r="C19" s="2558" t="s">
        <v>2302</v>
      </c>
      <c r="D19" s="2449"/>
      <c r="E19" s="2437"/>
      <c r="F19" s="2437"/>
      <c r="G19" s="2437"/>
      <c r="H19" s="2437"/>
      <c r="I19" s="2437"/>
      <c r="J19" s="2437"/>
      <c r="K19" s="2447"/>
      <c r="L19" s="2447"/>
      <c r="M19" s="2446"/>
      <c r="N19" s="3511" t="s">
        <v>3477</v>
      </c>
      <c r="O19" s="2446">
        <f>ROUND(1-(1-0)*(2025-O18)/60,2)</f>
        <v>0.67</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6" t="s">
        <v>1212</v>
      </c>
      <c r="B20" s="98">
        <v>2</v>
      </c>
      <c r="C20" s="2559" t="s">
        <v>2300</v>
      </c>
      <c r="D20" s="2449"/>
      <c r="E20" s="2437"/>
      <c r="F20" s="2437"/>
      <c r="G20" s="2437"/>
      <c r="H20" s="2437"/>
      <c r="I20" s="2437"/>
      <c r="J20" s="2437"/>
      <c r="K20" s="2447"/>
      <c r="L20" s="2447"/>
      <c r="M20" s="2446"/>
      <c r="N20" s="3511" t="s">
        <v>3478</v>
      </c>
      <c r="O20" s="2446">
        <v>0.8</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7" t="s">
        <v>1213</v>
      </c>
      <c r="B21" s="98">
        <f>B20</f>
        <v>2</v>
      </c>
      <c r="C21" s="2437"/>
      <c r="D21" s="2449"/>
      <c r="E21" s="2437"/>
      <c r="F21" s="2437"/>
      <c r="G21" s="2437"/>
      <c r="H21" s="2437"/>
      <c r="I21" s="2437"/>
      <c r="J21" s="2437"/>
      <c r="K21" s="2447"/>
      <c r="L21" s="2447"/>
      <c r="M21" s="2446"/>
      <c r="N21" s="3511" t="s">
        <v>3479</v>
      </c>
      <c r="O21" s="2446">
        <f>ROUND((O19+O20)/2,2)</f>
        <v>0.74</v>
      </c>
      <c r="P21" s="2446"/>
      <c r="Q21" s="2446"/>
      <c r="R21" s="2446"/>
      <c r="S21" s="2446"/>
      <c r="T21" s="2446"/>
      <c r="U21" s="3511" t="s">
        <v>3484</v>
      </c>
      <c r="W21" s="2446"/>
      <c r="X21" s="3511" t="s">
        <v>3483</v>
      </c>
      <c r="Y21" s="3511" t="s">
        <v>3533</v>
      </c>
      <c r="Z21" s="3513" t="s">
        <v>3534</v>
      </c>
      <c r="AA21" s="3513" t="s">
        <v>3535</v>
      </c>
      <c r="AB21" s="2446"/>
      <c r="AC21" s="2446"/>
      <c r="AD21" s="2446"/>
      <c r="AE21" s="2446"/>
      <c r="AF21" s="2446"/>
      <c r="AG21" s="2446"/>
      <c r="AH21" s="2446"/>
      <c r="AI21" s="2446"/>
      <c r="AJ21" s="2446"/>
      <c r="AK21" s="2446"/>
      <c r="AL21" s="2446"/>
      <c r="AM21" s="2446"/>
      <c r="AN21" s="2446"/>
      <c r="AO21" s="2446"/>
      <c r="AP21" s="2446"/>
      <c r="AQ21" s="2446"/>
      <c r="AR21" s="2446"/>
    </row>
    <row r="22" spans="1:44" ht="14">
      <c r="A22" s="1596" t="s">
        <v>1214</v>
      </c>
      <c r="B22" s="99">
        <f>B19+B20</f>
        <v>2</v>
      </c>
      <c r="C22" s="2437"/>
      <c r="D22" s="2449"/>
      <c r="E22" s="2437"/>
      <c r="F22" s="2437"/>
      <c r="G22" s="2437"/>
      <c r="H22" s="2437"/>
      <c r="I22" s="2437"/>
      <c r="J22" s="2437"/>
      <c r="K22" s="2447"/>
      <c r="L22" s="2447"/>
      <c r="M22" s="2446"/>
      <c r="N22" s="2446"/>
      <c r="O22" s="2446"/>
      <c r="P22" s="2446"/>
      <c r="Q22" s="2446"/>
      <c r="R22" s="2446"/>
      <c r="S22" s="2446"/>
      <c r="T22" s="3513" t="s">
        <v>3486</v>
      </c>
      <c r="U22" s="3511">
        <v>50</v>
      </c>
      <c r="W22" s="3513" t="s">
        <v>3486</v>
      </c>
      <c r="X22" s="3511">
        <f>ROUND(X23*U22/U23,2)</f>
        <v>1.75</v>
      </c>
      <c r="Y22" s="3511">
        <f>信息!K5</f>
        <v>2228.25</v>
      </c>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7" t="s">
        <v>1215</v>
      </c>
      <c r="B23" s="99">
        <f>B19+B21</f>
        <v>2</v>
      </c>
      <c r="C23" s="2437"/>
      <c r="D23" s="2449"/>
      <c r="E23" s="2437"/>
      <c r="F23" s="2437"/>
      <c r="G23" s="2437"/>
      <c r="H23" s="2437"/>
      <c r="I23" s="2437"/>
      <c r="J23" s="2437"/>
      <c r="K23" s="2447"/>
      <c r="L23" s="2447"/>
      <c r="M23" s="2446"/>
      <c r="N23" s="2446"/>
      <c r="O23" s="2446"/>
      <c r="P23" s="2446"/>
      <c r="Q23" s="2446"/>
      <c r="R23" s="2446"/>
      <c r="S23" s="2446"/>
      <c r="T23" s="2446" t="s">
        <v>3481</v>
      </c>
      <c r="U23" s="2446">
        <v>100</v>
      </c>
      <c r="W23" s="2446" t="s">
        <v>3481</v>
      </c>
      <c r="X23" s="2446">
        <v>3.5</v>
      </c>
      <c r="Y23" s="2446">
        <f>信息!K6</f>
        <v>2154.46</v>
      </c>
      <c r="Z23" s="2446">
        <f>信息!K16+信息!K17</f>
        <v>581.37</v>
      </c>
      <c r="AA23" s="2446">
        <f>信息!K26+信息!K32</f>
        <v>2579.2600000000002</v>
      </c>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t="s">
        <v>3482</v>
      </c>
      <c r="U24" s="2446">
        <v>80</v>
      </c>
      <c r="W24" s="2446" t="s">
        <v>3482</v>
      </c>
      <c r="X24" s="2446">
        <f>ROUND(X23*U24/U23,2)</f>
        <v>2.8</v>
      </c>
      <c r="Y24" s="2446">
        <f>信息!K7</f>
        <v>2784.28</v>
      </c>
      <c r="Z24" s="2446">
        <f>信息!K18</f>
        <v>682.66</v>
      </c>
      <c r="AA24" s="2446">
        <f>信息!K27+信息!K33</f>
        <v>2788.13</v>
      </c>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8"/>
      <c r="B25" s="1541"/>
      <c r="C25" s="2437"/>
      <c r="D25" s="2449"/>
      <c r="E25" s="2437"/>
      <c r="F25" s="2437"/>
      <c r="G25" s="2437"/>
      <c r="H25" s="2437"/>
      <c r="I25" s="2437"/>
      <c r="J25" s="2437"/>
      <c r="K25" s="2447"/>
      <c r="L25" s="2447"/>
      <c r="M25" s="2446"/>
      <c r="N25" s="2446"/>
      <c r="O25" s="2446"/>
      <c r="P25" s="2446"/>
      <c r="Q25" s="2446"/>
      <c r="R25" s="2446"/>
      <c r="S25" s="2446"/>
      <c r="T25" s="2446" t="s">
        <v>3485</v>
      </c>
      <c r="U25" s="2446">
        <v>50</v>
      </c>
      <c r="W25" s="2446" t="s">
        <v>3485</v>
      </c>
      <c r="X25" s="2446">
        <f>ROUND(X23*U25/U23,2)</f>
        <v>1.75</v>
      </c>
      <c r="Y25" s="2446">
        <f>信息!K8</f>
        <v>2784.28</v>
      </c>
      <c r="Z25" s="2446">
        <f>信息!K19</f>
        <v>873.35</v>
      </c>
      <c r="AA25" s="2446">
        <f>信息!K28+信息!K34</f>
        <v>2788.13</v>
      </c>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3511" t="s">
        <v>3488</v>
      </c>
      <c r="Y26" s="2446">
        <f>Y22+Y23+Y24+Y25</f>
        <v>9951.27</v>
      </c>
      <c r="Z26" s="2446">
        <f t="shared" ref="Z26:AA26" si="14">Z22+Z23+Z24+Z25</f>
        <v>2137.38</v>
      </c>
      <c r="AA26" s="2446">
        <f t="shared" si="14"/>
        <v>8155.52</v>
      </c>
      <c r="AB26" s="2446"/>
      <c r="AC26" s="2446"/>
      <c r="AD26" s="2446"/>
      <c r="AE26" s="2446"/>
      <c r="AF26" s="2446"/>
      <c r="AG26" s="2446"/>
      <c r="AH26" s="2446"/>
      <c r="AI26" s="2446"/>
      <c r="AJ26" s="2446"/>
      <c r="AK26" s="2446"/>
      <c r="AL26" s="2446"/>
      <c r="AM26" s="2446"/>
      <c r="AN26" s="2446"/>
      <c r="AO26" s="2446"/>
      <c r="AP26" s="2446"/>
      <c r="AQ26" s="2446"/>
      <c r="AR26" s="2446"/>
    </row>
    <row r="27" spans="1:44" ht="28.5">
      <c r="A27" s="1600"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3511" t="s">
        <v>3487</v>
      </c>
      <c r="Y28" s="2446">
        <f>ROUND((X22*Y22+X23*Y23+X24*Y24+X25*Y25)/Y26,2)</f>
        <v>2.42</v>
      </c>
      <c r="Z28" s="2446">
        <f>ROUND((Z23*X23+Z24*X24+Z25*X25)/Z26,2)</f>
        <v>2.56</v>
      </c>
      <c r="AA28" s="2446">
        <f>ROUND((AA23*X23+AA24*X24+AA25*X25)/AA26,2)</f>
        <v>2.66</v>
      </c>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2"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3"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4"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0" t="s">
        <v>1226</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1"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1"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2" t="s">
        <v>1229</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3" t="s">
        <v>1230</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1" t="s">
        <v>1231</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4">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0"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5" t="s">
        <v>1235</v>
      </c>
      <c r="B43" s="111">
        <f>B42*(B44+B45+B46)+B47</f>
        <v>6.000000000000001E-3</v>
      </c>
      <c r="C43" s="2451"/>
      <c r="D43" s="3512" t="s">
        <v>3480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6" t="s">
        <v>1236</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6"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6"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7"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8"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4"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09"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1" t="s">
        <v>1245</v>
      </c>
      <c r="B53" s="1610"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1"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0" customWidth="1"/>
    <col min="19" max="29" width="9" style="750"/>
    <col min="30" max="16384" width="9" style="1521"/>
  </cols>
  <sheetData>
    <row r="1" spans="1:29" s="2257" customFormat="1" ht="18.5" thickBot="1">
      <c r="A1" s="3255" t="s">
        <v>2286</v>
      </c>
      <c r="B1" s="3256"/>
      <c r="C1" s="3256"/>
      <c r="D1" s="3256"/>
      <c r="E1" s="3256"/>
      <c r="F1" s="3256"/>
      <c r="G1" s="325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4"/>
      <c r="E2" s="2258"/>
      <c r="F2" s="2261"/>
      <c r="G2" s="2260" t="s">
        <v>2282</v>
      </c>
      <c r="H2" s="750"/>
      <c r="I2" s="750"/>
      <c r="J2" s="750"/>
      <c r="K2" s="750"/>
      <c r="L2" s="750"/>
      <c r="M2" s="750"/>
      <c r="N2" s="750"/>
      <c r="O2" s="750"/>
      <c r="P2" s="750"/>
      <c r="Q2" s="750"/>
    </row>
    <row r="3" spans="1:29" ht="52">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9">
      <c r="A4" s="2246"/>
      <c r="B4" s="315" t="s">
        <v>2254</v>
      </c>
      <c r="C4" s="2267" t="s">
        <v>2255</v>
      </c>
      <c r="D4" s="2264"/>
      <c r="E4" s="2268"/>
      <c r="F4" s="1280" t="s">
        <v>2256</v>
      </c>
      <c r="G4" s="2269" t="s">
        <v>2257</v>
      </c>
      <c r="H4" s="750"/>
      <c r="I4" s="750"/>
      <c r="J4" s="750"/>
      <c r="K4" s="750"/>
      <c r="L4" s="750"/>
      <c r="M4" s="750"/>
      <c r="N4" s="750"/>
      <c r="O4" s="750"/>
      <c r="P4" s="750"/>
      <c r="Q4" s="750"/>
    </row>
    <row r="5" spans="1:29" ht="39">
      <c r="A5" s="2246"/>
      <c r="B5" s="315" t="s">
        <v>2258</v>
      </c>
      <c r="C5" s="2267" t="s">
        <v>2259</v>
      </c>
      <c r="D5" s="2264"/>
      <c r="E5" s="2268"/>
      <c r="F5" s="315" t="s">
        <v>2260</v>
      </c>
      <c r="G5" s="2269" t="s">
        <v>2261</v>
      </c>
      <c r="H5" s="750"/>
      <c r="I5" s="750"/>
      <c r="J5" s="750"/>
      <c r="K5" s="750"/>
      <c r="L5" s="750"/>
      <c r="M5" s="750"/>
      <c r="N5" s="750"/>
      <c r="O5" s="750"/>
      <c r="P5" s="750"/>
      <c r="Q5" s="750"/>
    </row>
    <row r="6" spans="1:29" ht="39">
      <c r="A6" s="2246"/>
      <c r="B6" s="315" t="s">
        <v>2262</v>
      </c>
      <c r="C6" s="2269" t="s">
        <v>2257</v>
      </c>
      <c r="D6" s="2264"/>
      <c r="E6" s="2268"/>
      <c r="F6" s="315" t="s">
        <v>2263</v>
      </c>
      <c r="G6" s="2269" t="s">
        <v>2264</v>
      </c>
      <c r="H6" s="750"/>
      <c r="I6" s="750"/>
      <c r="J6" s="750"/>
      <c r="K6" s="750"/>
      <c r="L6" s="750"/>
      <c r="M6" s="750"/>
      <c r="N6" s="750"/>
      <c r="O6" s="750"/>
      <c r="P6" s="750"/>
      <c r="Q6" s="750"/>
    </row>
    <row r="7" spans="1:29" ht="39.5" thickBot="1">
      <c r="A7" s="2246"/>
      <c r="B7" s="315" t="s">
        <v>2260</v>
      </c>
      <c r="C7" s="2269" t="s">
        <v>2261</v>
      </c>
      <c r="D7" s="2243"/>
      <c r="E7" s="2270"/>
      <c r="F7" s="2271" t="s">
        <v>2265</v>
      </c>
      <c r="G7" s="2272" t="s">
        <v>2266</v>
      </c>
      <c r="H7" s="750"/>
      <c r="I7" s="750"/>
      <c r="J7" s="750"/>
      <c r="K7" s="750"/>
      <c r="L7" s="750"/>
      <c r="M7" s="750"/>
      <c r="N7" s="750"/>
      <c r="O7" s="750"/>
      <c r="P7" s="750"/>
      <c r="Q7" s="750"/>
    </row>
    <row r="8" spans="1:29" ht="26">
      <c r="A8" s="2246"/>
      <c r="B8" s="315" t="s">
        <v>2263</v>
      </c>
      <c r="C8" s="2269" t="s">
        <v>2264</v>
      </c>
      <c r="D8" s="2243"/>
      <c r="E8" s="2243"/>
      <c r="F8" s="121"/>
      <c r="G8" s="121"/>
      <c r="H8" s="750"/>
      <c r="I8" s="750"/>
      <c r="J8" s="750"/>
      <c r="K8" s="750"/>
      <c r="L8" s="750"/>
      <c r="M8" s="750"/>
      <c r="N8" s="750"/>
      <c r="O8" s="750"/>
      <c r="P8" s="750"/>
      <c r="Q8" s="750"/>
    </row>
    <row r="9" spans="1:29" ht="26">
      <c r="A9" s="2246"/>
      <c r="B9" s="315" t="s">
        <v>2267</v>
      </c>
      <c r="C9" s="2267" t="s">
        <v>2268</v>
      </c>
      <c r="D9" s="2264"/>
      <c r="E9" s="2243"/>
      <c r="F9" s="121"/>
      <c r="G9" s="121"/>
      <c r="H9" s="750"/>
      <c r="I9" s="750"/>
      <c r="J9" s="750"/>
      <c r="K9" s="750"/>
      <c r="L9" s="750"/>
      <c r="M9" s="750"/>
      <c r="N9" s="750"/>
      <c r="O9" s="750"/>
      <c r="P9" s="750"/>
      <c r="Q9" s="750"/>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0" customFormat="1" ht="14.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4.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 sqref="E3"/>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20244.170000000002</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45974</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25173</v>
      </c>
      <c r="C5" s="2298">
        <f ca="1">IF(B5=D14,结果表房本1!H102,ROUND(B5*10000/$B$1,0))</f>
        <v>12041</v>
      </c>
      <c r="D5" s="2298" t="e">
        <f ca="1">ROUND(B5*10000/$B$2,0)</f>
        <v>#DIV/0!</v>
      </c>
      <c r="E5" s="2459"/>
      <c r="F5" s="2460"/>
      <c r="G5" s="2460"/>
      <c r="H5" s="2460"/>
      <c r="I5" s="2460"/>
      <c r="J5" s="2460"/>
      <c r="K5" s="2460"/>
    </row>
    <row r="6" spans="1:11" ht="16.5">
      <c r="A6" s="2298" t="s">
        <v>656</v>
      </c>
      <c r="B6" s="2298">
        <f ca="1">SUM(G14:G23)</f>
        <v>25173</v>
      </c>
      <c r="C6" s="2298">
        <f ca="1">IF(B6=G14,结果表房本1!H108,ROUND(B6*10000/$B$1,0))</f>
        <v>12041</v>
      </c>
      <c r="D6" s="2298" t="e">
        <f ca="1">ROUND(B6*10000/$B$2,0)</f>
        <v>#DIV/0!</v>
      </c>
      <c r="E6" s="2459"/>
      <c r="F6" s="2460"/>
      <c r="G6" s="2460"/>
      <c r="H6" s="2460"/>
      <c r="I6" s="2460"/>
      <c r="J6" s="2460"/>
      <c r="K6" s="2460"/>
    </row>
    <row r="7" spans="1:11" ht="16.5">
      <c r="A7" s="2298" t="s">
        <v>664</v>
      </c>
      <c r="B7" s="2298">
        <f>SUM(H14:H23)</f>
        <v>0</v>
      </c>
      <c r="C7" s="2298" t="str">
        <f>IF(B7=H14,结果表房本1!H110,ROUND(B7*10000/$B$1,0))</f>
        <v>——</v>
      </c>
      <c r="D7" s="2298" t="e">
        <f>ROUND(B7*10000/$B$2,0)</f>
        <v>#DIV/0!</v>
      </c>
      <c r="E7" s="2459"/>
      <c r="F7" s="2460"/>
      <c r="G7" s="2460"/>
      <c r="H7" s="2460"/>
      <c r="I7" s="2460"/>
      <c r="J7" s="2460"/>
      <c r="K7" s="2460"/>
    </row>
    <row r="8" spans="1:11" ht="16.5">
      <c r="A8" s="2298" t="s">
        <v>587</v>
      </c>
      <c r="B8" s="2298">
        <f>SUM(I14:I23)</f>
        <v>0</v>
      </c>
      <c r="C8" s="2298" t="str">
        <f>IF(B8=I14,结果表房本1!H112,ROUND(B8*10000/$B$1,0))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3353</v>
      </c>
      <c r="D10" s="2298" t="s">
        <v>3354</v>
      </c>
      <c r="E10" s="3134"/>
      <c r="F10" s="3138" t="s">
        <v>3355</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20244.170000000002</v>
      </c>
      <c r="C14" s="2304"/>
      <c r="D14" s="2304">
        <f ca="1">结果表房本1!H101+结果表房本2!H101+结果表房本3!H101</f>
        <v>25173</v>
      </c>
      <c r="E14" s="2304">
        <f ca="1">ROUND(D14*10000/B14,0)</f>
        <v>12435</v>
      </c>
      <c r="F14" s="2304" t="e">
        <f ca="1">ROUND(D14*10000/C14,0)</f>
        <v>#DIV/0!</v>
      </c>
      <c r="G14" s="2304">
        <f ca="1">D14</f>
        <v>25173</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24" sqref="F24"/>
    </sheetView>
  </sheetViews>
  <sheetFormatPr defaultColWidth="12.6328125" defaultRowHeight="21.75" customHeight="1"/>
  <cols>
    <col min="1" max="2" width="12.6328125" style="1560"/>
    <col min="3" max="4" width="12.6328125" style="1560" customWidth="1"/>
    <col min="5" max="9" width="12.6328125" style="1560"/>
    <col min="10" max="11" width="12.6328125" style="684" customWidth="1"/>
    <col min="12" max="12" width="12.6328125" style="684"/>
    <col min="13" max="13" width="14.08984375" style="684" bestFit="1" customWidth="1"/>
    <col min="14" max="26" width="12.6328125" style="684"/>
    <col min="27" max="35" width="12.6328125" style="1622"/>
    <col min="36" max="16384" width="12.6328125" style="1560"/>
  </cols>
  <sheetData>
    <row r="1" spans="1:12" ht="21.75" customHeight="1" thickBot="1">
      <c r="A1" s="1520" t="s">
        <v>1262</v>
      </c>
      <c r="B1" s="646"/>
      <c r="C1" s="1619" t="s">
        <v>3512</v>
      </c>
      <c r="D1" s="646"/>
      <c r="E1" s="646"/>
      <c r="F1" s="1620" t="s">
        <v>1263</v>
      </c>
      <c r="G1" s="1452"/>
      <c r="H1" s="1620" t="str">
        <f>IF(G1="现房","——","估价对象范围")</f>
        <v>估价对象范围</v>
      </c>
      <c r="I1" s="1621"/>
    </row>
    <row r="2" spans="1:12" ht="21.75" customHeight="1" thickBot="1">
      <c r="A2" s="3324" t="str">
        <f>项目基本情况!S2</f>
        <v>北京市通州区翠平西路2号，4、6、8号；通朝大街202、204、206号、208、210、212号房地产</v>
      </c>
      <c r="B2" s="3325"/>
      <c r="C2" s="3325"/>
      <c r="D2" s="3325"/>
      <c r="E2" s="3325"/>
      <c r="F2" s="3325"/>
      <c r="G2" s="3325"/>
      <c r="H2" s="3325"/>
      <c r="I2" s="3326"/>
    </row>
    <row r="3" spans="1:12" ht="13">
      <c r="A3" s="3328" t="s">
        <v>1264</v>
      </c>
      <c r="B3" s="3329"/>
      <c r="C3" s="3329"/>
      <c r="D3" s="3329"/>
      <c r="E3" s="3329"/>
      <c r="F3" s="3329"/>
      <c r="G3" s="3329"/>
      <c r="H3" s="3329"/>
      <c r="I3" s="3329"/>
    </row>
    <row r="4" spans="1:12" ht="14">
      <c r="A4" s="1623" t="s">
        <v>1265</v>
      </c>
      <c r="B4" s="1624" t="s">
        <v>1266</v>
      </c>
      <c r="C4" s="1625" t="s">
        <v>3521</v>
      </c>
      <c r="D4" s="1625" t="s">
        <v>3527</v>
      </c>
      <c r="E4" s="3333" t="s">
        <v>1267</v>
      </c>
      <c r="F4" s="3334"/>
      <c r="G4" s="3334"/>
      <c r="H4" s="3334"/>
      <c r="I4" s="3335"/>
      <c r="K4" s="138" t="str">
        <f>IF(ISNUMBER(FIND("比较法",结果表房本1!C4)),"比较法",IF(ISNUMBER(FIND("成本法",结果表房本1!C4)),"成本法",IF(ISNUMBER(FIND("假设开发法",结果表房本1!C4)),"假设开发法",IF(ISNUMBER(FIND("收益法",结果表房本1!C4)),"收益法","基准地价系数修正法"))))</f>
        <v>成本法</v>
      </c>
      <c r="L4" s="138" t="str">
        <f>IF(ISNUMBER(FIND("比较法",结果表房本1!D4)),"比较法",IF(ISNUMBER(FIND("成本法",结果表房本1!D4)),"成本法",IF(ISNUMBER(FIND("假设开发法",结果表房本1!D4)),"假设开发法",IF(ISNUMBER(FIND("收益法",结果表房本1!D4)),"收益法","基准地价系数修正法"))))</f>
        <v>收益法</v>
      </c>
    </row>
    <row r="5" spans="1:12" ht="13">
      <c r="A5" s="3272" t="s">
        <v>1268</v>
      </c>
      <c r="B5" s="3327">
        <v>25</v>
      </c>
      <c r="C5" s="3330"/>
      <c r="D5" s="3318"/>
      <c r="E5" s="123" t="s">
        <v>1269</v>
      </c>
      <c r="F5" s="1626"/>
      <c r="G5" s="1626"/>
      <c r="H5" s="1626"/>
      <c r="I5" s="1280"/>
    </row>
    <row r="6" spans="1:12" ht="13">
      <c r="A6" s="3272"/>
      <c r="B6" s="3327"/>
      <c r="C6" s="3332"/>
      <c r="D6" s="3318"/>
      <c r="E6" s="123" t="s">
        <v>1270</v>
      </c>
      <c r="F6" s="1626"/>
      <c r="G6" s="1626"/>
      <c r="H6" s="1626"/>
      <c r="I6" s="1280"/>
    </row>
    <row r="7" spans="1:12" ht="13">
      <c r="A7" s="3272"/>
      <c r="B7" s="3327"/>
      <c r="C7" s="3331"/>
      <c r="D7" s="3318"/>
      <c r="E7" s="123" t="s">
        <v>1271</v>
      </c>
      <c r="F7" s="1626"/>
      <c r="G7" s="1626"/>
      <c r="H7" s="1626"/>
      <c r="I7" s="1280"/>
    </row>
    <row r="8" spans="1:12" ht="13">
      <c r="A8" s="3272" t="s">
        <v>1272</v>
      </c>
      <c r="B8" s="3327">
        <v>15</v>
      </c>
      <c r="C8" s="3330"/>
      <c r="D8" s="3318"/>
      <c r="E8" s="123" t="s">
        <v>1273</v>
      </c>
      <c r="F8" s="1626"/>
      <c r="G8" s="1626"/>
      <c r="H8" s="1626"/>
      <c r="I8" s="1280"/>
    </row>
    <row r="9" spans="1:12" ht="13">
      <c r="A9" s="3272"/>
      <c r="B9" s="3327"/>
      <c r="C9" s="3331"/>
      <c r="D9" s="3318"/>
      <c r="E9" s="123" t="s">
        <v>1274</v>
      </c>
      <c r="F9" s="1626"/>
      <c r="G9" s="1626"/>
      <c r="H9" s="1626"/>
      <c r="I9" s="1280"/>
    </row>
    <row r="10" spans="1:12" ht="13">
      <c r="A10" s="3272" t="s">
        <v>1275</v>
      </c>
      <c r="B10" s="3327">
        <v>15</v>
      </c>
      <c r="C10" s="3330"/>
      <c r="D10" s="3318"/>
      <c r="E10" s="123" t="s">
        <v>1276</v>
      </c>
      <c r="F10" s="1626"/>
      <c r="G10" s="1626"/>
      <c r="H10" s="1626"/>
      <c r="I10" s="1280"/>
    </row>
    <row r="11" spans="1:12" ht="13">
      <c r="A11" s="3272"/>
      <c r="B11" s="3327"/>
      <c r="C11" s="3331"/>
      <c r="D11" s="3318"/>
      <c r="E11" s="123" t="s">
        <v>1277</v>
      </c>
      <c r="F11" s="1626"/>
      <c r="G11" s="1626"/>
      <c r="H11" s="1626"/>
      <c r="I11" s="1280"/>
    </row>
    <row r="12" spans="1:12" ht="13">
      <c r="A12" s="3272" t="s">
        <v>1278</v>
      </c>
      <c r="B12" s="3327">
        <v>15</v>
      </c>
      <c r="C12" s="3330"/>
      <c r="D12" s="3318"/>
      <c r="E12" s="123" t="s">
        <v>1279</v>
      </c>
      <c r="F12" s="1626"/>
      <c r="G12" s="1626"/>
      <c r="H12" s="1626"/>
      <c r="I12" s="1280"/>
    </row>
    <row r="13" spans="1:12" ht="13">
      <c r="A13" s="3272"/>
      <c r="B13" s="3327"/>
      <c r="C13" s="3331"/>
      <c r="D13" s="3318"/>
      <c r="E13" s="123" t="s">
        <v>1280</v>
      </c>
      <c r="F13" s="1626"/>
      <c r="G13" s="1626"/>
      <c r="H13" s="1626"/>
      <c r="I13" s="1280"/>
    </row>
    <row r="14" spans="1:12" ht="13">
      <c r="A14" s="3272" t="s">
        <v>1281</v>
      </c>
      <c r="B14" s="3327">
        <v>30</v>
      </c>
      <c r="C14" s="3330">
        <v>4</v>
      </c>
      <c r="D14" s="3318">
        <v>6</v>
      </c>
      <c r="E14" s="123" t="s">
        <v>1282</v>
      </c>
      <c r="F14" s="1626"/>
      <c r="G14" s="1626"/>
      <c r="H14" s="1626"/>
      <c r="I14" s="1280"/>
    </row>
    <row r="15" spans="1:12" ht="13">
      <c r="A15" s="3272"/>
      <c r="B15" s="3327"/>
      <c r="C15" s="3332"/>
      <c r="D15" s="3318"/>
      <c r="E15" s="123" t="s">
        <v>1283</v>
      </c>
      <c r="F15" s="1626"/>
      <c r="G15" s="1626"/>
      <c r="H15" s="1626"/>
      <c r="I15" s="1280"/>
    </row>
    <row r="16" spans="1:12" ht="13">
      <c r="A16" s="3272"/>
      <c r="B16" s="3327"/>
      <c r="C16" s="3331"/>
      <c r="D16" s="3318"/>
      <c r="E16" s="123" t="s">
        <v>1284</v>
      </c>
      <c r="F16" s="1626"/>
      <c r="G16" s="1626"/>
      <c r="H16" s="1626"/>
      <c r="I16" s="1280"/>
    </row>
    <row r="17" spans="1:36" ht="14">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49" t="s">
        <v>2131</v>
      </c>
      <c r="F18" s="3350"/>
      <c r="G18" s="3350"/>
      <c r="H18" s="3350"/>
      <c r="I18" s="3350"/>
      <c r="K18" s="294" t="s">
        <v>1289</v>
      </c>
      <c r="L18" s="294">
        <f>IF(C1="",'数据-汇总表'!E3,SUMIF(项目类型,C1,'数据-汇总表'!E17:E26)+SUMIF(项目类型,C1,'数据-汇总表'!I17:I26))</f>
        <v>9951.27</v>
      </c>
      <c r="M18" s="294">
        <f>IF(C1="",'数据-汇总表'!E3,SUMIF(项目类型,C1,'数据-汇总表'!E17:E26))</f>
        <v>9951.27</v>
      </c>
    </row>
    <row r="19" spans="1:36" ht="14">
      <c r="A19" s="1629" t="s">
        <v>1290</v>
      </c>
      <c r="B19" s="1630" t="s">
        <v>1291</v>
      </c>
      <c r="C19" s="126">
        <f ca="1">SUMIF(INDIRECT("'"&amp;C4&amp;"'"&amp;"!A:A"),结果表房本1!B19,INDIRECT("'"&amp;C4&amp;"'"&amp;"!B:B"))</f>
        <v>17851</v>
      </c>
      <c r="D19" s="127">
        <f ca="1">SUMIF(INDIRECT("'"&amp;D4&amp;"'"&amp;"!A:A"),结果表房本1!B19,INDIRECT("'"&amp;D4&amp;"'"&amp;"!B:B"))</f>
        <v>8070</v>
      </c>
      <c r="E19" s="1629" t="s">
        <v>1292</v>
      </c>
      <c r="F19" s="1630" t="s">
        <v>1291</v>
      </c>
      <c r="G19" s="128">
        <f ca="1">ROUND(C19*$C$18+D19*$D$18,0)</f>
        <v>11982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2"/>
      <c r="B20" s="43" t="s">
        <v>1295</v>
      </c>
      <c r="C20" s="129">
        <f ca="1">SUMIF(INDIRECT("'"&amp;C4&amp;"'"&amp;"!A:A"),结果表房本1!B20,INDIRECT("'"&amp;C4&amp;"'"&amp;"!B:B"))</f>
        <v>17938</v>
      </c>
      <c r="D20" s="130">
        <f ca="1">SUMIF(INDIRECT("'"&amp;D4&amp;"'"&amp;"!A:A"),结果表房本1!B20,INDIRECT("'"&amp;D4&amp;"'"&amp;"!B:B"))</f>
        <v>8110</v>
      </c>
      <c r="E20" s="1632"/>
      <c r="F20" s="43" t="s">
        <v>1295</v>
      </c>
      <c r="G20" s="131">
        <f ca="1">ROUND(C20*$C$18+D20*$D$18,0)</f>
        <v>12041</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4.5" thickBot="1">
      <c r="A22" s="1563" t="s">
        <v>1298</v>
      </c>
      <c r="B22" s="1634"/>
      <c r="C22" s="1635"/>
      <c r="D22" s="680">
        <f ca="1">IF(C19&lt;D19,D19/C19-1,C19/D19-1)</f>
        <v>1.2120198265179676</v>
      </c>
      <c r="E22" s="121"/>
      <c r="F22" s="121"/>
      <c r="G22" s="121"/>
      <c r="H22" s="121"/>
      <c r="I22" s="121"/>
    </row>
    <row r="23" spans="1:36" ht="13" thickBot="1">
      <c r="A23" s="646"/>
      <c r="B23" s="646"/>
      <c r="C23" s="646"/>
      <c r="D23" s="646"/>
      <c r="E23" s="121"/>
      <c r="F23" s="121"/>
      <c r="G23" s="121"/>
      <c r="H23" s="121"/>
      <c r="I23" s="121"/>
    </row>
    <row r="24" spans="1:36" ht="14">
      <c r="A24" s="3342" t="s">
        <v>1299</v>
      </c>
      <c r="B24" s="1630" t="s">
        <v>1291</v>
      </c>
      <c r="C24" s="128">
        <f>IF(B30=0,0,D30)</f>
        <v>0</v>
      </c>
      <c r="D24" s="1636"/>
      <c r="E24" s="121"/>
      <c r="F24" s="121"/>
      <c r="G24" s="121"/>
      <c r="H24" s="121"/>
      <c r="I24" s="121"/>
    </row>
    <row r="25" spans="1:36" ht="14">
      <c r="A25" s="334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5" t="s">
        <v>2132</v>
      </c>
      <c r="F30" s="121"/>
      <c r="G30" s="121"/>
      <c r="H30" s="121"/>
      <c r="I30" s="121"/>
    </row>
    <row r="31" spans="1:36" s="2131" customFormat="1" ht="26.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thickTop="1" thickBot="1">
      <c r="A32" s="1639" t="s">
        <v>1305</v>
      </c>
      <c r="B32" s="1534"/>
      <c r="C32" s="136">
        <f ca="1">IF(D32="总价",G19-C24,G20-C25)</f>
        <v>11982</v>
      </c>
      <c r="D32" s="1640" t="s">
        <v>3503</v>
      </c>
      <c r="E32" s="121"/>
      <c r="F32" s="121"/>
      <c r="G32" s="121"/>
      <c r="H32" s="121"/>
      <c r="I32" s="121"/>
    </row>
    <row r="33" spans="1:15" ht="14">
      <c r="A33" s="739" t="s">
        <v>1306</v>
      </c>
      <c r="B33" s="123"/>
      <c r="C33" s="1641" t="s">
        <v>3506</v>
      </c>
      <c r="D33" s="1642" t="s">
        <v>3502</v>
      </c>
      <c r="E33" s="1643" t="s">
        <v>1307</v>
      </c>
      <c r="F33" s="1644" t="str">
        <f>IF(D32="楼面单价","取值（单价）","取值（总价）")</f>
        <v>取值（总价）</v>
      </c>
      <c r="G33" s="121"/>
      <c r="H33" s="121"/>
      <c r="I33" s="121"/>
    </row>
    <row r="34" spans="1:15" ht="1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4.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4.5" thickBot="1">
      <c r="A36" s="3319" t="s">
        <v>1312</v>
      </c>
      <c r="B36" s="1651" t="s">
        <v>1313</v>
      </c>
      <c r="C36" s="137"/>
      <c r="D36" s="1652"/>
      <c r="E36" s="1566"/>
      <c r="F36" s="1653"/>
      <c r="G36" s="121"/>
      <c r="H36" s="121"/>
      <c r="I36" s="121"/>
    </row>
    <row r="37" spans="1:15" ht="14.5" thickBot="1">
      <c r="A37" s="3320"/>
      <c r="B37" s="1554" t="s">
        <v>1314</v>
      </c>
      <c r="C37" s="139"/>
      <c r="D37" s="1070"/>
      <c r="E37" s="1070"/>
      <c r="F37" s="1653"/>
      <c r="G37" s="121"/>
      <c r="H37" s="121"/>
      <c r="I37" s="121"/>
    </row>
    <row r="38" spans="1:15" ht="14.5" thickBot="1">
      <c r="A38" s="3321"/>
      <c r="B38" s="1654" t="s">
        <v>1315</v>
      </c>
      <c r="C38" s="641"/>
      <c r="D38" s="1655" t="s">
        <v>1316</v>
      </c>
      <c r="E38" s="1070"/>
      <c r="F38" s="1653"/>
      <c r="G38" s="121"/>
      <c r="H38" s="121"/>
      <c r="I38" s="121"/>
    </row>
    <row r="39" spans="1:15" ht="14">
      <c r="A39" s="1632" t="s">
        <v>1317</v>
      </c>
      <c r="B39" s="1656" t="s">
        <v>1318</v>
      </c>
      <c r="C39" s="1657" t="s">
        <v>1319</v>
      </c>
      <c r="D39" s="1657" t="s">
        <v>1320</v>
      </c>
      <c r="E39" s="1658" t="s">
        <v>1321</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339" t="s">
        <v>1326</v>
      </c>
      <c r="B45" s="3340"/>
      <c r="C45" s="3341"/>
      <c r="D45" s="147">
        <f ca="1">ROUND(H101*F45,0)</f>
        <v>11982</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7"/>
      <c r="I46" s="151"/>
      <c r="J46" s="2308">
        <v>1</v>
      </c>
      <c r="K46" s="3260" t="s">
        <v>1331</v>
      </c>
      <c r="L46" s="3260"/>
      <c r="M46" s="3261"/>
      <c r="N46" s="3261"/>
      <c r="O46" s="3261"/>
    </row>
    <row r="47" spans="1:15" ht="12" customHeight="1">
      <c r="A47" s="152" t="s">
        <v>1332</v>
      </c>
      <c r="B47" s="153"/>
      <c r="C47" s="154"/>
      <c r="D47" s="1023" t="s">
        <v>1333</v>
      </c>
      <c r="E47" s="294" t="s">
        <v>1334</v>
      </c>
      <c r="F47" s="155" t="s">
        <v>1335</v>
      </c>
      <c r="G47" s="2331" t="s">
        <v>1336</v>
      </c>
      <c r="H47" s="2332"/>
      <c r="I47" s="151"/>
      <c r="J47" s="2308">
        <v>2</v>
      </c>
      <c r="K47" s="3260" t="s">
        <v>1337</v>
      </c>
      <c r="L47" s="3260"/>
      <c r="M47" s="3262">
        <f>'数据-取费表'!B2</f>
        <v>45974</v>
      </c>
      <c r="N47" s="3262"/>
      <c r="O47" s="3262"/>
    </row>
    <row r="48" spans="1:15" ht="26">
      <c r="A48" s="3322" t="s">
        <v>1338</v>
      </c>
      <c r="B48" s="3323"/>
      <c r="C48" s="3323"/>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60" t="s">
        <v>1340</v>
      </c>
      <c r="L48" s="3260"/>
      <c r="M48" s="3263">
        <f ca="1">H101</f>
        <v>11982</v>
      </c>
      <c r="N48" s="3263"/>
      <c r="O48" s="3263"/>
    </row>
    <row r="49" spans="1:35" ht="25.5" customHeight="1">
      <c r="A49" s="2150" t="s">
        <v>1341</v>
      </c>
      <c r="B49" s="3308" t="s">
        <v>1342</v>
      </c>
      <c r="C49" s="3308"/>
      <c r="D49" s="1477">
        <v>0</v>
      </c>
      <c r="E49" s="316" t="s">
        <v>1343</v>
      </c>
      <c r="F49" s="2231" t="s">
        <v>28</v>
      </c>
      <c r="G49" s="3291"/>
      <c r="H49" s="2132" t="s">
        <v>2134</v>
      </c>
      <c r="I49" s="2133"/>
      <c r="J49" s="2308">
        <v>4</v>
      </c>
      <c r="K49" s="3260" t="str">
        <f>IF(项目基本情况!E8="房地产抵押价值","房地产抵押价值","抵押担保权已注销时的房地产抵押价值")</f>
        <v>房地产抵押价值</v>
      </c>
      <c r="L49" s="3260"/>
      <c r="M49" s="3263">
        <f ca="1">IF(项目基本情况!E8="房地产抵押价值",H107,H109)</f>
        <v>11982</v>
      </c>
      <c r="N49" s="3263"/>
      <c r="O49" s="3263"/>
    </row>
    <row r="50" spans="1:35" ht="25.5" customHeight="1">
      <c r="A50" s="2336"/>
      <c r="B50" s="3308" t="s">
        <v>1344</v>
      </c>
      <c r="C50" s="3308"/>
      <c r="D50" s="2187"/>
      <c r="E50" s="323"/>
      <c r="F50" s="2231"/>
      <c r="G50" s="3292"/>
      <c r="H50" s="2134" t="s">
        <v>2135</v>
      </c>
      <c r="I50" s="2133"/>
      <c r="J50" s="3259" t="s">
        <v>1345</v>
      </c>
      <c r="K50" s="3259"/>
      <c r="L50" s="3259"/>
      <c r="M50" s="3259"/>
      <c r="N50" s="3259"/>
      <c r="O50" s="3259"/>
    </row>
    <row r="51" spans="1:35" ht="20.5" customHeight="1">
      <c r="A51" s="2337"/>
      <c r="B51" s="3308" t="s">
        <v>1346</v>
      </c>
      <c r="C51" s="3308"/>
      <c r="D51" s="1023"/>
      <c r="E51" s="319"/>
      <c r="F51" s="2231"/>
      <c r="G51" s="3293"/>
      <c r="H51" s="2134" t="s">
        <v>2136</v>
      </c>
      <c r="I51" s="2133"/>
      <c r="J51" s="2309" t="s">
        <v>1347</v>
      </c>
      <c r="K51" s="3260" t="s">
        <v>1348</v>
      </c>
      <c r="L51" s="3260"/>
      <c r="M51" s="2309" t="s">
        <v>1349</v>
      </c>
      <c r="N51" s="2309" t="s">
        <v>1350</v>
      </c>
      <c r="O51" s="2309" t="s">
        <v>1351</v>
      </c>
    </row>
    <row r="52" spans="1:35" ht="24" customHeight="1">
      <c r="A52" s="2151" t="s">
        <v>1352</v>
      </c>
      <c r="B52" s="3308" t="s">
        <v>1353</v>
      </c>
      <c r="C52" s="3308"/>
      <c r="D52" s="1023">
        <f ca="1">ROUND(D45*'数据-取费表'!B41/(1+'数据-取费表'!C42),0)</f>
        <v>639</v>
      </c>
      <c r="E52" s="1255" t="s">
        <v>1354</v>
      </c>
      <c r="F52" s="2338">
        <f>'数据-取费表'!B41</f>
        <v>5.6000000000000001E-2</v>
      </c>
      <c r="G52" s="2339"/>
      <c r="H52" s="2329"/>
      <c r="I52" s="1668"/>
      <c r="J52" s="2308">
        <v>1</v>
      </c>
      <c r="K52" s="3285" t="s">
        <v>1355</v>
      </c>
      <c r="L52" s="3285"/>
      <c r="M52" s="2310" t="b">
        <f>D48</f>
        <v>0</v>
      </c>
      <c r="N52" s="2308" t="str">
        <f>E48</f>
        <v>销售额×税（费）率</v>
      </c>
      <c r="O52" s="2311">
        <f>F48</f>
        <v>5.6000000000000001E-2</v>
      </c>
    </row>
    <row r="53" spans="1:35" ht="12" customHeight="1">
      <c r="A53" s="2151" t="s">
        <v>1356</v>
      </c>
      <c r="B53" s="3309" t="s">
        <v>2291</v>
      </c>
      <c r="C53" s="3310"/>
      <c r="D53" s="1023">
        <f ca="1">ROUND(D45*'数据-取费表'!B41/(1+'数据-取费表'!C42),0)</f>
        <v>639</v>
      </c>
      <c r="E53" s="1255" t="s">
        <v>1354</v>
      </c>
      <c r="F53" s="2338">
        <f>'数据-取费表'!B41</f>
        <v>5.6000000000000001E-2</v>
      </c>
      <c r="G53" s="2339"/>
      <c r="H53" s="2329"/>
      <c r="I53" s="1668"/>
      <c r="J53" s="2308">
        <v>2</v>
      </c>
      <c r="K53" s="3285" t="s">
        <v>1357</v>
      </c>
      <c r="L53" s="3285"/>
      <c r="M53" s="2310">
        <f t="shared" ref="M53:O54" ca="1" si="0">D55</f>
        <v>6</v>
      </c>
      <c r="N53" s="2308" t="str">
        <f t="shared" si="0"/>
        <v>销售额×税（费）率</v>
      </c>
      <c r="O53" s="2311" t="str">
        <f t="shared" si="0"/>
        <v>免征</v>
      </c>
    </row>
    <row r="54" spans="1:35" ht="12" customHeight="1">
      <c r="A54" s="2151" t="s">
        <v>1358</v>
      </c>
      <c r="B54" s="3309" t="s">
        <v>2292</v>
      </c>
      <c r="C54" s="3310"/>
      <c r="D54" s="1023">
        <f ca="1">C68</f>
        <v>639</v>
      </c>
      <c r="E54" s="319" t="s">
        <v>1359</v>
      </c>
      <c r="F54" s="2338">
        <f>'数据-取费表'!B41</f>
        <v>5.6000000000000001E-2</v>
      </c>
      <c r="G54" s="2339"/>
      <c r="H54" s="2340"/>
      <c r="I54" s="1668"/>
      <c r="J54" s="2308">
        <v>3</v>
      </c>
      <c r="K54" s="3285" t="s">
        <v>1360</v>
      </c>
      <c r="L54" s="3285"/>
      <c r="M54" s="2310">
        <f t="shared" ca="1" si="0"/>
        <v>6782</v>
      </c>
      <c r="N54" s="2308" t="str">
        <f t="shared" si="0"/>
        <v>增值额×税（费）率</v>
      </c>
      <c r="O54" s="2312" t="str">
        <f t="shared" si="0"/>
        <v>免征</v>
      </c>
    </row>
    <row r="55" spans="1:35" ht="24" customHeight="1">
      <c r="A55" s="3345" t="s">
        <v>1361</v>
      </c>
      <c r="B55" s="3323"/>
      <c r="C55" s="3323"/>
      <c r="D55" s="12">
        <f ca="1">IF(H55="个人住宅",0,ROUND(D45*I55,0))</f>
        <v>6</v>
      </c>
      <c r="E55" s="1255" t="s">
        <v>1362</v>
      </c>
      <c r="F55" s="2338" t="str">
        <f>IF(H55="正常",I55,"免征")</f>
        <v>免征</v>
      </c>
      <c r="G55" s="2339"/>
      <c r="H55" s="2335"/>
      <c r="I55" s="157">
        <f>'数据-取费表'!B49</f>
        <v>5.0000000000000001E-4</v>
      </c>
      <c r="J55" s="2308">
        <f>IF(H59="非个人房产","",4)</f>
        <v>4</v>
      </c>
      <c r="K55" s="3285" t="str">
        <f>IF(H59="非个人房产","——","个人所得税")</f>
        <v>个人所得税</v>
      </c>
      <c r="L55" s="3285"/>
      <c r="M55" s="2313">
        <f ca="1">D59</f>
        <v>114</v>
      </c>
      <c r="N55" s="1882" t="str">
        <f>E59</f>
        <v>差额计税</v>
      </c>
      <c r="O55" s="2314">
        <f>F59</f>
        <v>0.01</v>
      </c>
    </row>
    <row r="56" spans="1:35" ht="26">
      <c r="A56" s="3345" t="s">
        <v>1363</v>
      </c>
      <c r="B56" s="3323"/>
      <c r="C56" s="3323"/>
      <c r="D56" s="12">
        <f ca="1">IF(H56="个人住宅",D57,D58)</f>
        <v>6782</v>
      </c>
      <c r="E56" s="1255" t="s">
        <v>1364</v>
      </c>
      <c r="F56" s="2338" t="str">
        <f>IF(H56="正常",F58,"免征")</f>
        <v>免征</v>
      </c>
      <c r="G56" s="2341" t="s">
        <v>1365</v>
      </c>
      <c r="H56" s="2342"/>
      <c r="I56" s="1669"/>
      <c r="J56" s="2308" t="str">
        <f>IF(项目基本情况!K6="上海银行",IF(J55="",4,J55+1),"")</f>
        <v/>
      </c>
      <c r="K56" s="3266" t="str">
        <f>IF(项目基本情况!K6="上海银行","其他处置费用","")</f>
        <v/>
      </c>
      <c r="L56" s="3267"/>
      <c r="M56" s="2310" t="str">
        <f>IF(项目基本情况!K6="上海银行",M69,"")</f>
        <v/>
      </c>
      <c r="N56" s="3266" t="str">
        <f>IF(项目基本情况!K6="上海银行","包含处置中涉及的律师、诉讼、拍卖、评估等费用","")</f>
        <v/>
      </c>
      <c r="O56" s="3269"/>
    </row>
    <row r="57" spans="1:35" ht="13">
      <c r="A57" s="2151" t="s">
        <v>1341</v>
      </c>
      <c r="B57" s="3309" t="s">
        <v>1366</v>
      </c>
      <c r="C57" s="3310"/>
      <c r="D57" s="1477">
        <v>0</v>
      </c>
      <c r="E57" s="316" t="s">
        <v>1343</v>
      </c>
      <c r="F57" s="294"/>
      <c r="G57" s="2339"/>
      <c r="H57" s="2343"/>
      <c r="I57" s="1669"/>
      <c r="J57" s="3285">
        <f>IF(AND(J55="",J56=""),4,IF(项目基本情况!K6="上海银行",结果表房本1!J56+1,结果表房本1!J55+1))</f>
        <v>5</v>
      </c>
      <c r="K57" s="3285" t="s">
        <v>1367</v>
      </c>
      <c r="L57" s="2315" t="s">
        <v>1368</v>
      </c>
      <c r="M57" s="2316"/>
      <c r="N57" s="2317">
        <f ca="1">SUMIF(M52:M56,"&lt;9e307")</f>
        <v>6902</v>
      </c>
      <c r="O57" s="2318"/>
      <c r="P57" s="2462">
        <f ca="1">N57/M49</f>
        <v>0.57603071273577033</v>
      </c>
    </row>
    <row r="58" spans="1:35" ht="26">
      <c r="A58" s="2151" t="s">
        <v>1352</v>
      </c>
      <c r="B58" s="3309" t="s">
        <v>1369</v>
      </c>
      <c r="C58" s="3308"/>
      <c r="D58" s="12">
        <f ca="1">IF(H58="转让取得",C81,C97)</f>
        <v>6782</v>
      </c>
      <c r="E58" s="1255" t="s">
        <v>1364</v>
      </c>
      <c r="F58" s="294" t="s">
        <v>28</v>
      </c>
      <c r="G58" s="2339"/>
      <c r="H58" s="2342"/>
      <c r="I58" s="1669"/>
      <c r="J58" s="3285"/>
      <c r="K58" s="3285"/>
      <c r="L58" s="2315" t="s">
        <v>1370</v>
      </c>
      <c r="M58" s="2319"/>
      <c r="N58" s="2320" t="str">
        <f ca="1">NUMBERSTRING(INT(N57*10000),2)&amp;"元整"</f>
        <v>陆仟玖佰零贰万元整</v>
      </c>
      <c r="O58" s="2321"/>
    </row>
    <row r="59" spans="1:35" ht="26.5" thickBot="1">
      <c r="A59" s="3289" t="s">
        <v>1371</v>
      </c>
      <c r="B59" s="3290"/>
      <c r="C59" s="3290"/>
      <c r="D59" s="2344">
        <f ca="1">IF(H59="非个人房产","——",IF(H59="个人住宅（满五唯一有凭证）",0,IF(H59="个人其他（无凭证）",ROUND(D45/(1+'数据-取费表'!C42)*F59,0),ROUND(C67*F59,0))))</f>
        <v>114</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87">
        <f>J57+1</f>
        <v>6</v>
      </c>
      <c r="K59" s="3285" t="s">
        <v>1372</v>
      </c>
      <c r="L59" s="2308" t="s">
        <v>1368</v>
      </c>
      <c r="M59" s="2322"/>
      <c r="N59" s="2323">
        <f ca="1">M49-N57</f>
        <v>5080</v>
      </c>
      <c r="O59" s="2324"/>
    </row>
    <row r="60" spans="1:35" ht="12" customHeight="1">
      <c r="A60" s="1670"/>
      <c r="B60" s="646"/>
      <c r="C60" s="646"/>
      <c r="D60" s="646"/>
      <c r="E60" s="1465"/>
      <c r="F60" s="1669"/>
      <c r="G60" s="1669"/>
      <c r="H60" s="151"/>
      <c r="I60" s="121"/>
      <c r="J60" s="3288"/>
      <c r="K60" s="3285"/>
      <c r="L60" s="2315" t="s">
        <v>1370</v>
      </c>
      <c r="M60" s="2319"/>
      <c r="N60" s="2320" t="str">
        <f ca="1">NUMBERSTRING(INT(N59*10000),2)&amp;"元整"</f>
        <v>伍仟零捌拾万元整</v>
      </c>
      <c r="O60" s="2321"/>
    </row>
    <row r="61" spans="1:35" ht="13.5" thickBot="1">
      <c r="A61" s="3344" t="s">
        <v>1373</v>
      </c>
      <c r="B61" s="3344"/>
      <c r="C61" s="3344"/>
      <c r="D61" s="3344"/>
      <c r="E61" s="3344"/>
      <c r="F61" s="1669"/>
      <c r="G61" s="1669"/>
      <c r="H61" s="151"/>
      <c r="I61" s="121"/>
      <c r="J61" s="2308">
        <f>J59+1</f>
        <v>7</v>
      </c>
      <c r="K61" s="3285" t="s">
        <v>1374</v>
      </c>
      <c r="L61" s="3285"/>
      <c r="M61" s="2325"/>
      <c r="N61" s="2326">
        <f ca="1">ROUND(N59*10000/'数据-汇总表'!E3,0)</f>
        <v>2509</v>
      </c>
      <c r="O61" s="2327"/>
    </row>
    <row r="62" spans="1:35" ht="13">
      <c r="A62" s="3304" t="s">
        <v>1375</v>
      </c>
      <c r="B62" s="3305"/>
      <c r="C62" s="1864"/>
      <c r="D62" s="1864" t="s">
        <v>1376</v>
      </c>
      <c r="E62" s="158" t="s">
        <v>1377</v>
      </c>
      <c r="F62" s="1669"/>
      <c r="G62" s="1669"/>
      <c r="H62" s="151"/>
      <c r="I62" s="121"/>
    </row>
    <row r="63" spans="1:35" ht="13">
      <c r="A63" s="165" t="s">
        <v>330</v>
      </c>
      <c r="B63" s="159" t="s">
        <v>1378</v>
      </c>
      <c r="C63" s="2348">
        <f ca="1">ROUND((C64+C65)/(1+'数据-取费表'!C42),0)</f>
        <v>11411</v>
      </c>
      <c r="D63" s="159"/>
      <c r="E63" s="160"/>
      <c r="F63" s="1669"/>
      <c r="G63" s="1669"/>
      <c r="H63" s="151"/>
      <c r="I63" s="121"/>
      <c r="J63" s="3268" t="s">
        <v>1379</v>
      </c>
      <c r="K63" s="1244" t="s">
        <v>1380</v>
      </c>
      <c r="L63" s="1244">
        <f ca="1">IF(M49&gt;10000,M49*0.5%,IF(AND(M49&gt;1000,M49&lt;=10000),M49*1%,IF(AND(M49&gt;100,M49&lt;=1000),M49*3%,IF(AND(M49&gt;10,M49&lt;=100),M49*5%,M49*8%))))</f>
        <v>59.910000000000004</v>
      </c>
      <c r="M63" s="294">
        <f ca="1">ROUND(L63,1)</f>
        <v>59.9</v>
      </c>
      <c r="N63" s="2328"/>
      <c r="Z63" s="1622"/>
      <c r="AI63" s="1560"/>
    </row>
    <row r="64" spans="1:35" ht="14.25" customHeight="1">
      <c r="A64" s="161" t="s">
        <v>325</v>
      </c>
      <c r="B64" s="162" t="s">
        <v>1381</v>
      </c>
      <c r="C64" s="2349">
        <f ca="1">D45</f>
        <v>11982</v>
      </c>
      <c r="D64" s="162" t="s">
        <v>26</v>
      </c>
      <c r="E64" s="164"/>
      <c r="F64" s="1669"/>
      <c r="G64" s="1669"/>
      <c r="H64" s="151"/>
      <c r="I64" s="121"/>
      <c r="J64" s="3268"/>
      <c r="K64" s="1244" t="s">
        <v>1382</v>
      </c>
      <c r="L64" s="1244">
        <f ca="1">IF(M49&gt;2000,M49*0.5%,IF(AND(M49&gt;1000,M49&lt;=2000),M49*0.6%,IF(AND(M49&gt;500,M49&lt;=1000),M49*0.7%,IF(AND(M49&gt;200,M49&lt;=500),M49*0.8%,IF(AND(M49&gt;100,M49&lt;=200),M49*0.9%,IF(AND(M49&gt;50,M49&lt;=100),M49*1%,IF(AND(M49&gt;20,M49&lt;=50),M49*1.5%,IF(AND(M49&gt;10,M49&lt;=20),M49*2%,IF(AND(M49&gt;1,M49&lt;=10),M49*2.5%)))))))))</f>
        <v>59.910000000000004</v>
      </c>
      <c r="M64" s="294">
        <f t="shared" ref="M64:M65" ca="1" si="1">ROUND(L64,1)</f>
        <v>59.9</v>
      </c>
      <c r="N64" s="2329" t="s">
        <v>1383</v>
      </c>
      <c r="Z64" s="1622"/>
      <c r="AI64" s="1560"/>
    </row>
    <row r="65" spans="1:35" ht="14.25" customHeight="1">
      <c r="A65" s="161" t="s">
        <v>326</v>
      </c>
      <c r="B65" s="162" t="s">
        <v>1384</v>
      </c>
      <c r="C65" s="2350"/>
      <c r="D65" s="162"/>
      <c r="E65" s="164"/>
      <c r="F65" s="1669"/>
      <c r="G65" s="1669"/>
      <c r="H65" s="151"/>
      <c r="I65" s="121"/>
      <c r="J65" s="3268"/>
      <c r="K65" s="1244" t="s">
        <v>1385</v>
      </c>
      <c r="L65" s="1244">
        <f ca="1">IF(M49&gt;1000,M49*0.1%,IF(AND(M49&gt;500,M49&lt;=1000),M49*0.5%,IF(AND(M49&gt;50,M49&lt;=500),M49*1%,IF(AND(M49&gt;1,M49&lt;=50),M49*1.5%))))</f>
        <v>11.982000000000001</v>
      </c>
      <c r="M65" s="294">
        <f t="shared" ca="1" si="1"/>
        <v>12</v>
      </c>
      <c r="N65" s="2329" t="s">
        <v>1383</v>
      </c>
      <c r="Z65" s="1622"/>
      <c r="AI65" s="1560"/>
    </row>
    <row r="66" spans="1:35" ht="14.25" customHeight="1">
      <c r="A66" s="165" t="s">
        <v>327</v>
      </c>
      <c r="B66" s="166" t="s">
        <v>1386</v>
      </c>
      <c r="C66" s="2351"/>
      <c r="D66" s="166" t="s">
        <v>26</v>
      </c>
      <c r="E66" s="1250" t="s">
        <v>671</v>
      </c>
      <c r="F66" s="1669"/>
      <c r="G66" s="1669"/>
      <c r="H66" s="151"/>
      <c r="I66" s="121"/>
      <c r="J66" s="3268"/>
      <c r="K66" s="1244" t="s">
        <v>1387</v>
      </c>
      <c r="L66" s="1244">
        <f ca="1">M49*0.5%</f>
        <v>59.910000000000004</v>
      </c>
      <c r="M66" s="294">
        <f ca="1">IF(L66&gt;0.5,0.5,ROUND(L66,0))</f>
        <v>0.5</v>
      </c>
      <c r="N66" s="2329" t="s">
        <v>1388</v>
      </c>
      <c r="Z66" s="1622"/>
      <c r="AI66" s="1560"/>
    </row>
    <row r="67" spans="1:35" ht="14.25" customHeight="1">
      <c r="A67" s="165" t="s">
        <v>328</v>
      </c>
      <c r="B67" s="166" t="s">
        <v>1389</v>
      </c>
      <c r="C67" s="2352">
        <f ca="1">C63-C66</f>
        <v>11411</v>
      </c>
      <c r="D67" s="162" t="s">
        <v>26</v>
      </c>
      <c r="E67" s="164"/>
      <c r="F67" s="1669"/>
      <c r="G67" s="1669"/>
      <c r="H67" s="151"/>
      <c r="I67" s="121"/>
      <c r="J67" s="3268"/>
      <c r="K67" s="1244" t="s">
        <v>1390</v>
      </c>
      <c r="L67" s="1244">
        <f ca="1">IF(M49&gt;=10000,(8.25+(M49-10000)*0.01%),IF(AND(M49&gt;=8000,M49&lt;10000),(7.85+(M49-8000)*0.02%),IF(AND(M49&gt;=5000,M49&lt;8000),(6.65+(M49-5000)*0.04%),IF(AND(M49&gt;=2000,M49&lt;5000),(4.25+(PM49-2000)*0.08%),IF(AND(M49&gt;=1000,M49&lt;2000),(2.75+(M49-1000)*0.15%),IF(AND(M49&gt;=100,M49&lt;1000),(0.5+(M49-100)*0.25%),IF(AND(M49&gt;0,M49&lt;100),M49*0.5%)))))))</f>
        <v>8.4481999999999999</v>
      </c>
      <c r="M67" s="294">
        <f ca="1">ROUND(L67*0.9,1)</f>
        <v>7.6</v>
      </c>
      <c r="N67" s="2328"/>
      <c r="Z67" s="1622"/>
      <c r="AI67" s="1560"/>
    </row>
    <row r="68" spans="1:35" ht="14.25" customHeight="1" thickBot="1">
      <c r="A68" s="168" t="s">
        <v>329</v>
      </c>
      <c r="B68" s="169" t="s">
        <v>1391</v>
      </c>
      <c r="C68" s="2353">
        <f ca="1">IF(C67&lt;=0,0,ROUND(C67*D68,0))</f>
        <v>639</v>
      </c>
      <c r="D68" s="2354">
        <f>'数据-取费表'!B41</f>
        <v>5.6000000000000001E-2</v>
      </c>
      <c r="E68" s="170"/>
      <c r="F68" s="1669"/>
      <c r="G68" s="1669"/>
      <c r="H68" s="151"/>
      <c r="I68" s="121"/>
      <c r="J68" s="3268"/>
      <c r="K68" s="1244" t="s">
        <v>1392</v>
      </c>
      <c r="L68" s="1244">
        <f ca="1">IF(M49&gt;10000,M49*0.5%,IF(AND(M49&gt;5000,M49&lt;=10000),M49*1%,IF(AND(M49&gt;1000,M49&lt;=5000),M49*2%,IF(AND(M49&gt;200,M49&lt;=1000),M49*3%,M49*5%))))</f>
        <v>59.910000000000004</v>
      </c>
      <c r="M68" s="294">
        <f ca="1">ROUND(L68,1)</f>
        <v>59.9</v>
      </c>
      <c r="N68" s="2328"/>
      <c r="Z68" s="1622"/>
      <c r="AI68" s="1560"/>
    </row>
    <row r="69" spans="1:35" ht="16.5" customHeight="1">
      <c r="A69" s="1671"/>
      <c r="B69" s="1672"/>
      <c r="C69" s="1673"/>
      <c r="D69" s="1674"/>
      <c r="E69" s="1675"/>
      <c r="F69" s="1465"/>
      <c r="G69" s="1465"/>
      <c r="H69" s="1466"/>
      <c r="I69" s="646"/>
      <c r="J69" s="3268"/>
      <c r="K69" s="1244" t="s">
        <v>1393</v>
      </c>
      <c r="L69" s="1244"/>
      <c r="M69" s="294">
        <f ca="1">ROUND(SUM(M63:M68),0)</f>
        <v>200</v>
      </c>
      <c r="N69" s="2330">
        <f ca="1">M69/M49</f>
        <v>1.6691704223001168E-2</v>
      </c>
      <c r="Z69" s="1622"/>
      <c r="AI69" s="1560"/>
    </row>
    <row r="70" spans="1:35" s="642" customFormat="1" ht="14.5" thickBot="1">
      <c r="A70" s="3312" t="s">
        <v>1394</v>
      </c>
      <c r="B70" s="3313"/>
      <c r="C70" s="3313"/>
      <c r="D70" s="3313"/>
      <c r="E70" s="3313"/>
      <c r="F70" s="3313"/>
      <c r="G70" s="3313"/>
      <c r="H70" s="331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
      <c r="A71" s="3304" t="s">
        <v>1375</v>
      </c>
      <c r="B71" s="330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
      <c r="A72" s="165" t="s">
        <v>330</v>
      </c>
      <c r="B72" s="166" t="s">
        <v>1395</v>
      </c>
      <c r="C72" s="2352">
        <f ca="1">ROUND(D45/(1+'数据-取费表'!C42),0)</f>
        <v>11411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
      <c r="A73" s="165" t="s">
        <v>327</v>
      </c>
      <c r="B73" s="155" t="s">
        <v>1396</v>
      </c>
      <c r="C73" s="2352">
        <f ca="1">C74+C78</f>
        <v>68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09" t="s">
        <v>1402</v>
      </c>
      <c r="F76" s="3308"/>
      <c r="G76" s="3308"/>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68</v>
      </c>
      <c r="D78" s="2361">
        <f>'数据-取费表'!B43</f>
        <v>6.000000000000001E-3</v>
      </c>
      <c r="E78" s="3301" t="s">
        <v>1406</v>
      </c>
      <c r="F78" s="3302"/>
      <c r="G78" s="3302"/>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
      <c r="A79" s="165" t="s">
        <v>334</v>
      </c>
      <c r="B79" s="166" t="s">
        <v>1407</v>
      </c>
      <c r="C79" s="2352">
        <f ca="1">C72-C73</f>
        <v>11343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6">
      <c r="A80" s="165" t="s">
        <v>335</v>
      </c>
      <c r="B80" s="166" t="s">
        <v>1408</v>
      </c>
      <c r="C80" s="2362">
        <f ca="1">IF(C79&lt;=0,0,C79/C73)</f>
        <v>166.80882352941177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6.5" thickBot="1">
      <c r="A81" s="168" t="s">
        <v>336</v>
      </c>
      <c r="B81" s="169" t="s">
        <v>1409</v>
      </c>
      <c r="C81" s="2363">
        <f ca="1">ROUND(IF(C79&lt;=0,0,IF(C80&gt;=200%,C79*60%-C73*35%,IF(C80&gt;=100%,C79*50%-C73*15%,IF(C80&gt;=50%,C79*40%-C73*5%,IF(C80&lt;50%,C79*30%,0))))),0)</f>
        <v>6782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5"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
      <c r="A84" s="3304" t="s">
        <v>1375</v>
      </c>
      <c r="B84" s="330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
      <c r="A85" s="165" t="s">
        <v>330</v>
      </c>
      <c r="B85" s="166" t="s">
        <v>1395</v>
      </c>
      <c r="C85" s="2352">
        <f ca="1">ROUND(D45/(1+'数据-取费表'!C42),0)</f>
        <v>11411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
      <c r="A86" s="165" t="s">
        <v>327</v>
      </c>
      <c r="B86" s="155" t="s">
        <v>1396</v>
      </c>
      <c r="C86" s="2352">
        <f ca="1">IF(H88="仅含出让金",C87+C90+C91+C92+C93+C94,C87+C91+C92+C93+C94)</f>
        <v>68</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
      <c r="A90" s="161" t="s">
        <v>326</v>
      </c>
      <c r="B90" s="162" t="s">
        <v>1416</v>
      </c>
      <c r="C90" s="2366"/>
      <c r="D90" s="2361"/>
      <c r="E90" s="185" t="str">
        <f>IF(H88="-","土地取得成本中已包含该笔费用"," ")</f>
        <v xml:space="preserve"> </v>
      </c>
      <c r="F90" s="2146"/>
      <c r="G90" s="3270" t="s">
        <v>2129</v>
      </c>
      <c r="H90" s="3271"/>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IF(H91="——",成本法房本1!C33,I91)</f>
        <v>0</v>
      </c>
      <c r="D91" s="2361"/>
      <c r="E91" s="3301" t="s">
        <v>1419</v>
      </c>
      <c r="F91" s="3302"/>
      <c r="G91" s="330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1" t="s">
        <v>1422</v>
      </c>
      <c r="F92" s="3302"/>
      <c r="G92" s="3302"/>
      <c r="H92" s="3303"/>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68</v>
      </c>
      <c r="D93" s="2361">
        <f>'数据-取费表'!B43</f>
        <v>6.000000000000001E-3</v>
      </c>
      <c r="E93" s="3301" t="s">
        <v>1406</v>
      </c>
      <c r="F93" s="3302"/>
      <c r="G93" s="3302"/>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46" t="s">
        <v>1426</v>
      </c>
      <c r="F94" s="3347"/>
      <c r="G94" s="3347"/>
      <c r="H94" s="334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
      <c r="A95" s="165" t="s">
        <v>334</v>
      </c>
      <c r="B95" s="166" t="s">
        <v>1407</v>
      </c>
      <c r="C95" s="2352">
        <f ca="1">ROUND(C85-C86,0)</f>
        <v>11343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6">
      <c r="A96" s="165" t="s">
        <v>335</v>
      </c>
      <c r="B96" s="166" t="s">
        <v>1408</v>
      </c>
      <c r="C96" s="2362">
        <f ca="1">IF(C95&lt;=0,0,C95/C86)</f>
        <v>166.80882352941177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6.5" thickBot="1">
      <c r="A97" s="168" t="s">
        <v>336</v>
      </c>
      <c r="B97" s="169" t="s">
        <v>1409</v>
      </c>
      <c r="C97" s="2363">
        <f ca="1">ROUND(IF(C95&lt;=0,0,IF(C96&gt;=200%,C95*60%-C86*35%,IF(C96&gt;=100%,C95*50%-C86*15%,IF(C96&gt;=50%,C95*40%-C86*5%,IF(C96&lt;50%,C95*30%,0))))),0)</f>
        <v>6782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69" t="str">
        <f>C4</f>
        <v>成本法房本1</v>
      </c>
      <c r="D101" s="2370" t="str">
        <f>D4</f>
        <v>收益法房本1</v>
      </c>
      <c r="E101" s="3264" t="s">
        <v>1431</v>
      </c>
      <c r="F101" s="3265"/>
      <c r="G101" s="1686" t="s">
        <v>1432</v>
      </c>
      <c r="H101" s="2379">
        <f ca="1">H118</f>
        <v>11982</v>
      </c>
      <c r="I101" s="121"/>
    </row>
    <row r="102" spans="1:35" ht="18.75" customHeight="1">
      <c r="A102" s="3296" t="s">
        <v>1433</v>
      </c>
      <c r="B102" s="2368" t="s">
        <v>1432</v>
      </c>
      <c r="C102" s="2369">
        <f ca="1">IF(D32="楼面单价",ROUND(C19,0),C19)</f>
        <v>17851</v>
      </c>
      <c r="D102" s="2370">
        <f ca="1">IF(D32="楼面单价",ROUND(D19,0),D19)</f>
        <v>8070</v>
      </c>
      <c r="E102" s="3264"/>
      <c r="F102" s="3265"/>
      <c r="G102" s="1686" t="s">
        <v>1434</v>
      </c>
      <c r="H102" s="2339">
        <f ca="1">I118</f>
        <v>12041</v>
      </c>
      <c r="I102" s="121"/>
    </row>
    <row r="103" spans="1:35" ht="42.75" customHeight="1">
      <c r="A103" s="3296"/>
      <c r="B103" s="2368" t="s">
        <v>1434</v>
      </c>
      <c r="C103" s="2371">
        <f ca="1">C20</f>
        <v>17938</v>
      </c>
      <c r="D103" s="2372">
        <f ca="1">D20</f>
        <v>8110</v>
      </c>
      <c r="E103" s="3257" t="s">
        <v>1435</v>
      </c>
      <c r="F103" s="3258"/>
      <c r="G103" s="1687" t="s">
        <v>1436</v>
      </c>
      <c r="H103" s="2379">
        <f>IF(D36="正常操作",H104+H105+H106,H105+H106)</f>
        <v>0</v>
      </c>
      <c r="I103" s="121"/>
    </row>
    <row r="104" spans="1:35" ht="18.75" customHeight="1">
      <c r="A104" s="3296" t="s">
        <v>1437</v>
      </c>
      <c r="B104" s="2373" t="s">
        <v>1432</v>
      </c>
      <c r="C104" s="2374">
        <f ca="1">H118</f>
        <v>11982</v>
      </c>
      <c r="D104" s="2375"/>
      <c r="E104" s="1554" t="s">
        <v>1438</v>
      </c>
      <c r="F104" s="1547"/>
      <c r="G104" s="1687" t="s">
        <v>1436</v>
      </c>
      <c r="H104" s="2380">
        <f>IF(D36="同一抵押权人同一抵押物续贷",C36&amp;"（续贷，未扣减，详见特别提示）",C36)</f>
        <v>0</v>
      </c>
      <c r="I104" s="121"/>
    </row>
    <row r="105" spans="1:35" ht="18.75" customHeight="1" thickBot="1">
      <c r="A105" s="3306"/>
      <c r="B105" s="2376" t="s">
        <v>1434</v>
      </c>
      <c r="C105" s="2377">
        <f ca="1">I118</f>
        <v>12041</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7" t="str">
        <f>IF(项目基本情况!E8="已注销","——","3.房地产抵押价值")</f>
        <v>3.房地产抵押价值</v>
      </c>
      <c r="F107" s="3265"/>
      <c r="G107" s="1686" t="s">
        <v>1432</v>
      </c>
      <c r="H107" s="2379">
        <f ca="1">IF(E107="——","——",H101-H103)</f>
        <v>11982</v>
      </c>
      <c r="I107" s="121"/>
    </row>
    <row r="108" spans="1:35" ht="18.75" customHeight="1">
      <c r="A108" s="121"/>
      <c r="B108" s="121"/>
      <c r="C108" s="121"/>
      <c r="D108" s="121"/>
      <c r="E108" s="3297"/>
      <c r="F108" s="3265"/>
      <c r="G108" s="1686" t="s">
        <v>1434</v>
      </c>
      <c r="H108" s="2339">
        <f ca="1">IF(H107=H101,H102,ROUND(H107*10000/'数据-汇总表'!E3,0))</f>
        <v>12041</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6" t="s">
        <v>1432</v>
      </c>
      <c r="H109" s="2382" t="str">
        <f>IF(E109="——","——",H101-H105-H106)</f>
        <v>——</v>
      </c>
      <c r="I109" s="121"/>
    </row>
    <row r="110" spans="1:35" ht="18.75" customHeight="1">
      <c r="A110" s="121"/>
      <c r="B110" s="121"/>
      <c r="C110" s="121"/>
      <c r="D110" s="121"/>
      <c r="E110" s="3297"/>
      <c r="F110" s="3265"/>
      <c r="G110" s="1686" t="s">
        <v>1434</v>
      </c>
      <c r="H110" s="2339"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6" t="s">
        <v>1432</v>
      </c>
      <c r="H111" s="2379" t="str">
        <f>IF(E111="——","——",N59)</f>
        <v>——</v>
      </c>
      <c r="I111" s="121"/>
    </row>
    <row r="112" spans="1:35" ht="18.75" customHeight="1" thickBot="1">
      <c r="A112" s="121"/>
      <c r="B112" s="121"/>
      <c r="C112" s="121"/>
      <c r="D112" s="121"/>
      <c r="E112" s="3299"/>
      <c r="F112" s="3300"/>
      <c r="G112" s="1689" t="s">
        <v>1434</v>
      </c>
      <c r="H112" s="2383"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0"/>
      <c r="F114" s="1670"/>
      <c r="G114" s="1670"/>
      <c r="H114" s="1670"/>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8" t="s">
        <v>1449</v>
      </c>
      <c r="E117" s="2148" t="s">
        <v>1450</v>
      </c>
      <c r="F117" s="2148" t="s">
        <v>1449</v>
      </c>
      <c r="G117" s="2148" t="s">
        <v>1451</v>
      </c>
      <c r="H117" s="2148" t="s">
        <v>1449</v>
      </c>
      <c r="I117" s="2148" t="s">
        <v>1451</v>
      </c>
    </row>
    <row r="118" spans="1:27" ht="24.75" customHeight="1">
      <c r="A118" s="2384" t="str">
        <f>项目基本情况!S2</f>
        <v>北京市通州区翠平西路2号，4、6、8号；通朝大街202、204、206号、208、210、212号房地产</v>
      </c>
      <c r="B118" s="2148">
        <f>M18</f>
        <v>9951.27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11982</v>
      </c>
      <c r="I118" s="2148">
        <f ca="1">ROUND(IF(D32="楼面单价",C32,H118*10000/B118),0)</f>
        <v>12041</v>
      </c>
    </row>
    <row r="119" spans="1:27" ht="18.75" customHeight="1">
      <c r="A119" s="3272" t="s">
        <v>1452</v>
      </c>
      <c r="B119" s="3272"/>
      <c r="C119" s="3272"/>
      <c r="D119" s="3278" t="e">
        <f ca="1">NUMBERSTRING(INT(D118*10000),2)&amp;"元整"</f>
        <v>#REF!</v>
      </c>
      <c r="E119" s="3279"/>
      <c r="F119" s="3278" t="e">
        <f ca="1">NUMBERSTRING(INT(F118*10000),2)&amp;"元整"</f>
        <v>#REF!</v>
      </c>
      <c r="G119" s="3279"/>
      <c r="H119" s="3278" t="str">
        <f ca="1">NUMBERSTRING(INT(H118*10000),2)&amp;"元整"</f>
        <v>壹亿壹仟玖佰捌拾贰万元整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11982</v>
      </c>
      <c r="E122" s="3274"/>
      <c r="F122" s="3274"/>
      <c r="G122" s="3274"/>
      <c r="H122" s="3274"/>
      <c r="I122" s="3275"/>
      <c r="AA122" s="684"/>
    </row>
    <row r="123" spans="1:27" ht="18.75" customHeight="1">
      <c r="A123" s="3272" t="s">
        <v>1452</v>
      </c>
      <c r="B123" s="3272"/>
      <c r="C123" s="3272"/>
      <c r="D123" s="3278" t="str">
        <f ca="1">NUMBERSTRING(INT(D122*10000),2)&amp;"元整"</f>
        <v>壹亿壹仟玖佰捌拾贰万元整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C21C-DA99-4555-A573-0D44ADFF5D4C}">
  <sheetPr>
    <tabColor rgb="FFFF0000"/>
  </sheetPr>
  <dimension ref="A1:AJ512"/>
  <sheetViews>
    <sheetView view="pageBreakPreview" topLeftCell="A4" zoomScaleNormal="100" zoomScaleSheetLayoutView="100" zoomScalePageLayoutView="80" workbookViewId="0">
      <selection activeCell="E14" sqref="E14"/>
    </sheetView>
  </sheetViews>
  <sheetFormatPr defaultColWidth="12.6328125" defaultRowHeight="21.75" customHeight="1"/>
  <cols>
    <col min="1" max="2" width="12.6328125" style="1560"/>
    <col min="3" max="4" width="12.6328125" style="1560" customWidth="1"/>
    <col min="5" max="9" width="12.6328125" style="1560"/>
    <col min="10" max="11" width="12.6328125" style="684" customWidth="1"/>
    <col min="12" max="12" width="12.6328125" style="684"/>
    <col min="13" max="13" width="14.08984375" style="684" bestFit="1" customWidth="1"/>
    <col min="14" max="26" width="12.6328125" style="684"/>
    <col min="27" max="35" width="12.6328125" style="1622"/>
    <col min="36" max="16384" width="12.6328125" style="1560"/>
  </cols>
  <sheetData>
    <row r="1" spans="1:12" ht="21.75" customHeight="1" thickBot="1">
      <c r="A1" s="1520" t="s">
        <v>1262</v>
      </c>
      <c r="B1" s="646"/>
      <c r="C1" s="1619" t="s">
        <v>3517</v>
      </c>
      <c r="D1" s="646"/>
      <c r="E1" s="646"/>
      <c r="F1" s="1620" t="s">
        <v>1263</v>
      </c>
      <c r="G1" s="1452"/>
      <c r="H1" s="1620" t="str">
        <f>IF(G1="现房","——","估价对象范围")</f>
        <v>估价对象范围</v>
      </c>
      <c r="I1" s="1621"/>
    </row>
    <row r="2" spans="1:12" ht="21.75" customHeight="1" thickBot="1">
      <c r="A2" s="3324" t="str">
        <f>项目基本情况!S2</f>
        <v>北京市通州区翠平西路2号，4、6、8号；通朝大街202、204、206号、208、210、212号房地产</v>
      </c>
      <c r="B2" s="3325"/>
      <c r="C2" s="3325"/>
      <c r="D2" s="3325"/>
      <c r="E2" s="3325"/>
      <c r="F2" s="3325"/>
      <c r="G2" s="3325"/>
      <c r="H2" s="3325"/>
      <c r="I2" s="3326"/>
    </row>
    <row r="3" spans="1:12" ht="13">
      <c r="A3" s="3328" t="s">
        <v>1264</v>
      </c>
      <c r="B3" s="3329"/>
      <c r="C3" s="3329"/>
      <c r="D3" s="3329"/>
      <c r="E3" s="3329"/>
      <c r="F3" s="3329"/>
      <c r="G3" s="3329"/>
      <c r="H3" s="3329"/>
      <c r="I3" s="3329"/>
    </row>
    <row r="4" spans="1:12" ht="14">
      <c r="A4" s="1623" t="s">
        <v>1265</v>
      </c>
      <c r="B4" s="1624" t="s">
        <v>1266</v>
      </c>
      <c r="C4" s="1625" t="s">
        <v>3523</v>
      </c>
      <c r="D4" s="1625" t="s">
        <v>3529</v>
      </c>
      <c r="E4" s="3333" t="s">
        <v>1267</v>
      </c>
      <c r="F4" s="3334"/>
      <c r="G4" s="3334"/>
      <c r="H4" s="3334"/>
      <c r="I4" s="3335"/>
      <c r="K4" s="138" t="str">
        <f>IF(ISNUMBER(FIND("比较法",结果表房本2!C4)),"比较法",IF(ISNUMBER(FIND("成本法",结果表房本2!C4)),"成本法",IF(ISNUMBER(FIND("假设开发法",结果表房本2!C4)),"假设开发法",IF(ISNUMBER(FIND("收益法",结果表房本2!C4)),"收益法","基准地价系数修正法"))))</f>
        <v>成本法</v>
      </c>
      <c r="L4" s="138" t="str">
        <f>IF(ISNUMBER(FIND("比较法",结果表房本2!D4)),"比较法",IF(ISNUMBER(FIND("成本法",结果表房本2!D4)),"成本法",IF(ISNUMBER(FIND("假设开发法",结果表房本2!D4)),"假设开发法",IF(ISNUMBER(FIND("收益法",结果表房本2!D4)),"收益法","基准地价系数修正法"))))</f>
        <v>收益法</v>
      </c>
    </row>
    <row r="5" spans="1:12" ht="13">
      <c r="A5" s="3272" t="s">
        <v>1268</v>
      </c>
      <c r="B5" s="3327">
        <v>25</v>
      </c>
      <c r="C5" s="3330"/>
      <c r="D5" s="3318"/>
      <c r="E5" s="123" t="s">
        <v>1269</v>
      </c>
      <c r="F5" s="1626"/>
      <c r="G5" s="1626"/>
      <c r="H5" s="1626"/>
      <c r="I5" s="1280"/>
    </row>
    <row r="6" spans="1:12" ht="13">
      <c r="A6" s="3272"/>
      <c r="B6" s="3327"/>
      <c r="C6" s="3332"/>
      <c r="D6" s="3318"/>
      <c r="E6" s="123" t="s">
        <v>1270</v>
      </c>
      <c r="F6" s="1626"/>
      <c r="G6" s="1626"/>
      <c r="H6" s="1626"/>
      <c r="I6" s="1280"/>
    </row>
    <row r="7" spans="1:12" ht="13">
      <c r="A7" s="3272"/>
      <c r="B7" s="3327"/>
      <c r="C7" s="3331"/>
      <c r="D7" s="3318"/>
      <c r="E7" s="123" t="s">
        <v>1271</v>
      </c>
      <c r="F7" s="1626"/>
      <c r="G7" s="1626"/>
      <c r="H7" s="1626"/>
      <c r="I7" s="1280"/>
    </row>
    <row r="8" spans="1:12" ht="13">
      <c r="A8" s="3272" t="s">
        <v>1272</v>
      </c>
      <c r="B8" s="3327">
        <v>15</v>
      </c>
      <c r="C8" s="3330"/>
      <c r="D8" s="3318"/>
      <c r="E8" s="123" t="s">
        <v>1273</v>
      </c>
      <c r="F8" s="1626"/>
      <c r="G8" s="1626"/>
      <c r="H8" s="1626"/>
      <c r="I8" s="1280"/>
    </row>
    <row r="9" spans="1:12" ht="13">
      <c r="A9" s="3272"/>
      <c r="B9" s="3327"/>
      <c r="C9" s="3331"/>
      <c r="D9" s="3318"/>
      <c r="E9" s="123" t="s">
        <v>1274</v>
      </c>
      <c r="F9" s="1626"/>
      <c r="G9" s="1626"/>
      <c r="H9" s="1626"/>
      <c r="I9" s="1280"/>
    </row>
    <row r="10" spans="1:12" ht="13">
      <c r="A10" s="3272" t="s">
        <v>1275</v>
      </c>
      <c r="B10" s="3327">
        <v>15</v>
      </c>
      <c r="C10" s="3330"/>
      <c r="D10" s="3318"/>
      <c r="E10" s="123" t="s">
        <v>1276</v>
      </c>
      <c r="F10" s="1626"/>
      <c r="G10" s="1626"/>
      <c r="H10" s="1626"/>
      <c r="I10" s="1280"/>
    </row>
    <row r="11" spans="1:12" ht="13">
      <c r="A11" s="3272"/>
      <c r="B11" s="3327"/>
      <c r="C11" s="3331"/>
      <c r="D11" s="3318"/>
      <c r="E11" s="123" t="s">
        <v>1277</v>
      </c>
      <c r="F11" s="1626"/>
      <c r="G11" s="1626"/>
      <c r="H11" s="1626"/>
      <c r="I11" s="1280"/>
    </row>
    <row r="12" spans="1:12" ht="13">
      <c r="A12" s="3272" t="s">
        <v>1278</v>
      </c>
      <c r="B12" s="3327">
        <v>15</v>
      </c>
      <c r="C12" s="3330"/>
      <c r="D12" s="3318"/>
      <c r="E12" s="123" t="s">
        <v>1279</v>
      </c>
      <c r="F12" s="1626"/>
      <c r="G12" s="1626"/>
      <c r="H12" s="1626"/>
      <c r="I12" s="1280"/>
    </row>
    <row r="13" spans="1:12" ht="13">
      <c r="A13" s="3272"/>
      <c r="B13" s="3327"/>
      <c r="C13" s="3331"/>
      <c r="D13" s="3318"/>
      <c r="E13" s="123" t="s">
        <v>1280</v>
      </c>
      <c r="F13" s="1626"/>
      <c r="G13" s="1626"/>
      <c r="H13" s="1626"/>
      <c r="I13" s="1280"/>
    </row>
    <row r="14" spans="1:12" ht="13">
      <c r="A14" s="3272" t="s">
        <v>1281</v>
      </c>
      <c r="B14" s="3327">
        <v>30</v>
      </c>
      <c r="C14" s="3330">
        <v>4</v>
      </c>
      <c r="D14" s="3318">
        <v>6</v>
      </c>
      <c r="E14" s="123" t="s">
        <v>1282</v>
      </c>
      <c r="F14" s="1626"/>
      <c r="G14" s="1626"/>
      <c r="H14" s="1626"/>
      <c r="I14" s="1280"/>
    </row>
    <row r="15" spans="1:12" ht="13">
      <c r="A15" s="3272"/>
      <c r="B15" s="3327"/>
      <c r="C15" s="3332"/>
      <c r="D15" s="3318"/>
      <c r="E15" s="123" t="s">
        <v>1283</v>
      </c>
      <c r="F15" s="1626"/>
      <c r="G15" s="1626"/>
      <c r="H15" s="1626"/>
      <c r="I15" s="1280"/>
    </row>
    <row r="16" spans="1:12" ht="13">
      <c r="A16" s="3272"/>
      <c r="B16" s="3327"/>
      <c r="C16" s="3331"/>
      <c r="D16" s="3318"/>
      <c r="E16" s="123" t="s">
        <v>1284</v>
      </c>
      <c r="F16" s="1626"/>
      <c r="G16" s="1626"/>
      <c r="H16" s="1626"/>
      <c r="I16" s="1280"/>
    </row>
    <row r="17" spans="1:36" ht="14">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49" t="s">
        <v>2131</v>
      </c>
      <c r="F18" s="3350"/>
      <c r="G18" s="3350"/>
      <c r="H18" s="3350"/>
      <c r="I18" s="3350"/>
      <c r="K18" s="294" t="s">
        <v>1289</v>
      </c>
      <c r="L18" s="294">
        <f>IF(C1="",'数据-汇总表'!E3,SUMIF(项目类型,C1,'数据-汇总表'!E17:E26)+SUMIF(项目类型,C1,'数据-汇总表'!I17:I26))</f>
        <v>2137.38</v>
      </c>
      <c r="M18" s="294">
        <f>IF(C1="",'数据-汇总表'!E3,SUMIF(项目类型,C1,'数据-汇总表'!E17:E26))</f>
        <v>2137.38</v>
      </c>
    </row>
    <row r="19" spans="1:36" ht="14">
      <c r="A19" s="1629" t="s">
        <v>1290</v>
      </c>
      <c r="B19" s="1630" t="s">
        <v>1291</v>
      </c>
      <c r="C19" s="126">
        <f ca="1">SUMIF(INDIRECT("'"&amp;C4&amp;"'"&amp;"!A:A"),结果表房本2!B19,INDIRECT("'"&amp;C4&amp;"'"&amp;"!B:B"))</f>
        <v>4180</v>
      </c>
      <c r="D19" s="127">
        <f ca="1">SUMIF(INDIRECT("'"&amp;D4&amp;"'"&amp;"!A:A"),结果表房本2!B19,INDIRECT("'"&amp;D4&amp;"'"&amp;"!B:B"))</f>
        <v>1834</v>
      </c>
      <c r="E19" s="1629" t="s">
        <v>1292</v>
      </c>
      <c r="F19" s="1630" t="s">
        <v>1291</v>
      </c>
      <c r="G19" s="128">
        <f ca="1">ROUND(C19*$C$18+D19*$D$18,0)</f>
        <v>2772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2"/>
      <c r="B20" s="43" t="s">
        <v>1295</v>
      </c>
      <c r="C20" s="129">
        <f ca="1">SUMIF(INDIRECT("'"&amp;C4&amp;"'"&amp;"!A:A"),结果表房本2!B20,INDIRECT("'"&amp;C4&amp;"'"&amp;"!B:B"))</f>
        <v>19557</v>
      </c>
      <c r="D20" s="130">
        <f ca="1">SUMIF(INDIRECT("'"&amp;D4&amp;"'"&amp;"!A:A"),结果表房本2!B20,INDIRECT("'"&amp;D4&amp;"'"&amp;"!B:B"))</f>
        <v>8581</v>
      </c>
      <c r="E20" s="1632"/>
      <c r="F20" s="43" t="s">
        <v>1295</v>
      </c>
      <c r="G20" s="131">
        <f ca="1">ROUND(C20*$C$18+D20*$D$18,0)</f>
        <v>12971</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4.5" thickBot="1">
      <c r="A22" s="1563" t="s">
        <v>1298</v>
      </c>
      <c r="B22" s="1634"/>
      <c r="C22" s="1635"/>
      <c r="D22" s="680">
        <f ca="1">IF(C19&lt;D19,D19/C19-1,C19/D19-1)</f>
        <v>1.2791712104689203</v>
      </c>
      <c r="E22" s="121"/>
      <c r="F22" s="121"/>
      <c r="G22" s="121"/>
      <c r="H22" s="121"/>
      <c r="I22" s="121"/>
    </row>
    <row r="23" spans="1:36" ht="13" thickBot="1">
      <c r="A23" s="646"/>
      <c r="B23" s="646"/>
      <c r="C23" s="646"/>
      <c r="D23" s="646"/>
      <c r="E23" s="121"/>
      <c r="F23" s="121"/>
      <c r="G23" s="121"/>
      <c r="H23" s="121"/>
      <c r="I23" s="121"/>
    </row>
    <row r="24" spans="1:36" ht="14">
      <c r="A24" s="3342" t="s">
        <v>1299</v>
      </c>
      <c r="B24" s="1630" t="s">
        <v>1291</v>
      </c>
      <c r="C24" s="128">
        <f>IF(B30=0,0,D30)</f>
        <v>0</v>
      </c>
      <c r="D24" s="1636"/>
      <c r="E24" s="121"/>
      <c r="F24" s="121"/>
      <c r="G24" s="121"/>
      <c r="H24" s="121"/>
      <c r="I24" s="121"/>
    </row>
    <row r="25" spans="1:36" ht="14">
      <c r="A25" s="334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5" t="s">
        <v>2132</v>
      </c>
      <c r="F30" s="121"/>
      <c r="G30" s="121"/>
      <c r="H30" s="121"/>
      <c r="I30" s="121"/>
    </row>
    <row r="31" spans="1:36" s="2131" customFormat="1" ht="26.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thickTop="1" thickBot="1">
      <c r="A32" s="1639" t="s">
        <v>1305</v>
      </c>
      <c r="B32" s="1534"/>
      <c r="C32" s="136">
        <f ca="1">IF(D32="总价",G19-C24,G20-C25)</f>
        <v>2772</v>
      </c>
      <c r="D32" s="1640" t="s">
        <v>3503</v>
      </c>
      <c r="E32" s="121"/>
      <c r="F32" s="121"/>
      <c r="G32" s="121"/>
      <c r="H32" s="121"/>
      <c r="I32" s="121"/>
    </row>
    <row r="33" spans="1:15" ht="14">
      <c r="A33" s="739" t="s">
        <v>1306</v>
      </c>
      <c r="B33" s="123"/>
      <c r="C33" s="1641" t="s">
        <v>3506</v>
      </c>
      <c r="D33" s="1642" t="s">
        <v>3502</v>
      </c>
      <c r="E33" s="1643" t="s">
        <v>1307</v>
      </c>
      <c r="F33" s="1644" t="str">
        <f>IF(D32="楼面单价","取值（单价）","取值（总价）")</f>
        <v>取值（总价）</v>
      </c>
      <c r="G33" s="121"/>
      <c r="H33" s="121"/>
      <c r="I33" s="121"/>
    </row>
    <row r="34" spans="1:15" ht="1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4.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4.5" thickBot="1">
      <c r="A36" s="3319" t="s">
        <v>1312</v>
      </c>
      <c r="B36" s="1651" t="s">
        <v>1313</v>
      </c>
      <c r="C36" s="137"/>
      <c r="D36" s="1652"/>
      <c r="E36" s="1566"/>
      <c r="F36" s="1653"/>
      <c r="G36" s="121"/>
      <c r="H36" s="121"/>
      <c r="I36" s="121"/>
    </row>
    <row r="37" spans="1:15" ht="14.5" thickBot="1">
      <c r="A37" s="3320"/>
      <c r="B37" s="1554" t="s">
        <v>1314</v>
      </c>
      <c r="C37" s="139"/>
      <c r="D37" s="1070"/>
      <c r="E37" s="1070"/>
      <c r="F37" s="1653"/>
      <c r="G37" s="121"/>
      <c r="H37" s="121"/>
      <c r="I37" s="121"/>
    </row>
    <row r="38" spans="1:15" ht="14.5" thickBot="1">
      <c r="A38" s="3321"/>
      <c r="B38" s="1654" t="s">
        <v>1315</v>
      </c>
      <c r="C38" s="641"/>
      <c r="D38" s="1655" t="s">
        <v>1316</v>
      </c>
      <c r="E38" s="1070"/>
      <c r="F38" s="1653"/>
      <c r="G38" s="121"/>
      <c r="H38" s="121"/>
      <c r="I38" s="121"/>
    </row>
    <row r="39" spans="1:15" ht="14">
      <c r="A39" s="1632" t="s">
        <v>1317</v>
      </c>
      <c r="B39" s="1656" t="s">
        <v>1301</v>
      </c>
      <c r="C39" s="1657" t="s">
        <v>1302</v>
      </c>
      <c r="D39" s="1657" t="s">
        <v>1320</v>
      </c>
      <c r="E39" s="1658" t="s">
        <v>1303</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339" t="s">
        <v>1326</v>
      </c>
      <c r="B45" s="3340"/>
      <c r="C45" s="3341"/>
      <c r="D45" s="147">
        <f ca="1">ROUND(H101*F45,0)</f>
        <v>2772</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7"/>
      <c r="I46" s="151"/>
      <c r="J46" s="2308">
        <v>1</v>
      </c>
      <c r="K46" s="3260" t="s">
        <v>1331</v>
      </c>
      <c r="L46" s="3260"/>
      <c r="M46" s="3261"/>
      <c r="N46" s="3261"/>
      <c r="O46" s="3261"/>
    </row>
    <row r="47" spans="1:15" ht="12" customHeight="1">
      <c r="A47" s="152" t="s">
        <v>1332</v>
      </c>
      <c r="B47" s="153"/>
      <c r="C47" s="154"/>
      <c r="D47" s="1023" t="s">
        <v>1333</v>
      </c>
      <c r="E47" s="294" t="s">
        <v>1334</v>
      </c>
      <c r="F47" s="155" t="s">
        <v>1335</v>
      </c>
      <c r="G47" s="2331" t="s">
        <v>1336</v>
      </c>
      <c r="H47" s="2332"/>
      <c r="I47" s="151"/>
      <c r="J47" s="2308">
        <v>2</v>
      </c>
      <c r="K47" s="3260" t="s">
        <v>1337</v>
      </c>
      <c r="L47" s="3260"/>
      <c r="M47" s="3262">
        <f>'数据-取费表'!B2</f>
        <v>45974</v>
      </c>
      <c r="N47" s="3262"/>
      <c r="O47" s="3262"/>
    </row>
    <row r="48" spans="1:15" ht="26">
      <c r="A48" s="3322" t="s">
        <v>1338</v>
      </c>
      <c r="B48" s="3323"/>
      <c r="C48" s="3323"/>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60" t="s">
        <v>1340</v>
      </c>
      <c r="L48" s="3260"/>
      <c r="M48" s="3263">
        <f ca="1">H101</f>
        <v>2772</v>
      </c>
      <c r="N48" s="3263"/>
      <c r="O48" s="3263"/>
    </row>
    <row r="49" spans="1:35" ht="25.5" customHeight="1">
      <c r="A49" s="2150" t="s">
        <v>1341</v>
      </c>
      <c r="B49" s="3308" t="s">
        <v>1342</v>
      </c>
      <c r="C49" s="3308"/>
      <c r="D49" s="1477">
        <v>0</v>
      </c>
      <c r="E49" s="316" t="s">
        <v>1343</v>
      </c>
      <c r="F49" s="2231" t="s">
        <v>28</v>
      </c>
      <c r="G49" s="3291"/>
      <c r="H49" s="2132" t="s">
        <v>2134</v>
      </c>
      <c r="I49" s="2133"/>
      <c r="J49" s="2308">
        <v>4</v>
      </c>
      <c r="K49" s="3260" t="str">
        <f>IF(项目基本情况!E8="房地产抵押价值","房地产抵押价值","抵押担保权已注销时的房地产抵押价值")</f>
        <v>房地产抵押价值</v>
      </c>
      <c r="L49" s="3260"/>
      <c r="M49" s="3263">
        <f ca="1">IF(项目基本情况!E8="房地产抵押价值",H107,H109)</f>
        <v>2772</v>
      </c>
      <c r="N49" s="3263"/>
      <c r="O49" s="3263"/>
    </row>
    <row r="50" spans="1:35" ht="25.5" customHeight="1">
      <c r="A50" s="2336"/>
      <c r="B50" s="3308" t="s">
        <v>1344</v>
      </c>
      <c r="C50" s="3308"/>
      <c r="D50" s="2187"/>
      <c r="E50" s="323"/>
      <c r="F50" s="2231"/>
      <c r="G50" s="3292"/>
      <c r="H50" s="2134" t="s">
        <v>2135</v>
      </c>
      <c r="I50" s="2133"/>
      <c r="J50" s="3259" t="s">
        <v>1345</v>
      </c>
      <c r="K50" s="3259"/>
      <c r="L50" s="3259"/>
      <c r="M50" s="3259"/>
      <c r="N50" s="3259"/>
      <c r="O50" s="3259"/>
    </row>
    <row r="51" spans="1:35" ht="20.5" customHeight="1">
      <c r="A51" s="2337"/>
      <c r="B51" s="3308" t="s">
        <v>1346</v>
      </c>
      <c r="C51" s="3308"/>
      <c r="D51" s="1023"/>
      <c r="E51" s="319"/>
      <c r="F51" s="2231"/>
      <c r="G51" s="3293"/>
      <c r="H51" s="2134" t="s">
        <v>2136</v>
      </c>
      <c r="I51" s="2133"/>
      <c r="J51" s="2309" t="s">
        <v>1347</v>
      </c>
      <c r="K51" s="3260" t="s">
        <v>1348</v>
      </c>
      <c r="L51" s="3260"/>
      <c r="M51" s="2309" t="s">
        <v>1349</v>
      </c>
      <c r="N51" s="2309" t="s">
        <v>1350</v>
      </c>
      <c r="O51" s="2309" t="s">
        <v>1351</v>
      </c>
    </row>
    <row r="52" spans="1:35" ht="24" customHeight="1">
      <c r="A52" s="2151" t="s">
        <v>1352</v>
      </c>
      <c r="B52" s="3308" t="s">
        <v>1353</v>
      </c>
      <c r="C52" s="3308"/>
      <c r="D52" s="1023">
        <f ca="1">ROUND(D45*'数据-取费表'!B41/(1+'数据-取费表'!C42),0)</f>
        <v>148</v>
      </c>
      <c r="E52" s="1255" t="s">
        <v>1354</v>
      </c>
      <c r="F52" s="2338">
        <f>'数据-取费表'!B41</f>
        <v>5.6000000000000001E-2</v>
      </c>
      <c r="G52" s="2339"/>
      <c r="H52" s="2329"/>
      <c r="I52" s="1668"/>
      <c r="J52" s="2308">
        <v>1</v>
      </c>
      <c r="K52" s="3285" t="s">
        <v>1355</v>
      </c>
      <c r="L52" s="3285"/>
      <c r="M52" s="2310" t="b">
        <f>D48</f>
        <v>0</v>
      </c>
      <c r="N52" s="2308" t="str">
        <f>E48</f>
        <v>销售额×税（费）率</v>
      </c>
      <c r="O52" s="2311">
        <f>F48</f>
        <v>5.6000000000000001E-2</v>
      </c>
    </row>
    <row r="53" spans="1:35" ht="12" customHeight="1">
      <c r="A53" s="2151" t="s">
        <v>1356</v>
      </c>
      <c r="B53" s="3309" t="s">
        <v>2291</v>
      </c>
      <c r="C53" s="3310"/>
      <c r="D53" s="1023">
        <f ca="1">ROUND(D45*'数据-取费表'!B41/(1+'数据-取费表'!C42),0)</f>
        <v>148</v>
      </c>
      <c r="E53" s="1255" t="s">
        <v>1354</v>
      </c>
      <c r="F53" s="2338">
        <f>'数据-取费表'!B41</f>
        <v>5.6000000000000001E-2</v>
      </c>
      <c r="G53" s="2339"/>
      <c r="H53" s="2329"/>
      <c r="I53" s="1668"/>
      <c r="J53" s="2308">
        <v>2</v>
      </c>
      <c r="K53" s="3285" t="s">
        <v>1357</v>
      </c>
      <c r="L53" s="3285"/>
      <c r="M53" s="2310">
        <f t="shared" ref="M53:O54" ca="1" si="0">D55</f>
        <v>1</v>
      </c>
      <c r="N53" s="2308" t="str">
        <f t="shared" si="0"/>
        <v>销售额×税（费）率</v>
      </c>
      <c r="O53" s="2311" t="str">
        <f t="shared" si="0"/>
        <v>免征</v>
      </c>
    </row>
    <row r="54" spans="1:35" ht="12" customHeight="1">
      <c r="A54" s="2151" t="s">
        <v>1358</v>
      </c>
      <c r="B54" s="3309" t="s">
        <v>2292</v>
      </c>
      <c r="C54" s="3310"/>
      <c r="D54" s="1023">
        <f ca="1">C68</f>
        <v>148</v>
      </c>
      <c r="E54" s="319" t="s">
        <v>1359</v>
      </c>
      <c r="F54" s="2338">
        <f>'数据-取费表'!B41</f>
        <v>5.6000000000000001E-2</v>
      </c>
      <c r="G54" s="2339"/>
      <c r="H54" s="2340"/>
      <c r="I54" s="1668"/>
      <c r="J54" s="2308">
        <v>3</v>
      </c>
      <c r="K54" s="3285" t="s">
        <v>1360</v>
      </c>
      <c r="L54" s="3285"/>
      <c r="M54" s="2310">
        <f t="shared" ca="1" si="0"/>
        <v>1569</v>
      </c>
      <c r="N54" s="2308" t="str">
        <f t="shared" si="0"/>
        <v>增值额×税（费）率</v>
      </c>
      <c r="O54" s="2312" t="str">
        <f t="shared" si="0"/>
        <v>免征</v>
      </c>
    </row>
    <row r="55" spans="1:35" ht="24" customHeight="1">
      <c r="A55" s="3345" t="s">
        <v>1361</v>
      </c>
      <c r="B55" s="3323"/>
      <c r="C55" s="3323"/>
      <c r="D55" s="12">
        <f ca="1">IF(H55="个人住宅",0,ROUND(D45*I55,0))</f>
        <v>1</v>
      </c>
      <c r="E55" s="1255" t="s">
        <v>1362</v>
      </c>
      <c r="F55" s="2338" t="str">
        <f>IF(H55="正常",I55,"免征")</f>
        <v>免征</v>
      </c>
      <c r="G55" s="2339"/>
      <c r="H55" s="2335"/>
      <c r="I55" s="157">
        <f>'数据-取费表'!B49</f>
        <v>5.0000000000000001E-4</v>
      </c>
      <c r="J55" s="2308">
        <f>IF(H59="非个人房产","",4)</f>
        <v>4</v>
      </c>
      <c r="K55" s="3285" t="str">
        <f>IF(H59="非个人房产","——","个人所得税")</f>
        <v>个人所得税</v>
      </c>
      <c r="L55" s="3285"/>
      <c r="M55" s="2313">
        <f ca="1">D59</f>
        <v>26</v>
      </c>
      <c r="N55" s="1882" t="str">
        <f>E59</f>
        <v>差额计税</v>
      </c>
      <c r="O55" s="2314">
        <f>F59</f>
        <v>0.01</v>
      </c>
    </row>
    <row r="56" spans="1:35" ht="26">
      <c r="A56" s="3345" t="s">
        <v>1363</v>
      </c>
      <c r="B56" s="3323"/>
      <c r="C56" s="3323"/>
      <c r="D56" s="12">
        <f ca="1">IF(H56="个人住宅",D57,D58)</f>
        <v>1569</v>
      </c>
      <c r="E56" s="1255" t="s">
        <v>1364</v>
      </c>
      <c r="F56" s="2338" t="str">
        <f>IF(H56="正常",F58,"免征")</f>
        <v>免征</v>
      </c>
      <c r="G56" s="2341" t="s">
        <v>1365</v>
      </c>
      <c r="H56" s="2342"/>
      <c r="I56" s="1669"/>
      <c r="J56" s="2308" t="str">
        <f>IF(项目基本情况!K6="上海银行",IF(J55="",4,J55+1),"")</f>
        <v/>
      </c>
      <c r="K56" s="3266" t="str">
        <f>IF(项目基本情况!K6="上海银行","其他处置费用","")</f>
        <v/>
      </c>
      <c r="L56" s="3267"/>
      <c r="M56" s="2310" t="str">
        <f>IF(项目基本情况!K6="上海银行",M69,"")</f>
        <v/>
      </c>
      <c r="N56" s="3266" t="str">
        <f>IF(项目基本情况!K6="上海银行","包含处置中涉及的律师、诉讼、拍卖、评估等费用","")</f>
        <v/>
      </c>
      <c r="O56" s="3269"/>
    </row>
    <row r="57" spans="1:35" ht="13">
      <c r="A57" s="2151" t="s">
        <v>1341</v>
      </c>
      <c r="B57" s="3309" t="s">
        <v>1366</v>
      </c>
      <c r="C57" s="3310"/>
      <c r="D57" s="1477">
        <v>0</v>
      </c>
      <c r="E57" s="316" t="s">
        <v>1343</v>
      </c>
      <c r="F57" s="294"/>
      <c r="G57" s="2339"/>
      <c r="H57" s="2343"/>
      <c r="I57" s="1669"/>
      <c r="J57" s="3285">
        <f>IF(AND(J55="",J56=""),4,IF(项目基本情况!K6="上海银行",结果表房本2!J56+1,结果表房本2!J55+1))</f>
        <v>5</v>
      </c>
      <c r="K57" s="3285" t="s">
        <v>1367</v>
      </c>
      <c r="L57" s="2315" t="s">
        <v>1368</v>
      </c>
      <c r="M57" s="2316"/>
      <c r="N57" s="2317">
        <f ca="1">SUMIF(M52:M56,"&lt;9e307")</f>
        <v>1596</v>
      </c>
      <c r="O57" s="2318"/>
      <c r="P57" s="2462">
        <f ca="1">N57/M49</f>
        <v>0.5757575757575758</v>
      </c>
    </row>
    <row r="58" spans="1:35" ht="26">
      <c r="A58" s="2151" t="s">
        <v>1352</v>
      </c>
      <c r="B58" s="3309" t="s">
        <v>1369</v>
      </c>
      <c r="C58" s="3308"/>
      <c r="D58" s="12">
        <f ca="1">IF(H58="转让取得",C81,C97)</f>
        <v>1569</v>
      </c>
      <c r="E58" s="1255" t="s">
        <v>1364</v>
      </c>
      <c r="F58" s="294" t="s">
        <v>28</v>
      </c>
      <c r="G58" s="2339"/>
      <c r="H58" s="2342"/>
      <c r="I58" s="1669"/>
      <c r="J58" s="3285"/>
      <c r="K58" s="3285"/>
      <c r="L58" s="2315" t="s">
        <v>1370</v>
      </c>
      <c r="M58" s="2319"/>
      <c r="N58" s="2320" t="str">
        <f ca="1">NUMBERSTRING(INT(N57*10000),2)&amp;"元整"</f>
        <v>壹仟伍佰玖拾陆万元整</v>
      </c>
      <c r="O58" s="2321"/>
    </row>
    <row r="59" spans="1:35" ht="26.5" thickBot="1">
      <c r="A59" s="3289" t="s">
        <v>1371</v>
      </c>
      <c r="B59" s="3290"/>
      <c r="C59" s="3290"/>
      <c r="D59" s="2344">
        <f ca="1">IF(H59="非个人房产","——",IF(H59="个人住宅（满五唯一有凭证）",0,IF(H59="个人其他（无凭证）",ROUND(D45/(1+'数据-取费表'!C42)*F59,0),ROUND(C67*F59,0))))</f>
        <v>26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87">
        <f>J57+1</f>
        <v>6</v>
      </c>
      <c r="K59" s="3285" t="s">
        <v>1372</v>
      </c>
      <c r="L59" s="2308" t="s">
        <v>1368</v>
      </c>
      <c r="M59" s="2322"/>
      <c r="N59" s="2323">
        <f ca="1">M49-N57</f>
        <v>1176</v>
      </c>
      <c r="O59" s="2324"/>
    </row>
    <row r="60" spans="1:35" ht="12" customHeight="1">
      <c r="A60" s="1670"/>
      <c r="B60" s="646"/>
      <c r="C60" s="646"/>
      <c r="D60" s="646"/>
      <c r="E60" s="1465"/>
      <c r="F60" s="1669"/>
      <c r="G60" s="1669"/>
      <c r="H60" s="151"/>
      <c r="I60" s="121"/>
      <c r="J60" s="3288"/>
      <c r="K60" s="3285"/>
      <c r="L60" s="2315" t="s">
        <v>1370</v>
      </c>
      <c r="M60" s="2319"/>
      <c r="N60" s="2320" t="str">
        <f ca="1">NUMBERSTRING(INT(N59*10000),2)&amp;"元整"</f>
        <v>壹仟壹佰柒拾陆万元整</v>
      </c>
      <c r="O60" s="2321"/>
    </row>
    <row r="61" spans="1:35" ht="13.5" thickBot="1">
      <c r="A61" s="3344" t="s">
        <v>1373</v>
      </c>
      <c r="B61" s="3344"/>
      <c r="C61" s="3344"/>
      <c r="D61" s="3344"/>
      <c r="E61" s="3344"/>
      <c r="F61" s="1669"/>
      <c r="G61" s="1669"/>
      <c r="H61" s="151"/>
      <c r="I61" s="121"/>
      <c r="J61" s="2308">
        <f>J59+1</f>
        <v>7</v>
      </c>
      <c r="K61" s="3285" t="s">
        <v>1374</v>
      </c>
      <c r="L61" s="3285"/>
      <c r="M61" s="2325"/>
      <c r="N61" s="2326">
        <f ca="1">ROUND(N59*10000/'数据-汇总表'!E3,0)</f>
        <v>581</v>
      </c>
      <c r="O61" s="2327"/>
    </row>
    <row r="62" spans="1:35" ht="13">
      <c r="A62" s="3304" t="s">
        <v>1375</v>
      </c>
      <c r="B62" s="3305"/>
      <c r="C62" s="1864"/>
      <c r="D62" s="1864" t="s">
        <v>1376</v>
      </c>
      <c r="E62" s="158" t="s">
        <v>1377</v>
      </c>
      <c r="F62" s="1669"/>
      <c r="G62" s="1669"/>
      <c r="H62" s="151"/>
      <c r="I62" s="121"/>
    </row>
    <row r="63" spans="1:35" ht="13">
      <c r="A63" s="165" t="s">
        <v>330</v>
      </c>
      <c r="B63" s="159" t="s">
        <v>1378</v>
      </c>
      <c r="C63" s="2348">
        <f ca="1">ROUND((C64+C65)/(1+'数据-取费表'!C42),0)</f>
        <v>2640</v>
      </c>
      <c r="D63" s="159"/>
      <c r="E63" s="160"/>
      <c r="F63" s="1669"/>
      <c r="G63" s="1669"/>
      <c r="H63" s="151"/>
      <c r="I63" s="121"/>
      <c r="J63" s="3268" t="s">
        <v>1379</v>
      </c>
      <c r="K63" s="1244" t="s">
        <v>1380</v>
      </c>
      <c r="L63" s="1244">
        <f ca="1">IF(M49&gt;10000,M49*0.5%,IF(AND(M49&gt;1000,M49&lt;=10000),M49*1%,IF(AND(M49&gt;100,M49&lt;=1000),M49*3%,IF(AND(M49&gt;10,M49&lt;=100),M49*5%,M49*8%))))</f>
        <v>27.72</v>
      </c>
      <c r="M63" s="294">
        <f ca="1">ROUND(L63,1)</f>
        <v>27.7</v>
      </c>
      <c r="N63" s="2328"/>
      <c r="Z63" s="1622"/>
      <c r="AI63" s="1560"/>
    </row>
    <row r="64" spans="1:35" ht="14.25" customHeight="1">
      <c r="A64" s="161" t="s">
        <v>325</v>
      </c>
      <c r="B64" s="162" t="s">
        <v>1381</v>
      </c>
      <c r="C64" s="2349">
        <f ca="1">D45</f>
        <v>2772</v>
      </c>
      <c r="D64" s="162" t="s">
        <v>26</v>
      </c>
      <c r="E64" s="164"/>
      <c r="F64" s="1669"/>
      <c r="G64" s="1669"/>
      <c r="H64" s="151"/>
      <c r="I64" s="121"/>
      <c r="J64" s="3268"/>
      <c r="K64" s="1244" t="s">
        <v>1382</v>
      </c>
      <c r="L64" s="1244">
        <f ca="1">IF(M49&gt;2000,M49*0.5%,IF(AND(M49&gt;1000,M49&lt;=2000),M49*0.6%,IF(AND(M49&gt;500,M49&lt;=1000),M49*0.7%,IF(AND(M49&gt;200,M49&lt;=500),M49*0.8%,IF(AND(M49&gt;100,M49&lt;=200),M49*0.9%,IF(AND(M49&gt;50,M49&lt;=100),M49*1%,IF(AND(M49&gt;20,M49&lt;=50),M49*1.5%,IF(AND(M49&gt;10,M49&lt;=20),M49*2%,IF(AND(M49&gt;1,M49&lt;=10),M49*2.5%)))))))))</f>
        <v>13.86</v>
      </c>
      <c r="M64" s="294">
        <f t="shared" ref="M64:M65" ca="1" si="1">ROUND(L64,1)</f>
        <v>13.9</v>
      </c>
      <c r="N64" s="2329" t="s">
        <v>1383</v>
      </c>
      <c r="Z64" s="1622"/>
      <c r="AI64" s="1560"/>
    </row>
    <row r="65" spans="1:35" ht="14.25" customHeight="1">
      <c r="A65" s="161" t="s">
        <v>326</v>
      </c>
      <c r="B65" s="162" t="s">
        <v>1384</v>
      </c>
      <c r="C65" s="2350"/>
      <c r="D65" s="162"/>
      <c r="E65" s="164"/>
      <c r="F65" s="1669"/>
      <c r="G65" s="1669"/>
      <c r="H65" s="151"/>
      <c r="I65" s="121"/>
      <c r="J65" s="3268"/>
      <c r="K65" s="1244" t="s">
        <v>1385</v>
      </c>
      <c r="L65" s="1244">
        <f ca="1">IF(M49&gt;1000,M49*0.1%,IF(AND(M49&gt;500,M49&lt;=1000),M49*0.5%,IF(AND(M49&gt;50,M49&lt;=500),M49*1%,IF(AND(M49&gt;1,M49&lt;=50),M49*1.5%))))</f>
        <v>2.7720000000000002</v>
      </c>
      <c r="M65" s="294">
        <f t="shared" ca="1" si="1"/>
        <v>2.8</v>
      </c>
      <c r="N65" s="2329" t="s">
        <v>1383</v>
      </c>
      <c r="Z65" s="1622"/>
      <c r="AI65" s="1560"/>
    </row>
    <row r="66" spans="1:35" ht="14.25" customHeight="1">
      <c r="A66" s="165" t="s">
        <v>327</v>
      </c>
      <c r="B66" s="166" t="s">
        <v>1386</v>
      </c>
      <c r="C66" s="2351"/>
      <c r="D66" s="166" t="s">
        <v>26</v>
      </c>
      <c r="E66" s="1250" t="s">
        <v>671</v>
      </c>
      <c r="F66" s="1669"/>
      <c r="G66" s="1669"/>
      <c r="H66" s="151"/>
      <c r="I66" s="121"/>
      <c r="J66" s="3268"/>
      <c r="K66" s="1244" t="s">
        <v>1387</v>
      </c>
      <c r="L66" s="1244">
        <f ca="1">M49*0.5%</f>
        <v>13.86</v>
      </c>
      <c r="M66" s="294">
        <f ca="1">IF(L66&gt;0.5,0.5,ROUND(L66,0))</f>
        <v>0.5</v>
      </c>
      <c r="N66" s="2329" t="s">
        <v>1388</v>
      </c>
      <c r="Z66" s="1622"/>
      <c r="AI66" s="1560"/>
    </row>
    <row r="67" spans="1:35" ht="14.25" customHeight="1">
      <c r="A67" s="165" t="s">
        <v>328</v>
      </c>
      <c r="B67" s="166" t="s">
        <v>1389</v>
      </c>
      <c r="C67" s="2352">
        <f ca="1">C63-C66</f>
        <v>2640</v>
      </c>
      <c r="D67" s="162" t="s">
        <v>26</v>
      </c>
      <c r="E67" s="164"/>
      <c r="F67" s="1669"/>
      <c r="G67" s="1669"/>
      <c r="H67" s="151"/>
      <c r="I67" s="121"/>
      <c r="J67" s="3268"/>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2"/>
      <c r="AI67" s="1560"/>
    </row>
    <row r="68" spans="1:35" ht="14.25" customHeight="1" thickBot="1">
      <c r="A68" s="168" t="s">
        <v>329</v>
      </c>
      <c r="B68" s="169" t="s">
        <v>1391</v>
      </c>
      <c r="C68" s="2353">
        <f ca="1">IF(C67&lt;=0,0,ROUND(C67*D68,0))</f>
        <v>148</v>
      </c>
      <c r="D68" s="2354">
        <f>'数据-取费表'!B41</f>
        <v>5.6000000000000001E-2</v>
      </c>
      <c r="E68" s="170"/>
      <c r="F68" s="1669"/>
      <c r="G68" s="1669"/>
      <c r="H68" s="151"/>
      <c r="I68" s="121"/>
      <c r="J68" s="3268"/>
      <c r="K68" s="1244" t="s">
        <v>1392</v>
      </c>
      <c r="L68" s="1244">
        <f ca="1">IF(M49&gt;10000,M49*0.5%,IF(AND(M49&gt;5000,M49&lt;=10000),M49*1%,IF(AND(M49&gt;1000,M49&lt;=5000),M49*2%,IF(AND(M49&gt;200,M49&lt;=1000),M49*3%,M49*5%))))</f>
        <v>55.44</v>
      </c>
      <c r="M68" s="294">
        <f ca="1">ROUND(L68,1)</f>
        <v>55.4</v>
      </c>
      <c r="N68" s="2328"/>
      <c r="Z68" s="1622"/>
      <c r="AI68" s="1560"/>
    </row>
    <row r="69" spans="1:35" ht="16.5" customHeight="1">
      <c r="A69" s="1671"/>
      <c r="B69" s="1672"/>
      <c r="C69" s="1673"/>
      <c r="D69" s="1674"/>
      <c r="E69" s="1675"/>
      <c r="F69" s="1465"/>
      <c r="G69" s="1465"/>
      <c r="H69" s="1466"/>
      <c r="I69" s="646"/>
      <c r="J69" s="3268"/>
      <c r="K69" s="1244" t="s">
        <v>1393</v>
      </c>
      <c r="L69" s="1244"/>
      <c r="M69" s="294">
        <f ca="1">ROUND(SUM(M63:M68),0)</f>
        <v>103</v>
      </c>
      <c r="N69" s="2330">
        <f ca="1">M69/M49</f>
        <v>3.715728715728716E-2</v>
      </c>
      <c r="Z69" s="1622"/>
      <c r="AI69" s="1560"/>
    </row>
    <row r="70" spans="1:35" s="642" customFormat="1" ht="14.5" thickBot="1">
      <c r="A70" s="3312" t="s">
        <v>1394</v>
      </c>
      <c r="B70" s="3313"/>
      <c r="C70" s="3313"/>
      <c r="D70" s="3313"/>
      <c r="E70" s="3313"/>
      <c r="F70" s="3313"/>
      <c r="G70" s="3313"/>
      <c r="H70" s="331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
      <c r="A71" s="3304" t="s">
        <v>1375</v>
      </c>
      <c r="B71" s="330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
      <c r="A72" s="165" t="s">
        <v>330</v>
      </c>
      <c r="B72" s="166" t="s">
        <v>1395</v>
      </c>
      <c r="C72" s="2352">
        <f ca="1">ROUND(D45/(1+'数据-取费表'!C42),0)</f>
        <v>2640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
      <c r="A73" s="165" t="s">
        <v>327</v>
      </c>
      <c r="B73" s="155" t="s">
        <v>1396</v>
      </c>
      <c r="C73" s="2352">
        <f ca="1">C74+C78</f>
        <v>16</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09" t="s">
        <v>1402</v>
      </c>
      <c r="F76" s="3308"/>
      <c r="G76" s="3308"/>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16</v>
      </c>
      <c r="D78" s="2361">
        <f>'数据-取费表'!B43</f>
        <v>6.000000000000001E-3</v>
      </c>
      <c r="E78" s="3301" t="s">
        <v>1406</v>
      </c>
      <c r="F78" s="3302"/>
      <c r="G78" s="3302"/>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
      <c r="A79" s="165" t="s">
        <v>328</v>
      </c>
      <c r="B79" s="166" t="s">
        <v>1407</v>
      </c>
      <c r="C79" s="2352">
        <f ca="1">C72-C73</f>
        <v>2624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6">
      <c r="A80" s="165" t="s">
        <v>335</v>
      </c>
      <c r="B80" s="166" t="s">
        <v>1408</v>
      </c>
      <c r="C80" s="2362">
        <f ca="1">IF(C79&lt;=0,0,C79/C73)</f>
        <v>164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6.5" thickBot="1">
      <c r="A81" s="168" t="s">
        <v>336</v>
      </c>
      <c r="B81" s="169" t="s">
        <v>1409</v>
      </c>
      <c r="C81" s="2363">
        <f ca="1">ROUND(IF(C79&lt;=0,0,IF(C80&gt;=200%,C79*60%-C73*35%,IF(C80&gt;=100%,C79*50%-C73*15%,IF(C80&gt;=50%,C79*40%-C73*5%,IF(C80&lt;50%,C79*30%,0))))),0)</f>
        <v>1569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5"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
      <c r="A84" s="3304" t="s">
        <v>1375</v>
      </c>
      <c r="B84" s="330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
      <c r="A85" s="165" t="s">
        <v>330</v>
      </c>
      <c r="B85" s="166" t="s">
        <v>1395</v>
      </c>
      <c r="C85" s="2352">
        <f ca="1">ROUND(D45/(1+'数据-取费表'!C42),0)</f>
        <v>2640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
      <c r="A86" s="165" t="s">
        <v>327</v>
      </c>
      <c r="B86" s="155" t="s">
        <v>1396</v>
      </c>
      <c r="C86" s="2352">
        <f ca="1">IF(H88="仅含出让金",C87+C90+C91+C92+C93+C94,C87+C91+C92+C93+C94)</f>
        <v>16</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
      <c r="A90" s="161" t="s">
        <v>326</v>
      </c>
      <c r="B90" s="162" t="s">
        <v>1416</v>
      </c>
      <c r="C90" s="2366"/>
      <c r="D90" s="2361"/>
      <c r="E90" s="185" t="str">
        <f>IF(H88="-","土地取得成本中已包含该笔费用"," ")</f>
        <v xml:space="preserve"> </v>
      </c>
      <c r="F90" s="2146"/>
      <c r="G90" s="3270" t="s">
        <v>2129</v>
      </c>
      <c r="H90" s="3271"/>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IF(H91="——",成本法房本1!C33,I91)</f>
        <v>0</v>
      </c>
      <c r="D91" s="2361"/>
      <c r="E91" s="3301" t="s">
        <v>1419</v>
      </c>
      <c r="F91" s="3302"/>
      <c r="G91" s="330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1" t="s">
        <v>1422</v>
      </c>
      <c r="F92" s="3302"/>
      <c r="G92" s="3302"/>
      <c r="H92" s="3303"/>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16</v>
      </c>
      <c r="D93" s="2361">
        <f>'数据-取费表'!B43</f>
        <v>6.000000000000001E-3</v>
      </c>
      <c r="E93" s="3301" t="s">
        <v>1406</v>
      </c>
      <c r="F93" s="3302"/>
      <c r="G93" s="3302"/>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46" t="s">
        <v>1426</v>
      </c>
      <c r="F94" s="3347"/>
      <c r="G94" s="3347"/>
      <c r="H94" s="334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
      <c r="A95" s="165" t="s">
        <v>328</v>
      </c>
      <c r="B95" s="166" t="s">
        <v>1407</v>
      </c>
      <c r="C95" s="2352">
        <f ca="1">ROUND(C85-C86,0)</f>
        <v>2624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6">
      <c r="A96" s="165" t="s">
        <v>335</v>
      </c>
      <c r="B96" s="166" t="s">
        <v>1408</v>
      </c>
      <c r="C96" s="2362">
        <f ca="1">IF(C95&lt;=0,0,C95/C86)</f>
        <v>164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6.5" thickBot="1">
      <c r="A97" s="168" t="s">
        <v>336</v>
      </c>
      <c r="B97" s="169" t="s">
        <v>1409</v>
      </c>
      <c r="C97" s="2363">
        <f ca="1">ROUND(IF(C95&lt;=0,0,IF(C96&gt;=200%,C95*60%-C86*35%,IF(C96&gt;=100%,C95*50%-C86*15%,IF(C96&gt;=50%,C95*40%-C86*5%,IF(C96&lt;50%,C95*30%,0))))),0)</f>
        <v>1569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69" t="str">
        <f>C4</f>
        <v>成本法房本2</v>
      </c>
      <c r="D101" s="2370" t="str">
        <f>D4</f>
        <v>收益法房本2</v>
      </c>
      <c r="E101" s="3264" t="s">
        <v>1431</v>
      </c>
      <c r="F101" s="3265"/>
      <c r="G101" s="1686" t="s">
        <v>1432</v>
      </c>
      <c r="H101" s="2379">
        <f ca="1">H118</f>
        <v>2772</v>
      </c>
      <c r="I101" s="121"/>
    </row>
    <row r="102" spans="1:35" ht="18.75" customHeight="1">
      <c r="A102" s="3296" t="s">
        <v>1433</v>
      </c>
      <c r="B102" s="2368" t="s">
        <v>1432</v>
      </c>
      <c r="C102" s="2369">
        <f ca="1">IF(D32="楼面单价",ROUND(C19,0),C19)</f>
        <v>4180</v>
      </c>
      <c r="D102" s="2370">
        <f ca="1">IF(D32="楼面单价",ROUND(D19,0),D19)</f>
        <v>1834</v>
      </c>
      <c r="E102" s="3264"/>
      <c r="F102" s="3265"/>
      <c r="G102" s="1686" t="s">
        <v>1434</v>
      </c>
      <c r="H102" s="2339">
        <f ca="1">I118</f>
        <v>12969</v>
      </c>
      <c r="I102" s="121"/>
    </row>
    <row r="103" spans="1:35" ht="42.75" customHeight="1">
      <c r="A103" s="3296"/>
      <c r="B103" s="2368" t="s">
        <v>1434</v>
      </c>
      <c r="C103" s="2371">
        <f ca="1">C20</f>
        <v>19557</v>
      </c>
      <c r="D103" s="2372">
        <f ca="1">D20</f>
        <v>8581</v>
      </c>
      <c r="E103" s="3257" t="s">
        <v>1435</v>
      </c>
      <c r="F103" s="3258"/>
      <c r="G103" s="1687" t="s">
        <v>1436</v>
      </c>
      <c r="H103" s="2379">
        <f>IF(D36="正常操作",H104+H105+H106,H105+H106)</f>
        <v>0</v>
      </c>
      <c r="I103" s="121"/>
    </row>
    <row r="104" spans="1:35" ht="18.75" customHeight="1">
      <c r="A104" s="3296" t="s">
        <v>1437</v>
      </c>
      <c r="B104" s="2373" t="s">
        <v>1432</v>
      </c>
      <c r="C104" s="2374">
        <f ca="1">H118</f>
        <v>2772</v>
      </c>
      <c r="D104" s="2375"/>
      <c r="E104" s="1554" t="s">
        <v>1438</v>
      </c>
      <c r="F104" s="1547"/>
      <c r="G104" s="1687" t="s">
        <v>1436</v>
      </c>
      <c r="H104" s="2380">
        <f>IF(D36="同一抵押权人同一抵押物续贷",C36&amp;"（续贷，未扣减，详见特别提示）",C36)</f>
        <v>0</v>
      </c>
      <c r="I104" s="121"/>
    </row>
    <row r="105" spans="1:35" ht="18.75" customHeight="1" thickBot="1">
      <c r="A105" s="3306"/>
      <c r="B105" s="2376" t="s">
        <v>1434</v>
      </c>
      <c r="C105" s="2377">
        <f ca="1">I118</f>
        <v>12969</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7" t="str">
        <f>IF(项目基本情况!E8="已注销","——","3.房地产抵押价值")</f>
        <v>3.房地产抵押价值</v>
      </c>
      <c r="F107" s="3265"/>
      <c r="G107" s="1686" t="s">
        <v>1432</v>
      </c>
      <c r="H107" s="2379">
        <f ca="1">IF(E107="——","——",H101-H103)</f>
        <v>2772</v>
      </c>
      <c r="I107" s="121"/>
    </row>
    <row r="108" spans="1:35" ht="18.75" customHeight="1">
      <c r="A108" s="121"/>
      <c r="B108" s="121"/>
      <c r="C108" s="121"/>
      <c r="D108" s="121"/>
      <c r="E108" s="3297"/>
      <c r="F108" s="3265"/>
      <c r="G108" s="1686" t="s">
        <v>1434</v>
      </c>
      <c r="H108" s="2339">
        <f ca="1">IF(H107=H101,H102,ROUND(H107*10000/'数据-汇总表'!E3,0))</f>
        <v>12969</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6" t="s">
        <v>1432</v>
      </c>
      <c r="H109" s="2382" t="str">
        <f>IF(E109="——","——",H101-H105-H106)</f>
        <v>——</v>
      </c>
      <c r="I109" s="121"/>
    </row>
    <row r="110" spans="1:35" ht="18.75" customHeight="1">
      <c r="A110" s="121"/>
      <c r="B110" s="121"/>
      <c r="C110" s="121"/>
      <c r="D110" s="121"/>
      <c r="E110" s="3297"/>
      <c r="F110" s="3265"/>
      <c r="G110" s="1686" t="s">
        <v>1434</v>
      </c>
      <c r="H110" s="2339"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6" t="s">
        <v>1432</v>
      </c>
      <c r="H111" s="2379" t="str">
        <f>IF(E111="——","——",N59)</f>
        <v>——</v>
      </c>
      <c r="I111" s="121"/>
    </row>
    <row r="112" spans="1:35" ht="18.75" customHeight="1" thickBot="1">
      <c r="A112" s="121"/>
      <c r="B112" s="121"/>
      <c r="C112" s="121"/>
      <c r="D112" s="121"/>
      <c r="E112" s="3299"/>
      <c r="F112" s="3300"/>
      <c r="G112" s="1689" t="s">
        <v>1434</v>
      </c>
      <c r="H112" s="2383"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0"/>
      <c r="F114" s="1670"/>
      <c r="G114" s="1670"/>
      <c r="H114" s="1670"/>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8" t="s">
        <v>1449</v>
      </c>
      <c r="E117" s="2148" t="s">
        <v>1450</v>
      </c>
      <c r="F117" s="2148" t="s">
        <v>1449</v>
      </c>
      <c r="G117" s="2148" t="s">
        <v>1451</v>
      </c>
      <c r="H117" s="2148" t="s">
        <v>1449</v>
      </c>
      <c r="I117" s="2148" t="s">
        <v>1451</v>
      </c>
    </row>
    <row r="118" spans="1:27" ht="24.75" customHeight="1">
      <c r="A118" s="2384" t="str">
        <f>项目基本情况!S2</f>
        <v>北京市通州区翠平西路2号，4、6、8号；通朝大街202、204、206号、208、210、212号房地产</v>
      </c>
      <c r="B118" s="2148">
        <f>M18</f>
        <v>2137.38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2772</v>
      </c>
      <c r="I118" s="2148">
        <f ca="1">ROUND(IF(D32="楼面单价",C32,H118*10000/B118),0)</f>
        <v>12969</v>
      </c>
    </row>
    <row r="119" spans="1:27" ht="18.75" customHeight="1">
      <c r="A119" s="3272" t="s">
        <v>1452</v>
      </c>
      <c r="B119" s="3272"/>
      <c r="C119" s="3272"/>
      <c r="D119" s="3278" t="e">
        <f ca="1">NUMBERSTRING(INT(D118*10000),2)&amp;"元整"</f>
        <v>#REF!</v>
      </c>
      <c r="E119" s="3279"/>
      <c r="F119" s="3278" t="e">
        <f ca="1">NUMBERSTRING(INT(F118*10000),2)&amp;"元整"</f>
        <v>#REF!</v>
      </c>
      <c r="G119" s="3279"/>
      <c r="H119" s="3278" t="str">
        <f ca="1">NUMBERSTRING(INT(H118*10000),2)&amp;"元整"</f>
        <v>贰仟柒佰柒拾贰万元整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2772</v>
      </c>
      <c r="E122" s="3274"/>
      <c r="F122" s="3274"/>
      <c r="G122" s="3274"/>
      <c r="H122" s="3274"/>
      <c r="I122" s="3275"/>
      <c r="AA122" s="684"/>
    </row>
    <row r="123" spans="1:27" ht="18.75" customHeight="1">
      <c r="A123" s="3272" t="s">
        <v>1452</v>
      </c>
      <c r="B123" s="3272"/>
      <c r="C123" s="3272"/>
      <c r="D123" s="3278" t="str">
        <f ca="1">NUMBERSTRING(INT(D122*10000),2)&amp;"元整"</f>
        <v>贰仟柒佰柒拾贰万元整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9" priority="6" stopIfTrue="1" operator="equal">
      <formula>25</formula>
    </cfRule>
  </conditionalFormatting>
  <conditionalFormatting sqref="C8:D13">
    <cfRule type="cellIs" dxfId="8" priority="5" stopIfTrue="1" operator="equal">
      <formula>15</formula>
    </cfRule>
  </conditionalFormatting>
  <conditionalFormatting sqref="C14:D16">
    <cfRule type="cellIs" dxfId="7" priority="4" stopIfTrue="1" operator="equal">
      <formula>30</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D92" xr:uid="{2D9AE5EB-15AF-427F-978F-C668682F06B4}">
      <formula1>"0,5%,10%"</formula1>
    </dataValidation>
    <dataValidation type="list" allowBlank="1" showInputMessage="1" showErrorMessage="1" sqref="H59" xr:uid="{367B4C9E-670D-4D31-A774-D1119F631251}">
      <formula1>"非个人房产,个人住宅（满五唯一有凭证）,个人其他（有凭证）,个人其他（无凭证）"</formula1>
    </dataValidation>
    <dataValidation type="list" allowBlank="1" showInputMessage="1" showErrorMessage="1" sqref="E103" xr:uid="{AF2F6CD1-7A01-4493-91B0-869C1102E0AD}">
      <formula1>"2.估价师知悉的法定优先受偿款,2.估价师知悉的除抵押担保权以外的法定优先受偿款"</formula1>
    </dataValidation>
    <dataValidation type="list" allowBlank="1" showInputMessage="1" showErrorMessage="1" sqref="G77" xr:uid="{6612AEDE-26E6-4A67-A71F-C98048D9CF43}">
      <formula1>"个人住宅,2016年5月1日前购买,2016年5月1日后购买"</formula1>
    </dataValidation>
    <dataValidation type="list" allowBlank="1" showInputMessage="1" showErrorMessage="1" sqref="C1" xr:uid="{DE69191E-16BB-4B92-A500-3E3176782FF1}">
      <formula1>项目类型</formula1>
    </dataValidation>
    <dataValidation type="list" allowBlank="1" showInputMessage="1" showErrorMessage="1" sqref="I1" xr:uid="{1D800601-9D45-46C6-83A7-F68DE0B005F9}">
      <formula1>"项目局部,项目全部,——"</formula1>
    </dataValidation>
    <dataValidation type="list" showInputMessage="1" showErrorMessage="1" sqref="G1" xr:uid="{B3F58ADD-B5AC-432E-B1D8-EAD4D45761AA}">
      <formula1>"现房,在建,土地,-"</formula1>
    </dataValidation>
    <dataValidation type="list" allowBlank="1" showInputMessage="1" showErrorMessage="1" sqref="C129" xr:uid="{06193CAE-0FBD-4909-98F3-255B29D79214}">
      <formula1>"无,有"</formula1>
    </dataValidation>
    <dataValidation type="list" allowBlank="1" showInputMessage="1" showErrorMessage="1" sqref="F116:G116" xr:uid="{A5E09CB3-84C8-4E19-A586-350CA8CF2912}">
      <formula1>"建筑物价值,在建建筑物价值,建筑物/在建建筑物价值"</formula1>
    </dataValidation>
    <dataValidation type="list" allowBlank="1" showInputMessage="1" showErrorMessage="1" sqref="D116:E116" xr:uid="{43EB70F9-B4D8-4E0E-B676-09587ADC52F3}">
      <formula1>"出让国有建设用地使用权价值,划拨国有建设用地使用权价值"</formula1>
    </dataValidation>
    <dataValidation type="list" allowBlank="1" showInputMessage="1" showErrorMessage="1" sqref="C116:C117" xr:uid="{E6BDF8A2-0A34-42B5-BD44-DC718568CD57}">
      <formula1>"土地面积,分摊土地面积,（分摊）土地面积"</formula1>
    </dataValidation>
    <dataValidation type="list" allowBlank="1" showInputMessage="1" showErrorMessage="1" sqref="B116:B117" xr:uid="{4B84F542-A751-4CA6-867A-AB5EECFAC3B7}">
      <formula1>"建筑面积,规划建筑面积,（规划）建筑面积"</formula1>
    </dataValidation>
    <dataValidation type="list" allowBlank="1" showInputMessage="1" showErrorMessage="1" sqref="D36" xr:uid="{0078085E-8B33-43EB-96C8-5E4197236317}">
      <formula1>"同一抵押权人同一抵押物续贷,注销后放款,正常操作"</formula1>
    </dataValidation>
    <dataValidation type="list" allowBlank="1" showInputMessage="1" showErrorMessage="1" sqref="F75" xr:uid="{86B951EB-4888-4803-9DAF-9CCF47BBE7BE}">
      <formula1>"买卖合同,购房发票"</formula1>
    </dataValidation>
    <dataValidation type="list" allowBlank="1" showInputMessage="1" showErrorMessage="1" sqref="H88" xr:uid="{28F980A8-3EE7-4EB2-B521-DAB57B5CAEF0}">
      <formula1>"仅含出让金,出让金+开发费"</formula1>
    </dataValidation>
    <dataValidation type="list" allowBlank="1" showInputMessage="1" showErrorMessage="1" sqref="H91" xr:uid="{D9069570-1496-4AE5-9AAA-5093B5BA6E6A}">
      <formula1>"企业提供（在右侧录入）,——"</formula1>
    </dataValidation>
    <dataValidation type="list" allowBlank="1" showInputMessage="1" showErrorMessage="1" sqref="C33" xr:uid="{C9975FAD-1403-46A3-BF3E-108F1178E3FF}">
      <formula1>"成本比率,收益比率,自定义"</formula1>
    </dataValidation>
    <dataValidation type="list" allowBlank="1" showInputMessage="1" showErrorMessage="1" sqref="F45" xr:uid="{4BD4F015-83BB-4B7E-9BEA-3571548C1687}">
      <formula1>"100%,70%,56%"</formula1>
    </dataValidation>
    <dataValidation type="list" allowBlank="1" showInputMessage="1" showErrorMessage="1" sqref="D32" xr:uid="{2B05A62B-2727-47F9-9238-3E9D385B7D1A}">
      <formula1>"总价,楼面单价"</formula1>
    </dataValidation>
    <dataValidation type="list" allowBlank="1" showInputMessage="1" showErrorMessage="1" sqref="H58" xr:uid="{1B36E5C2-4184-4B29-850A-57A6564F9D44}">
      <formula1>"转让取得,自行开发建设"</formula1>
    </dataValidation>
    <dataValidation type="list" allowBlank="1" showInputMessage="1" showErrorMessage="1" sqref="H48" xr:uid="{E82C6AE2-8ADD-47FB-93B9-83734CD56654}">
      <formula1>"情况1,情况2,情况3,情况4"</formula1>
    </dataValidation>
    <dataValidation type="list" allowBlank="1" showInputMessage="1" showErrorMessage="1" sqref="H55:H56" xr:uid="{B9E49953-DBE9-4CA9-94C5-863D309FB58F}">
      <formula1>"个人住宅,正常"</formula1>
    </dataValidation>
    <dataValidation type="list" allowBlank="1" showInputMessage="1" showErrorMessage="1" sqref="C4:D4 D33" xr:uid="{9F00ADBE-61B5-4007-A805-82AD0FD194E2}">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2" customWidth="1"/>
    <col min="2" max="9" width="10" style="792" customWidth="1"/>
    <col min="10" max="16384" width="9" style="792"/>
  </cols>
  <sheetData>
    <row r="36" spans="1:9">
      <c r="A36" s="791" t="s">
        <v>371</v>
      </c>
      <c r="B36" s="791" t="s">
        <v>372</v>
      </c>
    </row>
    <row r="37" spans="1:9" ht="27.75" customHeight="1">
      <c r="A37" s="791"/>
      <c r="B37" s="3169" t="str">
        <f>项目基本情况!B1</f>
        <v>北京市通州区翠平西路2号，4、6、8号；通朝大街202、204、206号、208、210、212号房地产抵押价值预评估</v>
      </c>
      <c r="C37" s="3169"/>
      <c r="D37" s="3169"/>
      <c r="E37" s="3169"/>
      <c r="F37" s="3169"/>
      <c r="G37" s="3169"/>
      <c r="H37" s="3169"/>
      <c r="I37" s="316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3.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C4571-41F1-407B-9421-D9E1D0A720AD}">
  <sheetPr>
    <tabColor rgb="FFFF0000"/>
  </sheetPr>
  <dimension ref="A1:AJ512"/>
  <sheetViews>
    <sheetView view="pageBreakPreview" zoomScaleNormal="100" zoomScaleSheetLayoutView="100" zoomScalePageLayoutView="80" workbookViewId="0">
      <selection activeCell="N18" sqref="N18"/>
    </sheetView>
  </sheetViews>
  <sheetFormatPr defaultColWidth="12.6328125" defaultRowHeight="21.75" customHeight="1"/>
  <cols>
    <col min="1" max="2" width="12.6328125" style="1560"/>
    <col min="3" max="4" width="12.6328125" style="1560" customWidth="1"/>
    <col min="5" max="9" width="12.6328125" style="1560"/>
    <col min="10" max="11" width="12.6328125" style="684" customWidth="1"/>
    <col min="12" max="12" width="12.6328125" style="684"/>
    <col min="13" max="13" width="14.08984375" style="684" bestFit="1" customWidth="1"/>
    <col min="14" max="26" width="12.6328125" style="684"/>
    <col min="27" max="35" width="12.6328125" style="1622"/>
    <col min="36" max="16384" width="12.6328125" style="1560"/>
  </cols>
  <sheetData>
    <row r="1" spans="1:12" ht="21.75" customHeight="1" thickBot="1">
      <c r="A1" s="1520" t="s">
        <v>1262</v>
      </c>
      <c r="B1" s="646"/>
      <c r="C1" s="1619" t="s">
        <v>3519</v>
      </c>
      <c r="D1" s="646"/>
      <c r="E1" s="646"/>
      <c r="F1" s="1620" t="s">
        <v>1263</v>
      </c>
      <c r="G1" s="1452"/>
      <c r="H1" s="1620" t="str">
        <f>IF(G1="现房","——","估价对象范围")</f>
        <v>估价对象范围</v>
      </c>
      <c r="I1" s="1621"/>
    </row>
    <row r="2" spans="1:12" ht="21.75" customHeight="1" thickBot="1">
      <c r="A2" s="3324" t="str">
        <f>项目基本情况!S2</f>
        <v>北京市通州区翠平西路2号，4、6、8号；通朝大街202、204、206号、208、210、212号房地产</v>
      </c>
      <c r="B2" s="3325"/>
      <c r="C2" s="3325"/>
      <c r="D2" s="3325"/>
      <c r="E2" s="3325"/>
      <c r="F2" s="3325"/>
      <c r="G2" s="3325"/>
      <c r="H2" s="3325"/>
      <c r="I2" s="3326"/>
    </row>
    <row r="3" spans="1:12" ht="13">
      <c r="A3" s="3328" t="s">
        <v>1264</v>
      </c>
      <c r="B3" s="3329"/>
      <c r="C3" s="3329"/>
      <c r="D3" s="3329"/>
      <c r="E3" s="3329"/>
      <c r="F3" s="3329"/>
      <c r="G3" s="3329"/>
      <c r="H3" s="3329"/>
      <c r="I3" s="3329"/>
    </row>
    <row r="4" spans="1:12" ht="14">
      <c r="A4" s="1623" t="s">
        <v>1265</v>
      </c>
      <c r="B4" s="1624" t="s">
        <v>1266</v>
      </c>
      <c r="C4" s="1625" t="s">
        <v>3525</v>
      </c>
      <c r="D4" s="1625" t="s">
        <v>3531</v>
      </c>
      <c r="E4" s="3333" t="s">
        <v>1267</v>
      </c>
      <c r="F4" s="3334"/>
      <c r="G4" s="3334"/>
      <c r="H4" s="3334"/>
      <c r="I4" s="3335"/>
      <c r="K4" s="138" t="str">
        <f>IF(ISNUMBER(FIND("比较法",结果表房本3!C4)),"比较法",IF(ISNUMBER(FIND("成本法",结果表房本3!C4)),"成本法",IF(ISNUMBER(FIND("假设开发法",结果表房本3!C4)),"假设开发法",IF(ISNUMBER(FIND("收益法",结果表房本3!C4)),"收益法","基准地价系数修正法"))))</f>
        <v>成本法</v>
      </c>
      <c r="L4" s="138" t="str">
        <f>IF(ISNUMBER(FIND("比较法",结果表房本3!D4)),"比较法",IF(ISNUMBER(FIND("成本法",结果表房本3!D4)),"成本法",IF(ISNUMBER(FIND("假设开发法",结果表房本3!D4)),"假设开发法",IF(ISNUMBER(FIND("收益法",结果表房本3!D4)),"收益法","基准地价系数修正法"))))</f>
        <v>收益法</v>
      </c>
    </row>
    <row r="5" spans="1:12" ht="13">
      <c r="A5" s="3272" t="s">
        <v>1268</v>
      </c>
      <c r="B5" s="3327">
        <v>25</v>
      </c>
      <c r="C5" s="3330"/>
      <c r="D5" s="3318"/>
      <c r="E5" s="123" t="s">
        <v>1269</v>
      </c>
      <c r="F5" s="1626"/>
      <c r="G5" s="1626"/>
      <c r="H5" s="1626"/>
      <c r="I5" s="1280"/>
    </row>
    <row r="6" spans="1:12" ht="13">
      <c r="A6" s="3272"/>
      <c r="B6" s="3327"/>
      <c r="C6" s="3332"/>
      <c r="D6" s="3318"/>
      <c r="E6" s="123" t="s">
        <v>1270</v>
      </c>
      <c r="F6" s="1626"/>
      <c r="G6" s="1626"/>
      <c r="H6" s="1626"/>
      <c r="I6" s="1280"/>
    </row>
    <row r="7" spans="1:12" ht="13">
      <c r="A7" s="3272"/>
      <c r="B7" s="3327"/>
      <c r="C7" s="3331"/>
      <c r="D7" s="3318"/>
      <c r="E7" s="123" t="s">
        <v>1271</v>
      </c>
      <c r="F7" s="1626"/>
      <c r="G7" s="1626"/>
      <c r="H7" s="1626"/>
      <c r="I7" s="1280"/>
    </row>
    <row r="8" spans="1:12" ht="13">
      <c r="A8" s="3272" t="s">
        <v>1272</v>
      </c>
      <c r="B8" s="3327">
        <v>15</v>
      </c>
      <c r="C8" s="3330"/>
      <c r="D8" s="3318"/>
      <c r="E8" s="123" t="s">
        <v>1273</v>
      </c>
      <c r="F8" s="1626"/>
      <c r="G8" s="1626"/>
      <c r="H8" s="1626"/>
      <c r="I8" s="1280"/>
    </row>
    <row r="9" spans="1:12" ht="13">
      <c r="A9" s="3272"/>
      <c r="B9" s="3327"/>
      <c r="C9" s="3331"/>
      <c r="D9" s="3318"/>
      <c r="E9" s="123" t="s">
        <v>1274</v>
      </c>
      <c r="F9" s="1626"/>
      <c r="G9" s="1626"/>
      <c r="H9" s="1626"/>
      <c r="I9" s="1280"/>
    </row>
    <row r="10" spans="1:12" ht="13">
      <c r="A10" s="3272" t="s">
        <v>1275</v>
      </c>
      <c r="B10" s="3327">
        <v>15</v>
      </c>
      <c r="C10" s="3330"/>
      <c r="D10" s="3318"/>
      <c r="E10" s="123" t="s">
        <v>1276</v>
      </c>
      <c r="F10" s="1626"/>
      <c r="G10" s="1626"/>
      <c r="H10" s="1626"/>
      <c r="I10" s="1280"/>
    </row>
    <row r="11" spans="1:12" ht="13">
      <c r="A11" s="3272"/>
      <c r="B11" s="3327"/>
      <c r="C11" s="3331"/>
      <c r="D11" s="3318"/>
      <c r="E11" s="123" t="s">
        <v>1277</v>
      </c>
      <c r="F11" s="1626"/>
      <c r="G11" s="1626"/>
      <c r="H11" s="1626"/>
      <c r="I11" s="1280"/>
    </row>
    <row r="12" spans="1:12" ht="13">
      <c r="A12" s="3272" t="s">
        <v>1278</v>
      </c>
      <c r="B12" s="3327">
        <v>15</v>
      </c>
      <c r="C12" s="3330"/>
      <c r="D12" s="3318"/>
      <c r="E12" s="123" t="s">
        <v>1279</v>
      </c>
      <c r="F12" s="1626"/>
      <c r="G12" s="1626"/>
      <c r="H12" s="1626"/>
      <c r="I12" s="1280"/>
    </row>
    <row r="13" spans="1:12" ht="13">
      <c r="A13" s="3272"/>
      <c r="B13" s="3327"/>
      <c r="C13" s="3331"/>
      <c r="D13" s="3318"/>
      <c r="E13" s="123" t="s">
        <v>1280</v>
      </c>
      <c r="F13" s="1626"/>
      <c r="G13" s="1626"/>
      <c r="H13" s="1626"/>
      <c r="I13" s="1280"/>
    </row>
    <row r="14" spans="1:12" ht="13">
      <c r="A14" s="3272" t="s">
        <v>1281</v>
      </c>
      <c r="B14" s="3327">
        <v>30</v>
      </c>
      <c r="C14" s="3330">
        <v>4</v>
      </c>
      <c r="D14" s="3318">
        <v>6</v>
      </c>
      <c r="E14" s="123" t="s">
        <v>1282</v>
      </c>
      <c r="F14" s="1626"/>
      <c r="G14" s="1626"/>
      <c r="H14" s="1626"/>
      <c r="I14" s="1280"/>
    </row>
    <row r="15" spans="1:12" ht="13">
      <c r="A15" s="3272"/>
      <c r="B15" s="3327"/>
      <c r="C15" s="3332"/>
      <c r="D15" s="3318"/>
      <c r="E15" s="123" t="s">
        <v>1283</v>
      </c>
      <c r="F15" s="1626"/>
      <c r="G15" s="1626"/>
      <c r="H15" s="1626"/>
      <c r="I15" s="1280"/>
    </row>
    <row r="16" spans="1:12" ht="13">
      <c r="A16" s="3272"/>
      <c r="B16" s="3327"/>
      <c r="C16" s="3331"/>
      <c r="D16" s="3318"/>
      <c r="E16" s="123" t="s">
        <v>1284</v>
      </c>
      <c r="F16" s="1626"/>
      <c r="G16" s="1626"/>
      <c r="H16" s="1626"/>
      <c r="I16" s="1280"/>
    </row>
    <row r="17" spans="1:36" ht="14">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49" t="s">
        <v>2131</v>
      </c>
      <c r="F18" s="3350"/>
      <c r="G18" s="3350"/>
      <c r="H18" s="3350"/>
      <c r="I18" s="3350"/>
      <c r="K18" s="294" t="s">
        <v>1289</v>
      </c>
      <c r="L18" s="294">
        <f>IF(C1="",'数据-汇总表'!E3,SUMIF(项目类型,C1,'数据-汇总表'!E17:E26)+SUMIF(项目类型,C1,'数据-汇总表'!I17:I26))</f>
        <v>8155.52</v>
      </c>
      <c r="M18" s="294">
        <f>IF(C1="",'数据-汇总表'!E3,SUMIF(项目类型,C1,'数据-汇总表'!E17:E26))</f>
        <v>8155.52</v>
      </c>
    </row>
    <row r="19" spans="1:36" ht="14">
      <c r="A19" s="1629" t="s">
        <v>1290</v>
      </c>
      <c r="B19" s="1630" t="s">
        <v>1291</v>
      </c>
      <c r="C19" s="126">
        <f ca="1">SUMIF(INDIRECT("'"&amp;C4&amp;"'"&amp;"!A:A"),结果表房本3!B19,INDIRECT("'"&amp;C4&amp;"'"&amp;"!B:B"))</f>
        <v>15802</v>
      </c>
      <c r="D19" s="127">
        <f ca="1">SUMIF(INDIRECT("'"&amp;D4&amp;"'"&amp;"!A:A"),结果表房本3!B19,INDIRECT("'"&amp;D4&amp;"'"&amp;"!B:B"))</f>
        <v>6831</v>
      </c>
      <c r="E19" s="1629" t="s">
        <v>1292</v>
      </c>
      <c r="F19" s="1630" t="s">
        <v>1291</v>
      </c>
      <c r="G19" s="128">
        <f ca="1">ROUND(C19*$C$18+D19*$D$18,0)</f>
        <v>10419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2"/>
      <c r="B20" s="43" t="s">
        <v>1295</v>
      </c>
      <c r="C20" s="129">
        <f ca="1">SUMIF(INDIRECT("'"&amp;C4&amp;"'"&amp;"!A:A"),结果表房本3!B20,INDIRECT("'"&amp;C4&amp;"'"&amp;"!B:B"))</f>
        <v>19376</v>
      </c>
      <c r="D20" s="130">
        <f ca="1">SUMIF(INDIRECT("'"&amp;D4&amp;"'"&amp;"!A:A"),结果表房本3!B20,INDIRECT("'"&amp;D4&amp;"'"&amp;"!B:B"))</f>
        <v>8376</v>
      </c>
      <c r="E20" s="1632"/>
      <c r="F20" s="43" t="s">
        <v>1295</v>
      </c>
      <c r="G20" s="131">
        <f ca="1">ROUND(C20*$C$18+D20*$D$18,0)</f>
        <v>12776</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4.5" thickBot="1">
      <c r="A22" s="1563" t="s">
        <v>1298</v>
      </c>
      <c r="B22" s="1634"/>
      <c r="C22" s="1635"/>
      <c r="D22" s="680">
        <f ca="1">IF(C19&lt;D19,D19/C19-1,C19/D19-1)</f>
        <v>1.3132777045820525</v>
      </c>
      <c r="E22" s="121"/>
      <c r="F22" s="121"/>
      <c r="G22" s="121"/>
      <c r="H22" s="121"/>
      <c r="I22" s="121"/>
    </row>
    <row r="23" spans="1:36" ht="13" thickBot="1">
      <c r="A23" s="646"/>
      <c r="B23" s="646"/>
      <c r="C23" s="646"/>
      <c r="D23" s="646"/>
      <c r="E23" s="121"/>
      <c r="F23" s="121"/>
      <c r="G23" s="121"/>
      <c r="H23" s="121"/>
      <c r="I23" s="121"/>
    </row>
    <row r="24" spans="1:36" ht="14">
      <c r="A24" s="3342" t="s">
        <v>1299</v>
      </c>
      <c r="B24" s="1630" t="s">
        <v>1291</v>
      </c>
      <c r="C24" s="128">
        <f>IF(B30=0,0,D30)</f>
        <v>0</v>
      </c>
      <c r="D24" s="1636"/>
      <c r="E24" s="121"/>
      <c r="F24" s="121"/>
      <c r="G24" s="121"/>
      <c r="H24" s="121"/>
      <c r="I24" s="121"/>
    </row>
    <row r="25" spans="1:36" ht="14">
      <c r="A25" s="334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5" t="s">
        <v>2132</v>
      </c>
      <c r="F30" s="121"/>
      <c r="G30" s="121"/>
      <c r="H30" s="121"/>
      <c r="I30" s="121"/>
    </row>
    <row r="31" spans="1:36" s="2131" customFormat="1" ht="26.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thickTop="1" thickBot="1">
      <c r="A32" s="1639" t="s">
        <v>1305</v>
      </c>
      <c r="B32" s="1534"/>
      <c r="C32" s="136">
        <f ca="1">IF(D32="总价",G19-C24,G20-C25)</f>
        <v>10419</v>
      </c>
      <c r="D32" s="1640" t="s">
        <v>3503</v>
      </c>
      <c r="E32" s="121"/>
      <c r="F32" s="121"/>
      <c r="G32" s="121"/>
      <c r="H32" s="121"/>
      <c r="I32" s="121"/>
    </row>
    <row r="33" spans="1:15" ht="14">
      <c r="A33" s="739" t="s">
        <v>1306</v>
      </c>
      <c r="B33" s="123"/>
      <c r="C33" s="1641" t="s">
        <v>3506</v>
      </c>
      <c r="D33" s="1642" t="s">
        <v>3502</v>
      </c>
      <c r="E33" s="1643" t="s">
        <v>1307</v>
      </c>
      <c r="F33" s="1644" t="str">
        <f>IF(D32="楼面单价","取值（单价）","取值（总价）")</f>
        <v>取值（总价）</v>
      </c>
      <c r="G33" s="121"/>
      <c r="H33" s="121"/>
      <c r="I33" s="121"/>
    </row>
    <row r="34" spans="1:15" ht="1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4.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4.5" thickBot="1">
      <c r="A36" s="3319" t="s">
        <v>1312</v>
      </c>
      <c r="B36" s="1651" t="s">
        <v>1313</v>
      </c>
      <c r="C36" s="137"/>
      <c r="D36" s="1652"/>
      <c r="E36" s="1566"/>
      <c r="F36" s="1653"/>
      <c r="G36" s="121"/>
      <c r="H36" s="121"/>
      <c r="I36" s="121"/>
    </row>
    <row r="37" spans="1:15" ht="14.5" thickBot="1">
      <c r="A37" s="3320"/>
      <c r="B37" s="1554" t="s">
        <v>1314</v>
      </c>
      <c r="C37" s="139"/>
      <c r="D37" s="1070"/>
      <c r="E37" s="1070"/>
      <c r="F37" s="1653"/>
      <c r="G37" s="121"/>
      <c r="H37" s="121"/>
      <c r="I37" s="121"/>
    </row>
    <row r="38" spans="1:15" ht="14.5" thickBot="1">
      <c r="A38" s="3321"/>
      <c r="B38" s="1654" t="s">
        <v>1315</v>
      </c>
      <c r="C38" s="641"/>
      <c r="D38" s="1655" t="s">
        <v>1316</v>
      </c>
      <c r="E38" s="1070"/>
      <c r="F38" s="1653"/>
      <c r="G38" s="121"/>
      <c r="H38" s="121"/>
      <c r="I38" s="121"/>
    </row>
    <row r="39" spans="1:15" ht="14">
      <c r="A39" s="1632" t="s">
        <v>1317</v>
      </c>
      <c r="B39" s="1656" t="s">
        <v>1301</v>
      </c>
      <c r="C39" s="1657" t="s">
        <v>1302</v>
      </c>
      <c r="D39" s="1657" t="s">
        <v>1320</v>
      </c>
      <c r="E39" s="1658" t="s">
        <v>1303</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339" t="s">
        <v>1326</v>
      </c>
      <c r="B45" s="3340"/>
      <c r="C45" s="3341"/>
      <c r="D45" s="147">
        <f ca="1">ROUND(H101*F45,0)</f>
        <v>10419</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7"/>
      <c r="I46" s="151"/>
      <c r="J46" s="2308">
        <v>1</v>
      </c>
      <c r="K46" s="3260" t="s">
        <v>1331</v>
      </c>
      <c r="L46" s="3260"/>
      <c r="M46" s="3261"/>
      <c r="N46" s="3261"/>
      <c r="O46" s="3261"/>
    </row>
    <row r="47" spans="1:15" ht="12" customHeight="1">
      <c r="A47" s="152" t="s">
        <v>1332</v>
      </c>
      <c r="B47" s="153"/>
      <c r="C47" s="154"/>
      <c r="D47" s="1023" t="s">
        <v>1333</v>
      </c>
      <c r="E47" s="294" t="s">
        <v>1334</v>
      </c>
      <c r="F47" s="155" t="s">
        <v>1335</v>
      </c>
      <c r="G47" s="2331" t="s">
        <v>1336</v>
      </c>
      <c r="H47" s="2332"/>
      <c r="I47" s="151"/>
      <c r="J47" s="2308">
        <v>2</v>
      </c>
      <c r="K47" s="3260" t="s">
        <v>1337</v>
      </c>
      <c r="L47" s="3260"/>
      <c r="M47" s="3262">
        <f>'数据-取费表'!B2</f>
        <v>45974</v>
      </c>
      <c r="N47" s="3262"/>
      <c r="O47" s="3262"/>
    </row>
    <row r="48" spans="1:15" ht="26">
      <c r="A48" s="3322" t="s">
        <v>1338</v>
      </c>
      <c r="B48" s="3323"/>
      <c r="C48" s="3323"/>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60" t="s">
        <v>1340</v>
      </c>
      <c r="L48" s="3260"/>
      <c r="M48" s="3263">
        <f ca="1">H101</f>
        <v>10419</v>
      </c>
      <c r="N48" s="3263"/>
      <c r="O48" s="3263"/>
    </row>
    <row r="49" spans="1:35" ht="25.5" customHeight="1">
      <c r="A49" s="2150" t="s">
        <v>1341</v>
      </c>
      <c r="B49" s="3308" t="s">
        <v>1342</v>
      </c>
      <c r="C49" s="3308"/>
      <c r="D49" s="1477">
        <v>0</v>
      </c>
      <c r="E49" s="316" t="s">
        <v>1343</v>
      </c>
      <c r="F49" s="2231" t="s">
        <v>28</v>
      </c>
      <c r="G49" s="3291"/>
      <c r="H49" s="2132" t="s">
        <v>2134</v>
      </c>
      <c r="I49" s="2133"/>
      <c r="J49" s="2308">
        <v>4</v>
      </c>
      <c r="K49" s="3260" t="str">
        <f>IF(项目基本情况!E8="房地产抵押价值","房地产抵押价值","抵押担保权已注销时的房地产抵押价值")</f>
        <v>房地产抵押价值</v>
      </c>
      <c r="L49" s="3260"/>
      <c r="M49" s="3263">
        <f ca="1">IF(项目基本情况!E8="房地产抵押价值",H107,H109)</f>
        <v>10419</v>
      </c>
      <c r="N49" s="3263"/>
      <c r="O49" s="3263"/>
    </row>
    <row r="50" spans="1:35" ht="25.5" customHeight="1">
      <c r="A50" s="2336"/>
      <c r="B50" s="3308" t="s">
        <v>1344</v>
      </c>
      <c r="C50" s="3308"/>
      <c r="D50" s="2187"/>
      <c r="E50" s="323"/>
      <c r="F50" s="2231"/>
      <c r="G50" s="3292"/>
      <c r="H50" s="2134" t="s">
        <v>2135</v>
      </c>
      <c r="I50" s="2133"/>
      <c r="J50" s="3259" t="s">
        <v>1345</v>
      </c>
      <c r="K50" s="3259"/>
      <c r="L50" s="3259"/>
      <c r="M50" s="3259"/>
      <c r="N50" s="3259"/>
      <c r="O50" s="3259"/>
    </row>
    <row r="51" spans="1:35" ht="20.5" customHeight="1">
      <c r="A51" s="2337"/>
      <c r="B51" s="3308" t="s">
        <v>1346</v>
      </c>
      <c r="C51" s="3308"/>
      <c r="D51" s="1023"/>
      <c r="E51" s="319"/>
      <c r="F51" s="2231"/>
      <c r="G51" s="3293"/>
      <c r="H51" s="2134" t="s">
        <v>2136</v>
      </c>
      <c r="I51" s="2133"/>
      <c r="J51" s="2309" t="s">
        <v>1347</v>
      </c>
      <c r="K51" s="3260" t="s">
        <v>1348</v>
      </c>
      <c r="L51" s="3260"/>
      <c r="M51" s="2309" t="s">
        <v>1349</v>
      </c>
      <c r="N51" s="2309" t="s">
        <v>1350</v>
      </c>
      <c r="O51" s="2309" t="s">
        <v>1351</v>
      </c>
    </row>
    <row r="52" spans="1:35" ht="24" customHeight="1">
      <c r="A52" s="2151" t="s">
        <v>1352</v>
      </c>
      <c r="B52" s="3308" t="s">
        <v>1353</v>
      </c>
      <c r="C52" s="3308"/>
      <c r="D52" s="1023">
        <f ca="1">ROUND(D45*'数据-取费表'!B41/(1+'数据-取费表'!C42),0)</f>
        <v>556</v>
      </c>
      <c r="E52" s="1255" t="s">
        <v>1354</v>
      </c>
      <c r="F52" s="2338">
        <f>'数据-取费表'!B41</f>
        <v>5.6000000000000001E-2</v>
      </c>
      <c r="G52" s="2339"/>
      <c r="H52" s="2329"/>
      <c r="I52" s="1668"/>
      <c r="J52" s="2308">
        <v>1</v>
      </c>
      <c r="K52" s="3285" t="s">
        <v>1355</v>
      </c>
      <c r="L52" s="3285"/>
      <c r="M52" s="2310" t="b">
        <f>D48</f>
        <v>0</v>
      </c>
      <c r="N52" s="2308" t="str">
        <f>E48</f>
        <v>销售额×税（费）率</v>
      </c>
      <c r="O52" s="2311">
        <f>F48</f>
        <v>5.6000000000000001E-2</v>
      </c>
    </row>
    <row r="53" spans="1:35" ht="12" customHeight="1">
      <c r="A53" s="2151" t="s">
        <v>1356</v>
      </c>
      <c r="B53" s="3309" t="s">
        <v>2291</v>
      </c>
      <c r="C53" s="3310"/>
      <c r="D53" s="1023">
        <f ca="1">ROUND(D45*'数据-取费表'!B41/(1+'数据-取费表'!C42),0)</f>
        <v>556</v>
      </c>
      <c r="E53" s="1255" t="s">
        <v>1354</v>
      </c>
      <c r="F53" s="2338">
        <f>'数据-取费表'!B41</f>
        <v>5.6000000000000001E-2</v>
      </c>
      <c r="G53" s="2339"/>
      <c r="H53" s="2329"/>
      <c r="I53" s="1668"/>
      <c r="J53" s="2308">
        <v>2</v>
      </c>
      <c r="K53" s="3285" t="s">
        <v>1357</v>
      </c>
      <c r="L53" s="3285"/>
      <c r="M53" s="2310">
        <f t="shared" ref="M53:O54" ca="1" si="0">D55</f>
        <v>5</v>
      </c>
      <c r="N53" s="2308" t="str">
        <f t="shared" si="0"/>
        <v>销售额×税（费）率</v>
      </c>
      <c r="O53" s="2311" t="str">
        <f t="shared" si="0"/>
        <v>免征</v>
      </c>
    </row>
    <row r="54" spans="1:35" ht="12" customHeight="1">
      <c r="A54" s="2151" t="s">
        <v>1358</v>
      </c>
      <c r="B54" s="3309" t="s">
        <v>2292</v>
      </c>
      <c r="C54" s="3310"/>
      <c r="D54" s="1023">
        <f ca="1">C68</f>
        <v>556</v>
      </c>
      <c r="E54" s="319" t="s">
        <v>1359</v>
      </c>
      <c r="F54" s="2338">
        <f>'数据-取费表'!B41</f>
        <v>5.6000000000000001E-2</v>
      </c>
      <c r="G54" s="2339"/>
      <c r="H54" s="2340"/>
      <c r="I54" s="1668"/>
      <c r="J54" s="2308">
        <v>3</v>
      </c>
      <c r="K54" s="3285" t="s">
        <v>1360</v>
      </c>
      <c r="L54" s="3285"/>
      <c r="M54" s="2310">
        <f t="shared" ca="1" si="0"/>
        <v>5897</v>
      </c>
      <c r="N54" s="2308" t="str">
        <f t="shared" si="0"/>
        <v>增值额×税（费）率</v>
      </c>
      <c r="O54" s="2312" t="str">
        <f t="shared" si="0"/>
        <v>免征</v>
      </c>
    </row>
    <row r="55" spans="1:35" ht="24" customHeight="1">
      <c r="A55" s="3345" t="s">
        <v>1361</v>
      </c>
      <c r="B55" s="3323"/>
      <c r="C55" s="3323"/>
      <c r="D55" s="12">
        <f ca="1">IF(H55="个人住宅",0,ROUND(D45*I55,0))</f>
        <v>5</v>
      </c>
      <c r="E55" s="1255" t="s">
        <v>1362</v>
      </c>
      <c r="F55" s="2338" t="str">
        <f>IF(H55="正常",I55,"免征")</f>
        <v>免征</v>
      </c>
      <c r="G55" s="2339"/>
      <c r="H55" s="2335"/>
      <c r="I55" s="157">
        <f>'数据-取费表'!B49</f>
        <v>5.0000000000000001E-4</v>
      </c>
      <c r="J55" s="2308">
        <f>IF(H59="非个人房产","",4)</f>
        <v>4</v>
      </c>
      <c r="K55" s="3285" t="str">
        <f>IF(H59="非个人房产","——","个人所得税")</f>
        <v>个人所得税</v>
      </c>
      <c r="L55" s="3285"/>
      <c r="M55" s="2313">
        <f ca="1">D59</f>
        <v>99</v>
      </c>
      <c r="N55" s="1882" t="str">
        <f>E59</f>
        <v>差额计税</v>
      </c>
      <c r="O55" s="2314">
        <f>F59</f>
        <v>0.01</v>
      </c>
    </row>
    <row r="56" spans="1:35" ht="26">
      <c r="A56" s="3345" t="s">
        <v>1363</v>
      </c>
      <c r="B56" s="3323"/>
      <c r="C56" s="3323"/>
      <c r="D56" s="12">
        <f ca="1">IF(H56="个人住宅",D57,D58)</f>
        <v>5897</v>
      </c>
      <c r="E56" s="1255" t="s">
        <v>1364</v>
      </c>
      <c r="F56" s="2338" t="str">
        <f>IF(H56="正常",F58,"免征")</f>
        <v>免征</v>
      </c>
      <c r="G56" s="2341" t="s">
        <v>1365</v>
      </c>
      <c r="H56" s="2342"/>
      <c r="I56" s="1669"/>
      <c r="J56" s="2308" t="str">
        <f>IF(项目基本情况!K6="上海银行",IF(J55="",4,J55+1),"")</f>
        <v/>
      </c>
      <c r="K56" s="3266" t="str">
        <f>IF(项目基本情况!K6="上海银行","其他处置费用","")</f>
        <v/>
      </c>
      <c r="L56" s="3267"/>
      <c r="M56" s="2310" t="str">
        <f>IF(项目基本情况!K6="上海银行",M69,"")</f>
        <v/>
      </c>
      <c r="N56" s="3266" t="str">
        <f>IF(项目基本情况!K6="上海银行","包含处置中涉及的律师、诉讼、拍卖、评估等费用","")</f>
        <v/>
      </c>
      <c r="O56" s="3269"/>
    </row>
    <row r="57" spans="1:35" ht="13">
      <c r="A57" s="2151" t="s">
        <v>1341</v>
      </c>
      <c r="B57" s="3309" t="s">
        <v>1366</v>
      </c>
      <c r="C57" s="3310"/>
      <c r="D57" s="1477">
        <v>0</v>
      </c>
      <c r="E57" s="316" t="s">
        <v>1343</v>
      </c>
      <c r="F57" s="294"/>
      <c r="G57" s="2339"/>
      <c r="H57" s="2343"/>
      <c r="I57" s="1669"/>
      <c r="J57" s="3285">
        <f>IF(AND(J55="",J56=""),4,IF(项目基本情况!K6="上海银行",结果表房本3!J56+1,结果表房本3!J55+1))</f>
        <v>5</v>
      </c>
      <c r="K57" s="3285" t="s">
        <v>1367</v>
      </c>
      <c r="L57" s="2315" t="s">
        <v>1368</v>
      </c>
      <c r="M57" s="2316"/>
      <c r="N57" s="2317">
        <f ca="1">SUMIF(M52:M56,"&lt;9e307")</f>
        <v>6001</v>
      </c>
      <c r="O57" s="2318"/>
      <c r="P57" s="2462">
        <f ca="1">N57/M49</f>
        <v>0.57596698339571939</v>
      </c>
    </row>
    <row r="58" spans="1:35" ht="26">
      <c r="A58" s="2151" t="s">
        <v>1352</v>
      </c>
      <c r="B58" s="3309" t="s">
        <v>1369</v>
      </c>
      <c r="C58" s="3308"/>
      <c r="D58" s="12">
        <f ca="1">IF(H58="转让取得",C81,C97)</f>
        <v>5897</v>
      </c>
      <c r="E58" s="1255" t="s">
        <v>1364</v>
      </c>
      <c r="F58" s="294" t="s">
        <v>28</v>
      </c>
      <c r="G58" s="2339"/>
      <c r="H58" s="2342"/>
      <c r="I58" s="1669"/>
      <c r="J58" s="3285"/>
      <c r="K58" s="3285"/>
      <c r="L58" s="2315" t="s">
        <v>1370</v>
      </c>
      <c r="M58" s="2319"/>
      <c r="N58" s="2320" t="str">
        <f ca="1">NUMBERSTRING(INT(N57*10000),2)&amp;"元整"</f>
        <v>陆仟零壹万元整</v>
      </c>
      <c r="O58" s="2321"/>
    </row>
    <row r="59" spans="1:35" ht="26.5" thickBot="1">
      <c r="A59" s="3289" t="s">
        <v>1371</v>
      </c>
      <c r="B59" s="3290"/>
      <c r="C59" s="3290"/>
      <c r="D59" s="2344">
        <f ca="1">IF(H59="非个人房产","——",IF(H59="个人住宅（满五唯一有凭证）",0,IF(H59="个人其他（无凭证）",ROUND(D45/(1+'数据-取费表'!C42)*F59,0),ROUND(C67*F59,0))))</f>
        <v>99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87">
        <f>J57+1</f>
        <v>6</v>
      </c>
      <c r="K59" s="3285" t="s">
        <v>1372</v>
      </c>
      <c r="L59" s="2308" t="s">
        <v>1368</v>
      </c>
      <c r="M59" s="2322"/>
      <c r="N59" s="2323">
        <f ca="1">M49-N57</f>
        <v>4418</v>
      </c>
      <c r="O59" s="2324"/>
    </row>
    <row r="60" spans="1:35" ht="12" customHeight="1">
      <c r="A60" s="1670"/>
      <c r="B60" s="646"/>
      <c r="C60" s="646"/>
      <c r="D60" s="646"/>
      <c r="E60" s="1465"/>
      <c r="F60" s="1669"/>
      <c r="G60" s="1669"/>
      <c r="H60" s="151"/>
      <c r="I60" s="121"/>
      <c r="J60" s="3288"/>
      <c r="K60" s="3285"/>
      <c r="L60" s="2315" t="s">
        <v>1370</v>
      </c>
      <c r="M60" s="2319"/>
      <c r="N60" s="2320" t="str">
        <f ca="1">NUMBERSTRING(INT(N59*10000),2)&amp;"元整"</f>
        <v>肆仟肆佰壹拾捌万元整</v>
      </c>
      <c r="O60" s="2321"/>
    </row>
    <row r="61" spans="1:35" ht="13.5" thickBot="1">
      <c r="A61" s="3344" t="s">
        <v>1373</v>
      </c>
      <c r="B61" s="3344"/>
      <c r="C61" s="3344"/>
      <c r="D61" s="3344"/>
      <c r="E61" s="3344"/>
      <c r="F61" s="1669"/>
      <c r="G61" s="1669"/>
      <c r="H61" s="151"/>
      <c r="I61" s="121"/>
      <c r="J61" s="2308">
        <f>J59+1</f>
        <v>7</v>
      </c>
      <c r="K61" s="3285" t="s">
        <v>1374</v>
      </c>
      <c r="L61" s="3285"/>
      <c r="M61" s="2325"/>
      <c r="N61" s="2326">
        <f ca="1">ROUND(N59*10000/'数据-汇总表'!E3,0)</f>
        <v>2182</v>
      </c>
      <c r="O61" s="2327"/>
    </row>
    <row r="62" spans="1:35" ht="13">
      <c r="A62" s="3304" t="s">
        <v>1375</v>
      </c>
      <c r="B62" s="3305"/>
      <c r="C62" s="1864"/>
      <c r="D62" s="1864" t="s">
        <v>1376</v>
      </c>
      <c r="E62" s="158" t="s">
        <v>1377</v>
      </c>
      <c r="F62" s="1669"/>
      <c r="G62" s="1669"/>
      <c r="H62" s="151"/>
      <c r="I62" s="121"/>
    </row>
    <row r="63" spans="1:35" ht="13">
      <c r="A63" s="165" t="s">
        <v>330</v>
      </c>
      <c r="B63" s="159" t="s">
        <v>1378</v>
      </c>
      <c r="C63" s="2348">
        <f ca="1">ROUND((C64+C65)/(1+'数据-取费表'!C42),0)</f>
        <v>9923</v>
      </c>
      <c r="D63" s="159"/>
      <c r="E63" s="160"/>
      <c r="F63" s="1669"/>
      <c r="G63" s="1669"/>
      <c r="H63" s="151"/>
      <c r="I63" s="121"/>
      <c r="J63" s="3268" t="s">
        <v>1379</v>
      </c>
      <c r="K63" s="1244" t="s">
        <v>1380</v>
      </c>
      <c r="L63" s="1244">
        <f ca="1">IF(M49&gt;10000,M49*0.5%,IF(AND(M49&gt;1000,M49&lt;=10000),M49*1%,IF(AND(M49&gt;100,M49&lt;=1000),M49*3%,IF(AND(M49&gt;10,M49&lt;=100),M49*5%,M49*8%))))</f>
        <v>52.094999999999999</v>
      </c>
      <c r="M63" s="294">
        <f ca="1">ROUND(L63,1)</f>
        <v>52.1</v>
      </c>
      <c r="N63" s="2328"/>
      <c r="Z63" s="1622"/>
      <c r="AI63" s="1560"/>
    </row>
    <row r="64" spans="1:35" ht="14.25" customHeight="1">
      <c r="A64" s="161" t="s">
        <v>325</v>
      </c>
      <c r="B64" s="162" t="s">
        <v>1381</v>
      </c>
      <c r="C64" s="2349">
        <f ca="1">D45</f>
        <v>10419</v>
      </c>
      <c r="D64" s="162" t="s">
        <v>26</v>
      </c>
      <c r="E64" s="164"/>
      <c r="F64" s="1669"/>
      <c r="G64" s="1669"/>
      <c r="H64" s="151"/>
      <c r="I64" s="121"/>
      <c r="J64" s="3268"/>
      <c r="K64" s="1244" t="s">
        <v>1382</v>
      </c>
      <c r="L64" s="1244">
        <f ca="1">IF(M49&gt;2000,M49*0.5%,IF(AND(M49&gt;1000,M49&lt;=2000),M49*0.6%,IF(AND(M49&gt;500,M49&lt;=1000),M49*0.7%,IF(AND(M49&gt;200,M49&lt;=500),M49*0.8%,IF(AND(M49&gt;100,M49&lt;=200),M49*0.9%,IF(AND(M49&gt;50,M49&lt;=100),M49*1%,IF(AND(M49&gt;20,M49&lt;=50),M49*1.5%,IF(AND(M49&gt;10,M49&lt;=20),M49*2%,IF(AND(M49&gt;1,M49&lt;=10),M49*2.5%)))))))))</f>
        <v>52.094999999999999</v>
      </c>
      <c r="M64" s="294">
        <f t="shared" ref="M64:M65" ca="1" si="1">ROUND(L64,1)</f>
        <v>52.1</v>
      </c>
      <c r="N64" s="2329" t="s">
        <v>1383</v>
      </c>
      <c r="Z64" s="1622"/>
      <c r="AI64" s="1560"/>
    </row>
    <row r="65" spans="1:35" ht="14.25" customHeight="1">
      <c r="A65" s="161" t="s">
        <v>326</v>
      </c>
      <c r="B65" s="162" t="s">
        <v>1384</v>
      </c>
      <c r="C65" s="2350"/>
      <c r="D65" s="162"/>
      <c r="E65" s="164"/>
      <c r="F65" s="1669"/>
      <c r="G65" s="1669"/>
      <c r="H65" s="151"/>
      <c r="I65" s="121"/>
      <c r="J65" s="3268"/>
      <c r="K65" s="1244" t="s">
        <v>1385</v>
      </c>
      <c r="L65" s="1244">
        <f ca="1">IF(M49&gt;1000,M49*0.1%,IF(AND(M49&gt;500,M49&lt;=1000),M49*0.5%,IF(AND(M49&gt;50,M49&lt;=500),M49*1%,IF(AND(M49&gt;1,M49&lt;=50),M49*1.5%))))</f>
        <v>10.419</v>
      </c>
      <c r="M65" s="294">
        <f t="shared" ca="1" si="1"/>
        <v>10.4</v>
      </c>
      <c r="N65" s="2329" t="s">
        <v>1383</v>
      </c>
      <c r="Z65" s="1622"/>
      <c r="AI65" s="1560"/>
    </row>
    <row r="66" spans="1:35" ht="14.25" customHeight="1">
      <c r="A66" s="165" t="s">
        <v>327</v>
      </c>
      <c r="B66" s="166" t="s">
        <v>1386</v>
      </c>
      <c r="C66" s="2351"/>
      <c r="D66" s="166" t="s">
        <v>26</v>
      </c>
      <c r="E66" s="1250" t="s">
        <v>671</v>
      </c>
      <c r="F66" s="1669"/>
      <c r="G66" s="1669"/>
      <c r="H66" s="151"/>
      <c r="I66" s="121"/>
      <c r="J66" s="3268"/>
      <c r="K66" s="1244" t="s">
        <v>1387</v>
      </c>
      <c r="L66" s="1244">
        <f ca="1">M49*0.5%</f>
        <v>52.094999999999999</v>
      </c>
      <c r="M66" s="294">
        <f ca="1">IF(L66&gt;0.5,0.5,ROUND(L66,0))</f>
        <v>0.5</v>
      </c>
      <c r="N66" s="2329" t="s">
        <v>1388</v>
      </c>
      <c r="Z66" s="1622"/>
      <c r="AI66" s="1560"/>
    </row>
    <row r="67" spans="1:35" ht="14.25" customHeight="1">
      <c r="A67" s="165" t="s">
        <v>328</v>
      </c>
      <c r="B67" s="166" t="s">
        <v>1389</v>
      </c>
      <c r="C67" s="2352">
        <f ca="1">C63-C66</f>
        <v>9923</v>
      </c>
      <c r="D67" s="162" t="s">
        <v>26</v>
      </c>
      <c r="E67" s="164"/>
      <c r="F67" s="1669"/>
      <c r="G67" s="1669"/>
      <c r="H67" s="151"/>
      <c r="I67" s="121"/>
      <c r="J67" s="3268"/>
      <c r="K67" s="1244" t="s">
        <v>1390</v>
      </c>
      <c r="L67" s="1244">
        <f ca="1">IF(M49&gt;=10000,(8.25+(M49-10000)*0.01%),IF(AND(M49&gt;=8000,M49&lt;10000),(7.85+(M49-8000)*0.02%),IF(AND(M49&gt;=5000,M49&lt;8000),(6.65+(M49-5000)*0.04%),IF(AND(M49&gt;=2000,M49&lt;5000),(4.25+(PM49-2000)*0.08%),IF(AND(M49&gt;=1000,M49&lt;2000),(2.75+(M49-1000)*0.15%),IF(AND(M49&gt;=100,M49&lt;1000),(0.5+(M49-100)*0.25%),IF(AND(M49&gt;0,M49&lt;100),M49*0.5%)))))))</f>
        <v>8.2919</v>
      </c>
      <c r="M67" s="294">
        <f ca="1">ROUND(L67*0.9,1)</f>
        <v>7.5</v>
      </c>
      <c r="N67" s="2328"/>
      <c r="Z67" s="1622"/>
      <c r="AI67" s="1560"/>
    </row>
    <row r="68" spans="1:35" ht="14.25" customHeight="1" thickBot="1">
      <c r="A68" s="168" t="s">
        <v>329</v>
      </c>
      <c r="B68" s="169" t="s">
        <v>1391</v>
      </c>
      <c r="C68" s="2353">
        <f ca="1">IF(C67&lt;=0,0,ROUND(C67*D68,0))</f>
        <v>556</v>
      </c>
      <c r="D68" s="2354">
        <f>'数据-取费表'!B41</f>
        <v>5.6000000000000001E-2</v>
      </c>
      <c r="E68" s="170"/>
      <c r="F68" s="1669"/>
      <c r="G68" s="1669"/>
      <c r="H68" s="151"/>
      <c r="I68" s="121"/>
      <c r="J68" s="3268"/>
      <c r="K68" s="1244" t="s">
        <v>1392</v>
      </c>
      <c r="L68" s="1244">
        <f ca="1">IF(M49&gt;10000,M49*0.5%,IF(AND(M49&gt;5000,M49&lt;=10000),M49*1%,IF(AND(M49&gt;1000,M49&lt;=5000),M49*2%,IF(AND(M49&gt;200,M49&lt;=1000),M49*3%,M49*5%))))</f>
        <v>52.094999999999999</v>
      </c>
      <c r="M68" s="294">
        <f ca="1">ROUND(L68,1)</f>
        <v>52.1</v>
      </c>
      <c r="N68" s="2328"/>
      <c r="Z68" s="1622"/>
      <c r="AI68" s="1560"/>
    </row>
    <row r="69" spans="1:35" ht="16.5" customHeight="1">
      <c r="A69" s="1671"/>
      <c r="B69" s="1672"/>
      <c r="C69" s="1673"/>
      <c r="D69" s="1674"/>
      <c r="E69" s="1675"/>
      <c r="F69" s="1465"/>
      <c r="G69" s="1465"/>
      <c r="H69" s="1466"/>
      <c r="I69" s="646"/>
      <c r="J69" s="3268"/>
      <c r="K69" s="1244" t="s">
        <v>1393</v>
      </c>
      <c r="L69" s="1244"/>
      <c r="M69" s="294">
        <f ca="1">ROUND(SUM(M63:M68),0)</f>
        <v>175</v>
      </c>
      <c r="N69" s="2330">
        <f ca="1">M69/M49</f>
        <v>1.6796237642768021E-2</v>
      </c>
      <c r="Z69" s="1622"/>
      <c r="AI69" s="1560"/>
    </row>
    <row r="70" spans="1:35" s="642" customFormat="1" ht="14.5" thickBot="1">
      <c r="A70" s="3312" t="s">
        <v>1394</v>
      </c>
      <c r="B70" s="3313"/>
      <c r="C70" s="3313"/>
      <c r="D70" s="3313"/>
      <c r="E70" s="3313"/>
      <c r="F70" s="3313"/>
      <c r="G70" s="3313"/>
      <c r="H70" s="331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
      <c r="A71" s="3304" t="s">
        <v>1375</v>
      </c>
      <c r="B71" s="330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
      <c r="A72" s="165" t="s">
        <v>330</v>
      </c>
      <c r="B72" s="166" t="s">
        <v>1395</v>
      </c>
      <c r="C72" s="2352">
        <f ca="1">ROUND(D45/(1+'数据-取费表'!C42),0)</f>
        <v>9923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
      <c r="A73" s="165" t="s">
        <v>327</v>
      </c>
      <c r="B73" s="155" t="s">
        <v>1396</v>
      </c>
      <c r="C73" s="2352">
        <f ca="1">C74+C78</f>
        <v>60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09" t="s">
        <v>1402</v>
      </c>
      <c r="F76" s="3308"/>
      <c r="G76" s="3308"/>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60</v>
      </c>
      <c r="D78" s="2361">
        <f>'数据-取费表'!B43</f>
        <v>6.000000000000001E-3</v>
      </c>
      <c r="E78" s="3301" t="s">
        <v>1406</v>
      </c>
      <c r="F78" s="3302"/>
      <c r="G78" s="3302"/>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
      <c r="A79" s="165" t="s">
        <v>328</v>
      </c>
      <c r="B79" s="166" t="s">
        <v>1407</v>
      </c>
      <c r="C79" s="2352">
        <f ca="1">C72-C73</f>
        <v>9863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6">
      <c r="A80" s="165" t="s">
        <v>335</v>
      </c>
      <c r="B80" s="166" t="s">
        <v>1408</v>
      </c>
      <c r="C80" s="2362">
        <f ca="1">IF(C79&lt;=0,0,C79/C73)</f>
        <v>164.38333333333333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6.5" thickBot="1">
      <c r="A81" s="168" t="s">
        <v>336</v>
      </c>
      <c r="B81" s="169" t="s">
        <v>1409</v>
      </c>
      <c r="C81" s="2363">
        <f ca="1">ROUND(IF(C79&lt;=0,0,IF(C80&gt;=200%,C79*60%-C73*35%,IF(C80&gt;=100%,C79*50%-C73*15%,IF(C80&gt;=50%,C79*40%-C73*5%,IF(C80&lt;50%,C79*30%,0))))),0)</f>
        <v>5897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5"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
      <c r="A84" s="3304" t="s">
        <v>1375</v>
      </c>
      <c r="B84" s="330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
      <c r="A85" s="165" t="s">
        <v>330</v>
      </c>
      <c r="B85" s="166" t="s">
        <v>1395</v>
      </c>
      <c r="C85" s="2352">
        <f ca="1">ROUND(D45/(1+'数据-取费表'!C42),0)</f>
        <v>9923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
      <c r="A86" s="165" t="s">
        <v>327</v>
      </c>
      <c r="B86" s="155" t="s">
        <v>1396</v>
      </c>
      <c r="C86" s="2352">
        <f ca="1">IF(H88="仅含出让金",C87+C90+C91+C92+C93+C94,C87+C91+C92+C93+C94)</f>
        <v>60</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
      <c r="A90" s="161" t="s">
        <v>326</v>
      </c>
      <c r="B90" s="162" t="s">
        <v>1416</v>
      </c>
      <c r="C90" s="2366"/>
      <c r="D90" s="2361"/>
      <c r="E90" s="185" t="str">
        <f>IF(H88="-","土地取得成本中已包含该笔费用"," ")</f>
        <v xml:space="preserve"> </v>
      </c>
      <c r="F90" s="2146"/>
      <c r="G90" s="3270" t="s">
        <v>2129</v>
      </c>
      <c r="H90" s="3271"/>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IF(H91="——",成本法房本1!C33,I91)</f>
        <v>0</v>
      </c>
      <c r="D91" s="2361"/>
      <c r="E91" s="3301" t="s">
        <v>1419</v>
      </c>
      <c r="F91" s="3302"/>
      <c r="G91" s="330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1" t="s">
        <v>1422</v>
      </c>
      <c r="F92" s="3302"/>
      <c r="G92" s="3302"/>
      <c r="H92" s="3303"/>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60</v>
      </c>
      <c r="D93" s="2361">
        <f>'数据-取费表'!B43</f>
        <v>6.000000000000001E-3</v>
      </c>
      <c r="E93" s="3301" t="s">
        <v>1406</v>
      </c>
      <c r="F93" s="3302"/>
      <c r="G93" s="3302"/>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46" t="s">
        <v>1426</v>
      </c>
      <c r="F94" s="3347"/>
      <c r="G94" s="3347"/>
      <c r="H94" s="334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
      <c r="A95" s="165" t="s">
        <v>328</v>
      </c>
      <c r="B95" s="166" t="s">
        <v>1407</v>
      </c>
      <c r="C95" s="2352">
        <f ca="1">ROUND(C85-C86,0)</f>
        <v>9863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6">
      <c r="A96" s="165" t="s">
        <v>335</v>
      </c>
      <c r="B96" s="166" t="s">
        <v>1408</v>
      </c>
      <c r="C96" s="2362">
        <f ca="1">IF(C95&lt;=0,0,C95/C86)</f>
        <v>164.38333333333333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6.5" thickBot="1">
      <c r="A97" s="168" t="s">
        <v>336</v>
      </c>
      <c r="B97" s="169" t="s">
        <v>1409</v>
      </c>
      <c r="C97" s="2363">
        <f ca="1">ROUND(IF(C95&lt;=0,0,IF(C96&gt;=200%,C95*60%-C86*35%,IF(C96&gt;=100%,C95*50%-C86*15%,IF(C96&gt;=50%,C95*40%-C86*5%,IF(C96&lt;50%,C95*30%,0))))),0)</f>
        <v>5897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69" t="str">
        <f>C4</f>
        <v>成本法房本3</v>
      </c>
      <c r="D101" s="2370" t="str">
        <f>D4</f>
        <v>收益法房本3</v>
      </c>
      <c r="E101" s="3264" t="s">
        <v>1431</v>
      </c>
      <c r="F101" s="3265"/>
      <c r="G101" s="1686" t="s">
        <v>1432</v>
      </c>
      <c r="H101" s="2379">
        <f ca="1">H118</f>
        <v>10419</v>
      </c>
      <c r="I101" s="121"/>
    </row>
    <row r="102" spans="1:35" ht="18.75" customHeight="1">
      <c r="A102" s="3296" t="s">
        <v>1433</v>
      </c>
      <c r="B102" s="2368" t="s">
        <v>1432</v>
      </c>
      <c r="C102" s="2369">
        <f ca="1">IF(D32="楼面单价",ROUND(C19,0),C19)</f>
        <v>15802</v>
      </c>
      <c r="D102" s="2370">
        <f ca="1">IF(D32="楼面单价",ROUND(D19,0),D19)</f>
        <v>6831</v>
      </c>
      <c r="E102" s="3264"/>
      <c r="F102" s="3265"/>
      <c r="G102" s="1686" t="s">
        <v>1434</v>
      </c>
      <c r="H102" s="2339">
        <f ca="1">I118</f>
        <v>12775</v>
      </c>
      <c r="I102" s="121"/>
    </row>
    <row r="103" spans="1:35" ht="42.75" customHeight="1">
      <c r="A103" s="3296"/>
      <c r="B103" s="2368" t="s">
        <v>1434</v>
      </c>
      <c r="C103" s="2371">
        <f ca="1">C20</f>
        <v>19376</v>
      </c>
      <c r="D103" s="2372">
        <f ca="1">D20</f>
        <v>8376</v>
      </c>
      <c r="E103" s="3257" t="s">
        <v>1435</v>
      </c>
      <c r="F103" s="3258"/>
      <c r="G103" s="1687" t="s">
        <v>1436</v>
      </c>
      <c r="H103" s="2379">
        <f>IF(D36="正常操作",H104+H105+H106,H105+H106)</f>
        <v>0</v>
      </c>
      <c r="I103" s="121"/>
    </row>
    <row r="104" spans="1:35" ht="18.75" customHeight="1">
      <c r="A104" s="3296" t="s">
        <v>1437</v>
      </c>
      <c r="B104" s="2373" t="s">
        <v>1432</v>
      </c>
      <c r="C104" s="2374">
        <f ca="1">H118</f>
        <v>10419</v>
      </c>
      <c r="D104" s="2375"/>
      <c r="E104" s="1554" t="s">
        <v>1438</v>
      </c>
      <c r="F104" s="1547"/>
      <c r="G104" s="1687" t="s">
        <v>1436</v>
      </c>
      <c r="H104" s="2380">
        <f>IF(D36="同一抵押权人同一抵押物续贷",C36&amp;"（续贷，未扣减，详见特别提示）",C36)</f>
        <v>0</v>
      </c>
      <c r="I104" s="121"/>
    </row>
    <row r="105" spans="1:35" ht="18.75" customHeight="1" thickBot="1">
      <c r="A105" s="3306"/>
      <c r="B105" s="2376" t="s">
        <v>1434</v>
      </c>
      <c r="C105" s="2377">
        <f ca="1">I118</f>
        <v>12775</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7" t="str">
        <f>IF(项目基本情况!E8="已注销","——","3.房地产抵押价值")</f>
        <v>3.房地产抵押价值</v>
      </c>
      <c r="F107" s="3265"/>
      <c r="G107" s="1686" t="s">
        <v>1432</v>
      </c>
      <c r="H107" s="2379">
        <f ca="1">IF(E107="——","——",H101-H103)</f>
        <v>10419</v>
      </c>
      <c r="I107" s="121"/>
    </row>
    <row r="108" spans="1:35" ht="18.75" customHeight="1">
      <c r="A108" s="121"/>
      <c r="B108" s="121"/>
      <c r="C108" s="121"/>
      <c r="D108" s="121"/>
      <c r="E108" s="3297"/>
      <c r="F108" s="3265"/>
      <c r="G108" s="1686" t="s">
        <v>1434</v>
      </c>
      <c r="H108" s="2339">
        <f ca="1">IF(H107=H101,H102,ROUND(H107*10000/'数据-汇总表'!E3,0))</f>
        <v>12775</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6" t="s">
        <v>1432</v>
      </c>
      <c r="H109" s="2382" t="str">
        <f>IF(E109="——","——",H101-H105-H106)</f>
        <v>——</v>
      </c>
      <c r="I109" s="121"/>
    </row>
    <row r="110" spans="1:35" ht="18.75" customHeight="1">
      <c r="A110" s="121"/>
      <c r="B110" s="121"/>
      <c r="C110" s="121"/>
      <c r="D110" s="121"/>
      <c r="E110" s="3297"/>
      <c r="F110" s="3265"/>
      <c r="G110" s="1686" t="s">
        <v>1434</v>
      </c>
      <c r="H110" s="2339"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6" t="s">
        <v>1432</v>
      </c>
      <c r="H111" s="2379" t="str">
        <f>IF(E111="——","——",N59)</f>
        <v>——</v>
      </c>
      <c r="I111" s="121"/>
    </row>
    <row r="112" spans="1:35" ht="18.75" customHeight="1" thickBot="1">
      <c r="A112" s="121"/>
      <c r="B112" s="121"/>
      <c r="C112" s="121"/>
      <c r="D112" s="121"/>
      <c r="E112" s="3299"/>
      <c r="F112" s="3300"/>
      <c r="G112" s="1689" t="s">
        <v>1434</v>
      </c>
      <c r="H112" s="2383"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0"/>
      <c r="F114" s="1670"/>
      <c r="G114" s="1670"/>
      <c r="H114" s="1670"/>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8" t="s">
        <v>1449</v>
      </c>
      <c r="E117" s="2148" t="s">
        <v>1450</v>
      </c>
      <c r="F117" s="2148" t="s">
        <v>1449</v>
      </c>
      <c r="G117" s="2148" t="s">
        <v>1451</v>
      </c>
      <c r="H117" s="2148" t="s">
        <v>1449</v>
      </c>
      <c r="I117" s="2148" t="s">
        <v>1451</v>
      </c>
    </row>
    <row r="118" spans="1:27" ht="24.75" customHeight="1">
      <c r="A118" s="2384" t="str">
        <f>项目基本情况!S2</f>
        <v>北京市通州区翠平西路2号，4、6、8号；通朝大街202、204、206号、208、210、212号房地产</v>
      </c>
      <c r="B118" s="2148">
        <f>M18</f>
        <v>8155.52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10419</v>
      </c>
      <c r="I118" s="2148">
        <f ca="1">ROUND(IF(D32="楼面单价",C32,H118*10000/B118),0)</f>
        <v>12775</v>
      </c>
    </row>
    <row r="119" spans="1:27" ht="18.75" customHeight="1">
      <c r="A119" s="3272" t="s">
        <v>1452</v>
      </c>
      <c r="B119" s="3272"/>
      <c r="C119" s="3272"/>
      <c r="D119" s="3278" t="e">
        <f ca="1">NUMBERSTRING(INT(D118*10000),2)&amp;"元整"</f>
        <v>#REF!</v>
      </c>
      <c r="E119" s="3279"/>
      <c r="F119" s="3278" t="e">
        <f ca="1">NUMBERSTRING(INT(F118*10000),2)&amp;"元整"</f>
        <v>#REF!</v>
      </c>
      <c r="G119" s="3279"/>
      <c r="H119" s="3278" t="str">
        <f ca="1">NUMBERSTRING(INT(H118*10000),2)&amp;"元整"</f>
        <v>壹亿零肆佰壹拾玖万元整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10419</v>
      </c>
      <c r="E122" s="3274"/>
      <c r="F122" s="3274"/>
      <c r="G122" s="3274"/>
      <c r="H122" s="3274"/>
      <c r="I122" s="3275"/>
      <c r="AA122" s="684"/>
    </row>
    <row r="123" spans="1:27" ht="18.75" customHeight="1">
      <c r="A123" s="3272" t="s">
        <v>1452</v>
      </c>
      <c r="B123" s="3272"/>
      <c r="C123" s="3272"/>
      <c r="D123" s="3278" t="str">
        <f ca="1">NUMBERSTRING(INT(D122*10000),2)&amp;"元整"</f>
        <v>壹亿零肆佰壹拾玖万元整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DF523977-3B09-4227-B336-C69136F1801F}">
      <formula1>估价方法</formula1>
    </dataValidation>
    <dataValidation type="list" allowBlank="1" showInputMessage="1" showErrorMessage="1" sqref="H55:H56" xr:uid="{02A11074-08BE-4592-9929-EA9EF031C6A2}">
      <formula1>"个人住宅,正常"</formula1>
    </dataValidation>
    <dataValidation type="list" allowBlank="1" showInputMessage="1" showErrorMessage="1" sqref="H48" xr:uid="{F592E8D6-6FC0-48D8-A94B-A36562E36A69}">
      <formula1>"情况1,情况2,情况3,情况4"</formula1>
    </dataValidation>
    <dataValidation type="list" allowBlank="1" showInputMessage="1" showErrorMessage="1" sqref="H58" xr:uid="{28849F32-EBC0-4092-9642-11A2CF859FD2}">
      <formula1>"转让取得,自行开发建设"</formula1>
    </dataValidation>
    <dataValidation type="list" allowBlank="1" showInputMessage="1" showErrorMessage="1" sqref="D32" xr:uid="{8ADB7455-C224-4C2F-AB00-4E1793A1622C}">
      <formula1>"总价,楼面单价"</formula1>
    </dataValidation>
    <dataValidation type="list" allowBlank="1" showInputMessage="1" showErrorMessage="1" sqref="F45" xr:uid="{B5B9AA58-8516-4EBB-9EE0-8B6698398BFD}">
      <formula1>"100%,70%,56%"</formula1>
    </dataValidation>
    <dataValidation type="list" allowBlank="1" showInputMessage="1" showErrorMessage="1" sqref="C33" xr:uid="{05A7FD3B-9975-4879-8836-C1979DEE4A09}">
      <formula1>"成本比率,收益比率,自定义"</formula1>
    </dataValidation>
    <dataValidation type="list" allowBlank="1" showInputMessage="1" showErrorMessage="1" sqref="H91" xr:uid="{83B95281-11B0-4693-86F2-F3B7D9B4AEEC}">
      <formula1>"企业提供（在右侧录入）,——"</formula1>
    </dataValidation>
    <dataValidation type="list" allowBlank="1" showInputMessage="1" showErrorMessage="1" sqref="H88" xr:uid="{F93111CA-2F76-4084-A7A9-56574E56DF97}">
      <formula1>"仅含出让金,出让金+开发费"</formula1>
    </dataValidation>
    <dataValidation type="list" allowBlank="1" showInputMessage="1" showErrorMessage="1" sqref="F75" xr:uid="{A71EC0F8-87EA-42A6-BAE4-7D6CE5D4523D}">
      <formula1>"买卖合同,购房发票"</formula1>
    </dataValidation>
    <dataValidation type="list" allowBlank="1" showInputMessage="1" showErrorMessage="1" sqref="D36" xr:uid="{F49A955D-42F6-45B3-8B36-CE9511175350}">
      <formula1>"同一抵押权人同一抵押物续贷,注销后放款,正常操作"</formula1>
    </dataValidation>
    <dataValidation type="list" allowBlank="1" showInputMessage="1" showErrorMessage="1" sqref="B116:B117" xr:uid="{D54BA0F7-63AE-4A2F-8079-7F55CC5B83A2}">
      <formula1>"建筑面积,规划建筑面积,（规划）建筑面积"</formula1>
    </dataValidation>
    <dataValidation type="list" allowBlank="1" showInputMessage="1" showErrorMessage="1" sqref="C116:C117" xr:uid="{DBDD3A5C-ECFC-41F9-B2DC-A8E62BA285AF}">
      <formula1>"土地面积,分摊土地面积,（分摊）土地面积"</formula1>
    </dataValidation>
    <dataValidation type="list" allowBlank="1" showInputMessage="1" showErrorMessage="1" sqref="D116:E116" xr:uid="{CE077450-DABC-4A0D-B963-CA57BAD380DB}">
      <formula1>"出让国有建设用地使用权价值,划拨国有建设用地使用权价值"</formula1>
    </dataValidation>
    <dataValidation type="list" allowBlank="1" showInputMessage="1" showErrorMessage="1" sqref="F116:G116" xr:uid="{6895DBB1-097A-4706-84C8-B002B1E20C49}">
      <formula1>"建筑物价值,在建建筑物价值,建筑物/在建建筑物价值"</formula1>
    </dataValidation>
    <dataValidation type="list" allowBlank="1" showInputMessage="1" showErrorMessage="1" sqref="C129" xr:uid="{CA3FB599-0AB7-4A75-A92E-5AC296640586}">
      <formula1>"无,有"</formula1>
    </dataValidation>
    <dataValidation type="list" showInputMessage="1" showErrorMessage="1" sqref="G1" xr:uid="{661B33A4-4E75-43D8-B4C1-C00D0C198870}">
      <formula1>"现房,在建,土地,-"</formula1>
    </dataValidation>
    <dataValidation type="list" allowBlank="1" showInputMessage="1" showErrorMessage="1" sqref="I1" xr:uid="{145D2D62-5C42-4AB4-899C-FAC1820DB4CE}">
      <formula1>"项目局部,项目全部,——"</formula1>
    </dataValidation>
    <dataValidation type="list" allowBlank="1" showInputMessage="1" showErrorMessage="1" sqref="C1" xr:uid="{0B0BE446-2BE1-4537-9E9F-E90763436904}">
      <formula1>项目类型</formula1>
    </dataValidation>
    <dataValidation type="list" allowBlank="1" showInputMessage="1" showErrorMessage="1" sqref="G77" xr:uid="{3264EC40-EBD3-4745-8532-55A406B3AB28}">
      <formula1>"个人住宅,2016年5月1日前购买,2016年5月1日后购买"</formula1>
    </dataValidation>
    <dataValidation type="list" allowBlank="1" showInputMessage="1" showErrorMessage="1" sqref="E103" xr:uid="{91A82D61-663F-457F-BC55-CFDBB75158E0}">
      <formula1>"2.估价师知悉的法定优先受偿款,2.估价师知悉的除抵押担保权以外的法定优先受偿款"</formula1>
    </dataValidation>
    <dataValidation type="list" allowBlank="1" showInputMessage="1" showErrorMessage="1" sqref="H59" xr:uid="{19FDB366-9220-43AB-A8BD-048776540721}">
      <formula1>"非个人房产,个人住宅（满五唯一有凭证）,个人其他（有凭证）,个人其他（无凭证）"</formula1>
    </dataValidation>
    <dataValidation type="list" allowBlank="1" showInputMessage="1" showErrorMessage="1" sqref="D92" xr:uid="{1F28B638-1A3A-4023-B055-729D17E13EE5}">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U10" sqref="U10"/>
    </sheetView>
  </sheetViews>
  <sheetFormatPr defaultColWidth="12" defaultRowHeight="12.5"/>
  <cols>
    <col min="1" max="1" width="9.7265625" style="1894" customWidth="1"/>
    <col min="2" max="2" width="22.453125" style="1982" customWidth="1"/>
    <col min="3" max="3" width="12" style="1844"/>
    <col min="4" max="4" width="14.90625" style="1844" customWidth="1"/>
    <col min="5" max="5" width="14.6328125" style="1844" customWidth="1"/>
    <col min="6" max="8" width="12" style="1844"/>
    <col min="9" max="9" width="12.26953125" style="1844" bestFit="1" customWidth="1"/>
    <col min="10" max="10" width="12" style="1844"/>
    <col min="11" max="11" width="8.08984375" style="1890" customWidth="1"/>
    <col min="12" max="12" width="19.453125" style="1844" customWidth="1"/>
    <col min="13" max="13" width="8.453125" style="1844" customWidth="1"/>
    <col min="14" max="14" width="9.7265625" style="1844" customWidth="1"/>
    <col min="15" max="25" width="12" style="1844"/>
    <col min="26" max="26" width="9.36328125" style="1894" customWidth="1"/>
    <col min="27" max="32" width="9.36328125" style="1057" customWidth="1"/>
    <col min="33" max="36" width="9.36328125" style="1894" customWidth="1"/>
    <col min="37" max="38" width="9.36328125" style="1844" customWidth="1"/>
    <col min="39" max="16384" width="12" style="1844"/>
  </cols>
  <sheetData>
    <row r="1" spans="1:36" ht="30">
      <c r="A1" s="188" t="s">
        <v>1926</v>
      </c>
      <c r="B1" s="189"/>
      <c r="C1" s="193" t="s">
        <v>1927</v>
      </c>
      <c r="D1" s="333">
        <f>SUM(D33:D34,D37:D42)</f>
        <v>2228.25</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5">
      <c r="A2" s="193" t="s">
        <v>1934</v>
      </c>
      <c r="B2" s="196">
        <f>C30</f>
        <v>1253</v>
      </c>
      <c r="C2" s="1845" t="s">
        <v>1935</v>
      </c>
      <c r="D2" s="162" t="s">
        <v>1936</v>
      </c>
      <c r="E2" s="3118"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Ⅴ-通2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1.5019</v>
      </c>
      <c r="T2" s="3061">
        <f t="shared" ref="T2:T16" si="0">ROUND($C$5*$C$22*$C$23*$C$24*S2*$C$28,0)</f>
        <v>14073</v>
      </c>
      <c r="U2" s="1129">
        <f>信息!R17</f>
        <v>0</v>
      </c>
      <c r="V2" s="3061">
        <f>ROUND(T2*U2/10000,0)</f>
        <v>0</v>
      </c>
      <c r="W2" s="1132"/>
      <c r="X2" s="1132"/>
      <c r="Y2" s="1132"/>
      <c r="Z2" s="1132"/>
      <c r="AA2" s="1132"/>
      <c r="AB2" s="1132"/>
      <c r="AC2" s="1133"/>
      <c r="AD2" s="1134"/>
      <c r="AE2" s="1134"/>
      <c r="AF2" s="1134"/>
      <c r="AG2" s="1134"/>
      <c r="AH2" s="1134"/>
      <c r="AI2" s="1134"/>
      <c r="AJ2" s="1135"/>
    </row>
    <row r="3" spans="1:36" ht="15.5">
      <c r="A3" s="195" t="s">
        <v>1940</v>
      </c>
      <c r="B3" s="196">
        <f>ROUND(B2*10000/D1,0)</f>
        <v>5623</v>
      </c>
      <c r="C3" s="1845" t="s">
        <v>1941</v>
      </c>
      <c r="D3" s="162" t="s">
        <v>1942</v>
      </c>
      <c r="E3" s="3116" t="s">
        <v>2439</v>
      </c>
      <c r="F3" s="1847" t="s">
        <v>3493</v>
      </c>
      <c r="G3" s="707">
        <f>IF(F3="宗地容积率",'数据-汇总表'!I4,IF(F3="估价对象容积率",'数据-汇总表'!I6,'数据-汇总表'!I7))</f>
        <v>0</v>
      </c>
      <c r="H3" s="162"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1.1838</v>
      </c>
      <c r="T3" s="3061">
        <f t="shared" si="0"/>
        <v>11093</v>
      </c>
      <c r="U3" s="1129">
        <f>信息!R18</f>
        <v>0</v>
      </c>
      <c r="V3" s="3061">
        <f t="shared" ref="V3:V16" si="1">ROUND(T3*U3/10000,0)</f>
        <v>0</v>
      </c>
      <c r="W3" s="1132"/>
      <c r="X3" s="1132"/>
      <c r="Y3" s="1132"/>
      <c r="Z3" s="1132"/>
      <c r="AA3" s="1132"/>
      <c r="AB3" s="1132"/>
      <c r="AC3" s="1133"/>
      <c r="AD3" s="1134"/>
      <c r="AE3" s="1134"/>
      <c r="AF3" s="1134"/>
      <c r="AG3" s="1134"/>
      <c r="AH3" s="1134"/>
      <c r="AI3" s="1134"/>
      <c r="AJ3" s="1135"/>
    </row>
    <row r="4" spans="1:36" ht="15.5">
      <c r="A4" s="3462"/>
      <c r="B4" s="3463"/>
      <c r="C4" s="3463"/>
      <c r="D4" s="3464"/>
      <c r="E4" s="3464"/>
      <c r="F4" s="3464"/>
      <c r="G4" s="3464"/>
      <c r="H4" s="3464"/>
      <c r="I4" s="3464"/>
      <c r="J4" s="3465"/>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1.0004999999999999</v>
      </c>
      <c r="T4" s="3061">
        <f t="shared" si="0"/>
        <v>9375</v>
      </c>
      <c r="U4" s="1129">
        <f>信息!R19</f>
        <v>0</v>
      </c>
      <c r="V4" s="3061">
        <f t="shared" si="1"/>
        <v>0</v>
      </c>
      <c r="W4" s="1132"/>
      <c r="X4" s="1132"/>
      <c r="Y4" s="1132"/>
      <c r="Z4" s="1132"/>
      <c r="AA4" s="1132"/>
      <c r="AB4" s="1132"/>
      <c r="AC4" s="1133"/>
      <c r="AD4" s="1134"/>
      <c r="AE4" s="1134"/>
      <c r="AF4" s="1134"/>
      <c r="AG4" s="1134"/>
      <c r="AH4" s="1134"/>
      <c r="AI4" s="1134"/>
      <c r="AJ4" s="1135"/>
    </row>
    <row r="5" spans="1:36" s="1857" customFormat="1" ht="16" thickBot="1">
      <c r="A5" s="1848" t="s">
        <v>362</v>
      </c>
      <c r="B5" s="1849" t="s">
        <v>1947</v>
      </c>
      <c r="C5" s="708">
        <f>ROUND(IF(E2="商业",C6*C7*C17+C20,(IF(E2="住宅",C6*C13*C17+C20,IF(E2="办公",C6*C12*C17+C20,C6+C20)))),0)</f>
        <v>13590</v>
      </c>
      <c r="D5" s="1251">
        <f>ROUND(C6*C17+C20,0)</f>
        <v>13590</v>
      </c>
      <c r="E5" s="1251"/>
      <c r="F5" s="1850"/>
      <c r="G5" s="1851"/>
      <c r="H5" s="1851"/>
      <c r="I5" s="1851"/>
      <c r="J5" s="1852"/>
      <c r="K5" s="1853"/>
      <c r="L5" s="1846" t="s">
        <v>1948</v>
      </c>
      <c r="M5" s="810">
        <f>SUMPRODUCT((区片价!B87:B126=I2)*(区片价!C3:G3=E2)*(区片价!C87:G126))</f>
        <v>13590</v>
      </c>
      <c r="N5" s="812">
        <f>SUMPRODUCT((因素修正幅度!B87:B126=I2)*(因素修正幅度!C3:G3=E2)*(因素修正幅度!C87:G126))</f>
        <v>0.1</v>
      </c>
      <c r="O5" s="1055"/>
      <c r="P5" s="1055"/>
      <c r="Q5" s="1055"/>
      <c r="R5" s="1128">
        <v>4</v>
      </c>
      <c r="S5" s="3061">
        <f>ROUND(SUMPRODUCT((B106:B110=R5)*(C105:N105=G2)*(C106:N110)),4)</f>
        <v>0.88239999999999996</v>
      </c>
      <c r="T5" s="3061">
        <f t="shared" si="0"/>
        <v>8268</v>
      </c>
      <c r="U5" s="1129"/>
      <c r="V5" s="3061">
        <f t="shared" si="1"/>
        <v>0</v>
      </c>
      <c r="W5" s="1132"/>
      <c r="X5" s="1132"/>
      <c r="Y5" s="1132"/>
      <c r="Z5" s="1132"/>
      <c r="AA5" s="1132"/>
      <c r="AB5" s="1132"/>
      <c r="AC5" s="1854"/>
      <c r="AD5" s="1855"/>
      <c r="AE5" s="1855"/>
      <c r="AF5" s="1855"/>
      <c r="AG5" s="1855"/>
      <c r="AH5" s="1855"/>
      <c r="AI5" s="1855"/>
      <c r="AJ5" s="1856"/>
    </row>
    <row r="6" spans="1:36" ht="16" thickBot="1">
      <c r="A6" s="1858" t="s">
        <v>1949</v>
      </c>
      <c r="B6" s="1859" t="s">
        <v>1950</v>
      </c>
      <c r="C6" s="709">
        <f>SUMIF(L1:L12,G2,M1:M12)</f>
        <v>13590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0.84799999999999998</v>
      </c>
      <c r="T6" s="3061">
        <f t="shared" si="0"/>
        <v>7946</v>
      </c>
      <c r="U6" s="1129"/>
      <c r="V6" s="3061">
        <f t="shared" si="1"/>
        <v>0</v>
      </c>
      <c r="W6" s="1132"/>
      <c r="X6" s="1132"/>
      <c r="Y6" s="1132"/>
      <c r="Z6" s="1132"/>
      <c r="AA6" s="1132"/>
      <c r="AB6" s="1132"/>
      <c r="AC6" s="1854"/>
      <c r="AD6" s="1855"/>
      <c r="AE6" s="1855"/>
      <c r="AF6" s="1855"/>
      <c r="AG6" s="1855"/>
      <c r="AH6" s="1855"/>
      <c r="AI6" s="1855"/>
      <c r="AJ6" s="1856"/>
    </row>
    <row r="7" spans="1:36" ht="26.5" thickBot="1">
      <c r="A7" s="3010"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五级</v>
      </c>
      <c r="Y7" s="1130" t="s">
        <v>1956</v>
      </c>
      <c r="Z7" s="1131">
        <f>G3</f>
        <v>0</v>
      </c>
      <c r="AA7" s="1132"/>
      <c r="AB7" s="1132"/>
      <c r="AC7" s="1133"/>
      <c r="AD7" s="1134"/>
      <c r="AE7" s="1134"/>
      <c r="AF7" s="1134"/>
      <c r="AG7" s="1134"/>
      <c r="AH7" s="1134"/>
      <c r="AI7" s="1134"/>
      <c r="AJ7" s="1135"/>
    </row>
    <row r="8" spans="1:36" ht="25">
      <c r="A8" s="3007"/>
      <c r="B8" s="162" t="s">
        <v>1957</v>
      </c>
      <c r="C8" s="1869" t="s">
        <v>3494</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59" t="s">
        <v>1960</v>
      </c>
      <c r="X8" s="346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5">
      <c r="A9" s="3007"/>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461"/>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6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7" thickBot="1">
      <c r="A12" s="3010" t="s">
        <v>3238</v>
      </c>
      <c r="B12" s="3011" t="s">
        <v>3239</v>
      </c>
      <c r="C12" s="3012"/>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6.5"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6">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
      <c r="A18" s="3036"/>
      <c r="B18" s="2308"/>
      <c r="C18" s="3032"/>
      <c r="D18" s="3027" t="s">
        <v>3248</v>
      </c>
      <c r="E18" s="2355"/>
      <c r="F18" s="3028" t="s">
        <v>3251</v>
      </c>
      <c r="G18" s="3032">
        <f>ROUND(1-(1/(POWER(1+G24,E18))),4)</f>
        <v>0</v>
      </c>
      <c r="H18" s="3028" t="s">
        <v>3253</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5"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4">
      <c r="A20" s="3466" t="s">
        <v>3254</v>
      </c>
      <c r="B20" s="159" t="s">
        <v>1994</v>
      </c>
      <c r="C20" s="3029">
        <f>ROUND(IF(F21="与级别开发程度一致",0,(G21-E21)/C21),0)</f>
        <v>0</v>
      </c>
      <c r="D20" s="3044" t="s">
        <v>1998</v>
      </c>
      <c r="E20" s="3045"/>
      <c r="F20" s="3472" t="s">
        <v>1995</v>
      </c>
      <c r="G20" s="3473"/>
      <c r="H20" s="3030"/>
      <c r="I20" s="3030"/>
      <c r="J20" s="3031"/>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5.5" thickBot="1">
      <c r="A21" s="3467"/>
      <c r="B21" s="2000" t="s">
        <v>1997</v>
      </c>
      <c r="C21" s="2001">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3514" t="s">
        <v>3497</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4.5" thickBot="1">
      <c r="A22" s="1994" t="s">
        <v>363</v>
      </c>
      <c r="B22" s="1995" t="s">
        <v>2000</v>
      </c>
      <c r="C22" s="1996">
        <f>SUMIF(修正!C20:C53,E3,修正!E20:E53)</f>
        <v>1</v>
      </c>
      <c r="D22" s="1997"/>
      <c r="E22" s="1998"/>
      <c r="F22" s="1998"/>
      <c r="G22" s="1998"/>
      <c r="H22" s="1998"/>
      <c r="I22" s="1998"/>
      <c r="J22" s="1999"/>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5.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895" t="s">
        <v>2002</v>
      </c>
      <c r="E23" s="716">
        <v>44197</v>
      </c>
      <c r="F23" s="1895" t="s">
        <v>2003</v>
      </c>
      <c r="G23" s="717">
        <f>'数据-取费表'!B2</f>
        <v>45974</v>
      </c>
      <c r="H23" s="3046" t="s">
        <v>3495</v>
      </c>
      <c r="I23" s="3047" t="str">
        <f>IF(H23="季度增幅（自定义）",SUMIF(N25:N28,E2,O25:O28),"")</f>
        <v/>
      </c>
      <c r="J23" s="3139" t="s">
        <v>3496</v>
      </c>
      <c r="K23" s="1060"/>
      <c r="L23" s="1896" t="s">
        <v>2004</v>
      </c>
      <c r="M23" s="1240">
        <f>ROUND(SUMIF(地价!B2:G2,E2,地价!B16:G16),0)</f>
        <v>350</v>
      </c>
      <c r="N23" s="1897" t="s">
        <v>2005</v>
      </c>
      <c r="O23" s="718">
        <f>ROUNDDOWN(DATEDIF(E23,G23,"M")/3,0)</f>
        <v>19</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6.5" thickBot="1">
      <c r="A24" s="1899" t="s">
        <v>365</v>
      </c>
      <c r="B24" s="1900" t="s">
        <v>2006</v>
      </c>
      <c r="C24" s="719">
        <f>ROUND(POWER(1+G24,J24-I24)*(POWER(1+G24,I24)-1)/(POWER(1+G24,J24)-1),4)</f>
        <v>0.65300000000000002</v>
      </c>
      <c r="D24" s="1901" t="s">
        <v>2007</v>
      </c>
      <c r="E24" s="1247">
        <f>存贷款利率!E28/100</f>
        <v>4.3499999999999997E-2</v>
      </c>
      <c r="F24" s="1901" t="s">
        <v>1999</v>
      </c>
      <c r="G24" s="723">
        <f>SUMIF(M30:Q30,E2,M33:Q33)</f>
        <v>5.5E-2</v>
      </c>
      <c r="H24" s="1901" t="s">
        <v>2008</v>
      </c>
      <c r="I24" s="724">
        <f>SUMIF('数据-取费表'!C6:C15,E2,'数据-取费表'!F6:F15)/COUNTIF('数据-取费表'!C6:C15,E2)</f>
        <v>16.04</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
      <c r="A25" s="1906" t="s">
        <v>366</v>
      </c>
      <c r="B25" s="1907" t="s">
        <v>3498</v>
      </c>
      <c r="C25" s="461">
        <f>IF(B25="容积率修正",IF(G3&lt;10,D26,J26),C27)</f>
        <v>1.5019</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5">
      <c r="A26" s="1805" t="s">
        <v>2014</v>
      </c>
      <c r="B26" s="1911" t="s">
        <v>2015</v>
      </c>
      <c r="C26" s="1911" t="s">
        <v>3255</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3256</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4.5" thickBot="1">
      <c r="A28" s="1899" t="s">
        <v>367</v>
      </c>
      <c r="B28" s="1892" t="s">
        <v>2020</v>
      </c>
      <c r="C28" s="715">
        <f>SUMIF(A47:A101,E2,B47:B101)</f>
        <v>1.052</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4.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
      <c r="A30" s="1923"/>
      <c r="B30" s="1911" t="s">
        <v>2024</v>
      </c>
      <c r="C30" s="2143">
        <f>IF(B25="容积率修正",E33+SUM(E37:E42),SUM(V2:V16)+SUM(E37:E42))</f>
        <v>1253</v>
      </c>
      <c r="D30" s="1924"/>
      <c r="E30" s="1841"/>
      <c r="F30" s="1925"/>
      <c r="G30" s="1841"/>
      <c r="H30" s="1841"/>
      <c r="I30" s="1841"/>
      <c r="J30" s="1926"/>
      <c r="K30" s="1055"/>
      <c r="L30" s="3053" t="s">
        <v>1936</v>
      </c>
      <c r="M30" s="3054" t="s">
        <v>1990</v>
      </c>
      <c r="N30" s="3054" t="s">
        <v>1991</v>
      </c>
      <c r="O30" s="3054" t="s">
        <v>1992</v>
      </c>
      <c r="P30" s="3054" t="s">
        <v>1993</v>
      </c>
      <c r="Q30" s="3057"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4.5" thickBot="1">
      <c r="A31" s="1923"/>
      <c r="B31" s="1927" t="s">
        <v>2025</v>
      </c>
      <c r="C31" s="721">
        <f>E34+SUM(I37:I42)</f>
        <v>313</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4.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
      <c r="A33" s="1937"/>
      <c r="B33" s="1938" t="s">
        <v>2030</v>
      </c>
      <c r="C33" s="167">
        <f>ROUND(C5*C22*C23*C24*C25*C28,0)</f>
        <v>14073</v>
      </c>
      <c r="D33" s="1939"/>
      <c r="E33" s="726">
        <f>ROUND(C33*D33/10000,0)</f>
        <v>0</v>
      </c>
      <c r="F33" s="3048" t="s">
        <v>3258</v>
      </c>
      <c r="G33" s="1940"/>
      <c r="H33" s="1940"/>
      <c r="I33" s="1940"/>
      <c r="J33" s="1941"/>
      <c r="K33" s="1055"/>
      <c r="L33" s="3051" t="s">
        <v>3261</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6.5" thickBot="1">
      <c r="A34" s="1942"/>
      <c r="B34" s="1943" t="s">
        <v>2031</v>
      </c>
      <c r="C34" s="179" t="e">
        <f>ROUND(IF(E2="工业",C33*M42,IF(B25="楼层修正",SUM(V2:V16)*M41*10000/D34,C33*M41)),0)</f>
        <v>#DIV/0!</v>
      </c>
      <c r="D34" s="1944"/>
      <c r="E34" s="726">
        <f>ROUND(IF(B25="楼层修正",SUM(V2:V16)*M40,C34*D34/10000),0)</f>
        <v>0</v>
      </c>
      <c r="F34" s="1945" t="s">
        <v>2032</v>
      </c>
      <c r="G34" s="1946"/>
      <c r="H34" s="1946"/>
      <c r="I34" s="1946"/>
      <c r="J34" s="1947"/>
      <c r="K34" s="1055"/>
      <c r="L34" s="3051" t="s">
        <v>3262</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ht="13">
      <c r="A35" s="1948"/>
      <c r="B35" s="1949" t="s">
        <v>2033</v>
      </c>
      <c r="C35" s="3049" t="s">
        <v>3259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6.5" thickBot="1">
      <c r="A36" s="1937"/>
      <c r="B36" s="1952"/>
      <c r="C36" s="436" t="s">
        <v>2027</v>
      </c>
      <c r="D36" s="433" t="s">
        <v>2028</v>
      </c>
      <c r="E36" s="433" t="s">
        <v>2029</v>
      </c>
      <c r="F36" s="333" t="s">
        <v>2035</v>
      </c>
      <c r="G36" s="1953" t="s">
        <v>2027</v>
      </c>
      <c r="H36" s="1953" t="s">
        <v>2028</v>
      </c>
      <c r="I36" s="1953" t="s">
        <v>2029</v>
      </c>
      <c r="J36" s="235"/>
      <c r="K36" s="1963"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6.5" thickBot="1">
      <c r="A37" s="3470"/>
      <c r="B37" s="1954" t="s">
        <v>2036</v>
      </c>
      <c r="C37" s="167">
        <f>ROUND(D5*C22*C23*C24*C28*F37,0)</f>
        <v>5622</v>
      </c>
      <c r="D37" s="1939">
        <f>'数据-汇总表'!G19</f>
        <v>2228.25</v>
      </c>
      <c r="E37" s="163">
        <f>ROUND(C37*D37/10000,0)</f>
        <v>1253</v>
      </c>
      <c r="F37" s="163">
        <f>SUMIF(修正!A59:A70,G2,修正!B59:B70)</f>
        <v>0.6</v>
      </c>
      <c r="G37" s="163">
        <f>ROUND(IF(E2="工业",C37*$M$42,C37*$M$41),0)</f>
        <v>1406</v>
      </c>
      <c r="H37" s="163">
        <f>D37</f>
        <v>2228.25</v>
      </c>
      <c r="I37" s="163">
        <f>ROUND(G37*H37/10000,0)</f>
        <v>313</v>
      </c>
      <c r="J37" s="2752"/>
      <c r="K37" s="3059" t="s">
        <v>3264</v>
      </c>
      <c r="L37" s="1963">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ht="13">
      <c r="A38" s="3471"/>
      <c r="B38" s="1883" t="s">
        <v>2037</v>
      </c>
      <c r="C38" s="167">
        <f>ROUND(D5*C22*C23*C24*C28*F38,0)</f>
        <v>2811</v>
      </c>
      <c r="D38" s="1939"/>
      <c r="E38" s="163">
        <f t="shared" ref="E38:E42" si="4">ROUND(C38*D38/10000,0)</f>
        <v>0</v>
      </c>
      <c r="F38" s="163">
        <f>SUMIF(修正!A59:A70,G2,修正!C59:C70)</f>
        <v>0.3</v>
      </c>
      <c r="G38" s="163">
        <f>ROUND(IF(E2="工业",C38*$M$42,C38*$M$41),0)</f>
        <v>703</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1"/>
      <c r="B39" s="1883" t="s">
        <v>3257</v>
      </c>
      <c r="C39" s="167">
        <f>ROUND(D5*C22*C23*C24*C28*F39,0)</f>
        <v>2343</v>
      </c>
      <c r="D39" s="1939"/>
      <c r="E39" s="163">
        <f t="shared" si="4"/>
        <v>0</v>
      </c>
      <c r="F39" s="163">
        <f>SUMIF(修正!A59:A70,G2,修正!D59:D70)</f>
        <v>0.25</v>
      </c>
      <c r="G39" s="163">
        <f>ROUND(IF(E2="工业",C39*$M$42,C39*$M$41),0)</f>
        <v>586</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5"/>
      <c r="B40" s="1883" t="s">
        <v>2038</v>
      </c>
      <c r="C40" s="163">
        <f>ROUND(D5*C22*C23*C24*C28*F40,0)</f>
        <v>2343</v>
      </c>
      <c r="D40" s="1939"/>
      <c r="E40" s="163">
        <f t="shared" si="4"/>
        <v>0</v>
      </c>
      <c r="F40" s="167">
        <f>SUMIF(修正!A59:A70,G2,修正!E59:E70)</f>
        <v>0.25</v>
      </c>
      <c r="G40" s="163">
        <f>ROUND(IF(E2="工业",C40*$M$42,C40*$M$41),0)</f>
        <v>586</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ht="13">
      <c r="A41" s="1955"/>
      <c r="B41" s="1883" t="s">
        <v>2040</v>
      </c>
      <c r="C41" s="163">
        <f>ROUND(D5*C22*C23*C44*C28*F41,0)</f>
        <v>2220</v>
      </c>
      <c r="D41" s="1939"/>
      <c r="E41" s="163">
        <f t="shared" si="4"/>
        <v>0</v>
      </c>
      <c r="F41" s="167">
        <f>SUMIF(修正!A59:A70,G2,修正!F59:F70)</f>
        <v>0.25</v>
      </c>
      <c r="G41" s="163">
        <f>ROUND(IF(E2="工业",C41*$M$42,C41*$M$41),0)</f>
        <v>555</v>
      </c>
      <c r="H41" s="163">
        <f t="shared" si="5"/>
        <v>0</v>
      </c>
      <c r="I41" s="163">
        <f t="shared" si="6"/>
        <v>0</v>
      </c>
      <c r="J41" s="938"/>
      <c r="L41" s="3060" t="s">
        <v>3265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1332</v>
      </c>
      <c r="D42" s="1944"/>
      <c r="E42" s="179">
        <f t="shared" si="4"/>
        <v>0</v>
      </c>
      <c r="F42" s="722">
        <f>SUMIF(修正!A59:A70,G2,修正!G59:G70)</f>
        <v>0.15</v>
      </c>
      <c r="G42" s="179">
        <f>ROUND(IF(E2="工业",C42*$M$42,C42*$M$41),0)</f>
        <v>333</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1" t="s">
        <v>2122</v>
      </c>
      <c r="C44" s="333">
        <f>ROUND(POWER(1+E44,H44-G44)*(POWER(1+E44,G44)-1)/(POWER(1+E44,H44)-1),4)</f>
        <v>0.61890000000000001</v>
      </c>
      <c r="D44" s="163" t="s">
        <v>1999</v>
      </c>
      <c r="E44" s="1990">
        <f>G24</f>
        <v>5.5E-2</v>
      </c>
      <c r="F44" s="163" t="s">
        <v>2008</v>
      </c>
      <c r="G44" s="175">
        <f>项目基本情况!D15</f>
        <v>16.04</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4.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6" t="s">
        <v>2043</v>
      </c>
      <c r="B48" s="1967">
        <f>1+E50</f>
        <v>1.052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7.5">
      <c r="A50" s="1969" t="s">
        <v>2052</v>
      </c>
      <c r="B50" s="1972" t="str">
        <f>估价对象房地状况!C4</f>
        <v>估价对象位于XX商圈，周边商业氛围成熟，人流量大，商业繁华度好</v>
      </c>
      <c r="C50" s="1886" t="s">
        <v>3507</v>
      </c>
      <c r="D50" s="1001">
        <f t="shared" ref="D50:D58" si="7">SUMIF($J$49:$N$49,C50,J50:N50)</f>
        <v>1.4999999999999999E-2</v>
      </c>
      <c r="E50" s="701">
        <f>ROUND(SUM(D50:D58),4)</f>
        <v>5.1999999999999998E-2</v>
      </c>
      <c r="F50" s="1674">
        <f>IF(E2="商业",SUMIF(L1:L12,G2,N1:N12),"——")</f>
        <v>0.1</v>
      </c>
      <c r="G50" s="999">
        <v>1.4999999999999999E-2</v>
      </c>
      <c r="H50" s="1002">
        <f t="shared" ref="H50:H58" si="8">IFERROR(ROUNDDOWN($F$50*I50/2,4),"——")</f>
        <v>1.4999999999999999E-2</v>
      </c>
      <c r="I50" s="3066">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50">
      <c r="A51" s="1969" t="s">
        <v>2053</v>
      </c>
      <c r="B51" s="1261" t="str">
        <f>估价对象房地状况!C18</f>
        <v>估价对象周边道路状况、公共交通通达情况、停车便捷程度，综合评价交通便捷度较好</v>
      </c>
      <c r="C51" s="1886" t="s">
        <v>3507</v>
      </c>
      <c r="D51" s="1001">
        <f t="shared" si="7"/>
        <v>1.0999999999999999E-2</v>
      </c>
      <c r="E51" s="702"/>
      <c r="F51" s="1674"/>
      <c r="G51" s="999">
        <v>1.0999999999999999E-2</v>
      </c>
      <c r="H51" s="1002">
        <f t="shared" si="8"/>
        <v>1.0999999999999999E-2</v>
      </c>
      <c r="I51" s="3066">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39">
      <c r="A52" s="3068" t="s">
        <v>3267</v>
      </c>
      <c r="B52" s="1261">
        <f>估价对象房地状况!C19</f>
        <v>0</v>
      </c>
      <c r="C52" s="1886" t="s">
        <v>3508</v>
      </c>
      <c r="D52" s="1001">
        <f t="shared" si="7"/>
        <v>0</v>
      </c>
      <c r="E52" s="702"/>
      <c r="F52" s="1674"/>
      <c r="G52" s="999">
        <v>6.0000000000000001E-3</v>
      </c>
      <c r="H52" s="1002">
        <f t="shared" si="8"/>
        <v>6.0000000000000001E-3</v>
      </c>
      <c r="I52" s="3066">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9">
      <c r="A53" s="1969" t="s">
        <v>2054</v>
      </c>
      <c r="B53" s="1973" t="s">
        <v>2055</v>
      </c>
      <c r="C53" s="1886" t="s">
        <v>3507</v>
      </c>
      <c r="D53" s="1001">
        <f t="shared" si="7"/>
        <v>2.5000000000000001E-3</v>
      </c>
      <c r="E53" s="702"/>
      <c r="F53" s="1674"/>
      <c r="G53" s="999">
        <v>2.5000000000000001E-3</v>
      </c>
      <c r="H53" s="1002">
        <f t="shared" si="8"/>
        <v>2.5000000000000001E-3</v>
      </c>
      <c r="I53" s="3066">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6">
      <c r="A54" s="1969" t="s">
        <v>2056</v>
      </c>
      <c r="B54" s="1261">
        <f>估价对象房地状况!C24</f>
        <v>0</v>
      </c>
      <c r="C54" s="1886" t="s">
        <v>3509</v>
      </c>
      <c r="D54" s="1001">
        <f t="shared" si="7"/>
        <v>8.0000000000000002E-3</v>
      </c>
      <c r="E54" s="702"/>
      <c r="F54" s="1674"/>
      <c r="G54" s="999">
        <v>4.0000000000000001E-3</v>
      </c>
      <c r="H54" s="1002">
        <f t="shared" si="8"/>
        <v>4.0000000000000001E-3</v>
      </c>
      <c r="I54" s="3066">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26">
      <c r="A55" s="1969" t="s">
        <v>2057</v>
      </c>
      <c r="B55" s="1974" t="s">
        <v>2058</v>
      </c>
      <c r="C55" s="1886" t="s">
        <v>3507</v>
      </c>
      <c r="D55" s="1001">
        <f t="shared" si="7"/>
        <v>2.5000000000000001E-3</v>
      </c>
      <c r="E55" s="702"/>
      <c r="F55" s="1674"/>
      <c r="G55" s="999">
        <v>2.5000000000000001E-3</v>
      </c>
      <c r="H55" s="1002">
        <f t="shared" si="8"/>
        <v>2.5000000000000001E-3</v>
      </c>
      <c r="I55" s="3066">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6">
      <c r="A56" s="1975" t="s">
        <v>2059</v>
      </c>
      <c r="B56" s="1239" t="str">
        <f>估价对象房地状况!C21</f>
        <v>估价对象所在区域公共配套设施齐备情况</v>
      </c>
      <c r="C56" s="1886" t="s">
        <v>3507</v>
      </c>
      <c r="D56" s="1001">
        <f t="shared" si="7"/>
        <v>2.5000000000000001E-3</v>
      </c>
      <c r="E56" s="702"/>
      <c r="F56" s="1674"/>
      <c r="G56" s="999">
        <v>2.5000000000000001E-3</v>
      </c>
      <c r="H56" s="1002">
        <f t="shared" si="8"/>
        <v>2.5000000000000001E-3</v>
      </c>
      <c r="I56" s="3066">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6">
      <c r="A57" s="1975" t="s">
        <v>2060</v>
      </c>
      <c r="B57" s="1261" t="str">
        <f>估价对象房地状况!C22</f>
        <v>估价对象所在区域基础设施水平</v>
      </c>
      <c r="C57" s="1886" t="s">
        <v>3509</v>
      </c>
      <c r="D57" s="1001">
        <f t="shared" si="7"/>
        <v>8.0000000000000002E-3</v>
      </c>
      <c r="E57" s="702"/>
      <c r="F57" s="1674"/>
      <c r="G57" s="999">
        <v>4.0000000000000001E-3</v>
      </c>
      <c r="H57" s="1002">
        <f t="shared" si="8"/>
        <v>4.0000000000000001E-3</v>
      </c>
      <c r="I57" s="3066">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26.5" thickBot="1">
      <c r="A58" s="1976" t="s">
        <v>2061</v>
      </c>
      <c r="B58" s="1977" t="str">
        <f>估价对象房地状况!C20</f>
        <v>区域自然环境：；人文环境；综合评价环境状况一般</v>
      </c>
      <c r="C58" s="1886" t="s">
        <v>3507</v>
      </c>
      <c r="D58" s="1001">
        <f t="shared" si="7"/>
        <v>2.5000000000000001E-3</v>
      </c>
      <c r="E58" s="703"/>
      <c r="F58" s="1674"/>
      <c r="G58" s="999">
        <v>2.5000000000000001E-3</v>
      </c>
      <c r="H58" s="1002">
        <f t="shared" si="8"/>
        <v>2.5000000000000001E-3</v>
      </c>
      <c r="I58" s="3067">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7.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0">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9">
      <c r="A63" s="3068" t="s">
        <v>3267</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9">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6">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
      <c r="A67" s="1969" t="s">
        <v>2059</v>
      </c>
      <c r="B67" s="1239" t="str">
        <f>估价对象房地状况!C21</f>
        <v>估价对象所在区域公共配套设施齐备情况</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0">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0">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9">
      <c r="A74" s="3068" t="s">
        <v>3267</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2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2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26.5"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
      <c r="A81" s="1966" t="s">
        <v>2069</v>
      </c>
      <c r="B81" s="1967">
        <f>1+E83</f>
        <v>1</v>
      </c>
      <c r="C81" s="698"/>
      <c r="D81" s="698"/>
      <c r="E81" s="699"/>
      <c r="F81" s="1968"/>
      <c r="G81" s="3"/>
      <c r="H81" s="3"/>
      <c r="I81" s="3"/>
      <c r="J81" s="4"/>
      <c r="K81" s="4"/>
      <c r="L81" s="4"/>
      <c r="M81" s="4"/>
      <c r="N81" s="4"/>
      <c r="Z81" s="1844"/>
      <c r="AA81" s="1894"/>
      <c r="AG81" s="1057"/>
      <c r="AK81" s="1894"/>
    </row>
    <row r="82" spans="1:37" ht="26">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7.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0">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39">
      <c r="A85" s="3068" t="s">
        <v>3268</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4">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2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38"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4">
      <c r="A91" s="3076" t="s">
        <v>2612</v>
      </c>
      <c r="B91" s="3077">
        <f>1+E93</f>
        <v>1</v>
      </c>
      <c r="C91" s="3070"/>
      <c r="D91" s="3071"/>
      <c r="E91" s="1674"/>
      <c r="F91" s="1674"/>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48" t="s">
        <v>3287</v>
      </c>
      <c r="K92" s="2148" t="s">
        <v>3288</v>
      </c>
      <c r="L92" s="2148" t="s">
        <v>3289</v>
      </c>
      <c r="M92" s="2148" t="s">
        <v>3290</v>
      </c>
      <c r="N92" s="2148" t="s">
        <v>3291</v>
      </c>
    </row>
    <row r="93" spans="1:37" ht="26">
      <c r="A93" s="3068" t="s">
        <v>3270</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0">
      <c r="A94" s="3078" t="s">
        <v>3271</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9">
      <c r="A95" s="3068" t="s">
        <v>3267</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9">
      <c r="A96" s="3078" t="s">
        <v>3272</v>
      </c>
      <c r="B96" s="3084" t="s">
        <v>3283</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6">
      <c r="A97" s="3078" t="s">
        <v>3273</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6">
      <c r="A98" s="3078" t="s">
        <v>3274</v>
      </c>
      <c r="B98" s="3085" t="s">
        <v>3284</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
      <c r="A99" s="3078" t="s">
        <v>3275</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
      <c r="A100" s="3078" t="s">
        <v>3276</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6.5" thickBot="1">
      <c r="A101" s="3079" t="s">
        <v>3277</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ht="13">
      <c r="A103" s="3468" t="s">
        <v>3292</v>
      </c>
      <c r="B103" s="3468"/>
      <c r="C103" s="3468"/>
      <c r="D103" s="3468"/>
      <c r="E103" s="3468"/>
      <c r="F103" s="3468"/>
      <c r="G103" s="3468"/>
      <c r="H103" s="3468"/>
      <c r="I103" s="3468"/>
      <c r="J103" s="3468"/>
      <c r="K103" s="1666"/>
      <c r="L103" s="1666"/>
      <c r="M103" s="1666"/>
      <c r="N103" s="1666"/>
    </row>
    <row r="104" spans="1:14" ht="13">
      <c r="A104" s="3469" t="s">
        <v>3293</v>
      </c>
      <c r="B104" s="3469" t="s">
        <v>3294</v>
      </c>
      <c r="C104" s="3088" t="s">
        <v>3295</v>
      </c>
      <c r="D104" s="3089"/>
      <c r="E104" s="3089"/>
      <c r="F104" s="3089"/>
      <c r="G104" s="3089"/>
      <c r="H104" s="3089"/>
      <c r="I104" s="3089"/>
      <c r="J104" s="3090"/>
      <c r="K104" s="3091"/>
      <c r="L104" s="3091"/>
      <c r="M104" s="3091"/>
      <c r="N104" s="3091"/>
    </row>
    <row r="105" spans="1:14" ht="13">
      <c r="A105" s="3469"/>
      <c r="B105" s="3469"/>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55"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56"/>
      <c r="B111" s="3092" t="s">
        <v>3266</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57"/>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ht="13">
      <c r="A113" s="3458" t="s">
        <v>3309</v>
      </c>
      <c r="B113" s="3458"/>
      <c r="C113" s="3458"/>
      <c r="D113" s="3458"/>
      <c r="E113" s="3458"/>
      <c r="F113" s="3458"/>
      <c r="G113" s="3458"/>
      <c r="H113" s="3458"/>
      <c r="I113" s="3458"/>
      <c r="J113" s="3458"/>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 thickBot="1">
      <c r="A115" s="3095"/>
      <c r="B115" s="3095"/>
      <c r="C115" s="3095"/>
      <c r="D115" s="3095"/>
      <c r="E115" s="3095"/>
      <c r="F115" s="3095"/>
      <c r="G115" s="3095"/>
      <c r="H115" s="3095"/>
      <c r="I115" s="3095"/>
      <c r="J115" s="3095"/>
      <c r="K115" s="1963"/>
      <c r="L115" s="3095"/>
      <c r="M115" s="3095"/>
      <c r="N115" s="3095"/>
    </row>
    <row r="116" spans="1:14" ht="26"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五级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7" priority="6" stopIfTrue="1" operator="notEqual">
      <formula>"——"</formula>
    </cfRule>
  </conditionalFormatting>
  <conditionalFormatting sqref="F61">
    <cfRule type="cellIs" dxfId="26" priority="5" stopIfTrue="1" operator="notEqual">
      <formula>"——"</formula>
    </cfRule>
  </conditionalFormatting>
  <conditionalFormatting sqref="F72">
    <cfRule type="cellIs" dxfId="25" priority="4" stopIfTrue="1" operator="notEqual">
      <formula>"——"</formula>
    </cfRule>
  </conditionalFormatting>
  <conditionalFormatting sqref="F83">
    <cfRule type="cellIs" dxfId="24" priority="3" stopIfTrue="1" operator="notEqual">
      <formula>"——"</formula>
    </cfRule>
  </conditionalFormatting>
  <conditionalFormatting sqref="H50:H58 H61:H69 H72:H80 H83:H91">
    <cfRule type="cellIs" dxfId="23" priority="2" operator="notEqual">
      <formula>"——"</formula>
    </cfRule>
  </conditionalFormatting>
  <conditionalFormatting sqref="H93:H101">
    <cfRule type="cellIs" dxfId="22"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1680F-35EE-4CA5-A84C-650E2AECDB93}">
  <sheetPr>
    <tabColor rgb="FF7030A0"/>
  </sheetPr>
  <dimension ref="A1:R34"/>
  <sheetViews>
    <sheetView topLeftCell="C1" workbookViewId="0">
      <selection activeCell="O10" sqref="O10"/>
    </sheetView>
  </sheetViews>
  <sheetFormatPr defaultRowHeight="14"/>
  <cols>
    <col min="2" max="2" width="21.90625" customWidth="1"/>
    <col min="17" max="17" width="12.36328125" customWidth="1"/>
    <col min="19" max="19" width="11.36328125" bestFit="1" customWidth="1"/>
  </cols>
  <sheetData>
    <row r="1" spans="1:18">
      <c r="A1" s="3508"/>
      <c r="B1" s="3509" t="s">
        <v>3450</v>
      </c>
      <c r="C1" s="3509" t="s">
        <v>3449</v>
      </c>
      <c r="D1" s="3509" t="s">
        <v>3448</v>
      </c>
      <c r="E1" s="3509" t="s">
        <v>2543</v>
      </c>
      <c r="F1" s="3509" t="s">
        <v>3436</v>
      </c>
      <c r="G1" s="3508"/>
      <c r="H1" s="3508"/>
      <c r="I1" s="3508"/>
      <c r="J1" s="3508"/>
      <c r="K1" s="3508"/>
      <c r="L1" s="3508"/>
      <c r="M1" s="3508"/>
    </row>
    <row r="2" spans="1:18">
      <c r="A2" s="3510" t="s">
        <v>3451</v>
      </c>
      <c r="B2" s="3509" t="s">
        <v>3420</v>
      </c>
      <c r="C2" s="3509" t="s">
        <v>3421</v>
      </c>
      <c r="D2" s="3509" t="s">
        <v>3422</v>
      </c>
      <c r="E2" s="3509" t="s">
        <v>3423</v>
      </c>
      <c r="F2" s="3508">
        <v>9951.27</v>
      </c>
      <c r="G2" s="3508"/>
      <c r="H2" s="3508"/>
      <c r="I2" s="3508"/>
      <c r="J2" s="3508"/>
      <c r="K2" s="3508"/>
      <c r="L2" s="3508"/>
      <c r="M2" s="3508"/>
    </row>
    <row r="3" spans="1:18">
      <c r="A3" s="3508"/>
      <c r="B3" s="3508"/>
      <c r="C3" s="3508"/>
      <c r="D3" s="3508"/>
      <c r="E3" s="3508"/>
      <c r="F3" s="3508"/>
      <c r="G3" s="3508"/>
      <c r="H3" s="3508"/>
      <c r="I3" s="3508"/>
      <c r="J3" s="3508"/>
      <c r="K3" s="3508"/>
      <c r="L3" s="3508"/>
      <c r="M3" s="3508"/>
    </row>
    <row r="4" spans="1:18">
      <c r="A4" s="3508"/>
      <c r="B4" s="3508"/>
      <c r="C4" s="3508"/>
      <c r="D4" s="3508"/>
      <c r="E4" s="3509" t="s">
        <v>3424</v>
      </c>
      <c r="F4" s="3509" t="s">
        <v>3426</v>
      </c>
      <c r="G4" s="3509" t="s">
        <v>3428</v>
      </c>
      <c r="H4" s="3509" t="s">
        <v>3432</v>
      </c>
      <c r="I4" s="3509" t="s">
        <v>3434</v>
      </c>
      <c r="J4" s="3509" t="s">
        <v>3435</v>
      </c>
      <c r="K4" s="3509" t="s">
        <v>3436</v>
      </c>
      <c r="L4" s="3508"/>
      <c r="M4" s="3509" t="s">
        <v>3437</v>
      </c>
    </row>
    <row r="5" spans="1:18">
      <c r="A5" s="3508"/>
      <c r="B5" s="3508"/>
      <c r="C5" s="3508"/>
      <c r="D5" s="3508"/>
      <c r="E5" s="3509" t="s">
        <v>3425</v>
      </c>
      <c r="F5" s="3509" t="s">
        <v>3427</v>
      </c>
      <c r="G5" s="3509" t="s">
        <v>3429</v>
      </c>
      <c r="H5" s="3509" t="s">
        <v>3433</v>
      </c>
      <c r="I5" s="3508">
        <v>2005</v>
      </c>
      <c r="J5" s="3508">
        <v>1</v>
      </c>
      <c r="K5" s="3508">
        <v>2228.25</v>
      </c>
      <c r="L5" s="3508">
        <v>0.5</v>
      </c>
      <c r="M5" s="3508">
        <v>2543.6379999999999</v>
      </c>
      <c r="Q5" s="1404" t="s">
        <v>3505</v>
      </c>
      <c r="R5">
        <f>M5+M15+M25+M31</f>
        <v>8947.7139999999999</v>
      </c>
    </row>
    <row r="6" spans="1:18">
      <c r="A6" s="3508"/>
      <c r="B6" s="3508"/>
      <c r="C6" s="3508"/>
      <c r="D6" s="3508"/>
      <c r="E6" s="3508"/>
      <c r="F6" s="3508">
        <v>1</v>
      </c>
      <c r="G6" s="3509" t="s">
        <v>3430</v>
      </c>
      <c r="H6" s="3509" t="s">
        <v>3433</v>
      </c>
      <c r="I6" s="3508">
        <v>2005</v>
      </c>
      <c r="J6" s="3508">
        <v>1</v>
      </c>
      <c r="K6" s="3508">
        <v>2154.46</v>
      </c>
      <c r="L6" s="3508">
        <v>1</v>
      </c>
      <c r="M6" s="3508"/>
      <c r="N6" s="3167" t="s">
        <v>3510</v>
      </c>
      <c r="O6" s="3156">
        <f>K5</f>
        <v>2228.25</v>
      </c>
      <c r="Q6" s="1404" t="s">
        <v>3504</v>
      </c>
      <c r="R6">
        <f>F2+F13+F23</f>
        <v>20244.170000000002</v>
      </c>
    </row>
    <row r="7" spans="1:18">
      <c r="A7" s="3508"/>
      <c r="B7" s="3508"/>
      <c r="C7" s="3508"/>
      <c r="D7" s="3508"/>
      <c r="E7" s="3508"/>
      <c r="F7" s="3508">
        <v>2</v>
      </c>
      <c r="G7" s="3509" t="s">
        <v>3431</v>
      </c>
      <c r="H7" s="3509" t="s">
        <v>3433</v>
      </c>
      <c r="I7" s="3508">
        <v>2005</v>
      </c>
      <c r="J7" s="3508">
        <v>1</v>
      </c>
      <c r="K7" s="3508">
        <v>2784.28</v>
      </c>
      <c r="L7" s="3508">
        <v>0.7</v>
      </c>
      <c r="M7" s="3508"/>
      <c r="N7" s="3167" t="s">
        <v>3511</v>
      </c>
      <c r="O7" s="3156">
        <f>K6+K7+K8</f>
        <v>7723.02</v>
      </c>
    </row>
    <row r="8" spans="1:18">
      <c r="A8" s="3508"/>
      <c r="B8" s="3508"/>
      <c r="C8" s="3508"/>
      <c r="D8" s="3508"/>
      <c r="E8" s="3508"/>
      <c r="F8" s="3508">
        <v>3</v>
      </c>
      <c r="G8" s="3509" t="s">
        <v>3441</v>
      </c>
      <c r="H8" s="3509" t="s">
        <v>3433</v>
      </c>
      <c r="I8" s="3508">
        <v>2005</v>
      </c>
      <c r="J8" s="3508">
        <v>1</v>
      </c>
      <c r="K8" s="3508">
        <v>2784.28</v>
      </c>
      <c r="L8" s="3508">
        <v>0.6</v>
      </c>
      <c r="M8" s="3508"/>
    </row>
    <row r="9" spans="1:18">
      <c r="L9">
        <f>(K5*L5+K6*L6+K7*L7+K8*L8)/F2</f>
        <v>0.69218793179162053</v>
      </c>
    </row>
    <row r="10" spans="1:18">
      <c r="L10">
        <f ca="1">结果表房本1!G20/信息!L9</f>
        <v>17395.564769287077</v>
      </c>
    </row>
    <row r="12" spans="1:18">
      <c r="A12" s="3508"/>
      <c r="B12" s="3509" t="s">
        <v>3450</v>
      </c>
      <c r="C12" s="3509" t="s">
        <v>3449</v>
      </c>
      <c r="D12" s="3509" t="s">
        <v>3448</v>
      </c>
      <c r="E12" s="3509" t="s">
        <v>2543</v>
      </c>
      <c r="F12" s="3509" t="s">
        <v>3436</v>
      </c>
      <c r="G12" s="3508"/>
      <c r="H12" s="3508"/>
      <c r="I12" s="3508"/>
      <c r="J12" s="3508"/>
      <c r="K12" s="3508"/>
      <c r="L12" s="3508"/>
      <c r="M12" s="3508"/>
    </row>
    <row r="13" spans="1:18">
      <c r="A13" s="3510" t="s">
        <v>3452</v>
      </c>
      <c r="B13" s="3509" t="s">
        <v>3438</v>
      </c>
      <c r="C13" s="3509" t="s">
        <v>3421</v>
      </c>
      <c r="D13" s="3509" t="s">
        <v>3439</v>
      </c>
      <c r="E13" s="3509" t="s">
        <v>3423</v>
      </c>
      <c r="F13" s="3508">
        <v>2137.38</v>
      </c>
      <c r="G13" s="3508"/>
      <c r="H13" s="3508"/>
      <c r="I13" s="3508"/>
      <c r="J13" s="3508"/>
      <c r="K13" s="3508"/>
      <c r="L13" s="3508"/>
      <c r="M13" s="3508"/>
    </row>
    <row r="14" spans="1:18">
      <c r="A14" s="3508"/>
      <c r="B14" s="3508"/>
      <c r="C14" s="3508"/>
      <c r="D14" s="3508"/>
      <c r="E14" s="3508"/>
      <c r="F14" s="3508"/>
      <c r="G14" s="3508"/>
      <c r="H14" s="3508"/>
      <c r="I14" s="3508"/>
      <c r="J14" s="3508"/>
      <c r="K14" s="3508"/>
      <c r="L14" s="3508"/>
      <c r="M14" s="3509" t="s">
        <v>3437</v>
      </c>
    </row>
    <row r="15" spans="1:18">
      <c r="A15" s="3508"/>
      <c r="B15" s="3508"/>
      <c r="C15" s="3508"/>
      <c r="D15" s="3508"/>
      <c r="E15" s="3509" t="s">
        <v>3424</v>
      </c>
      <c r="F15" s="3509" t="s">
        <v>3426</v>
      </c>
      <c r="G15" s="3509" t="s">
        <v>3428</v>
      </c>
      <c r="H15" s="3509" t="s">
        <v>3432</v>
      </c>
      <c r="I15" s="3509" t="s">
        <v>3434</v>
      </c>
      <c r="J15" s="3509" t="s">
        <v>3435</v>
      </c>
      <c r="K15" s="3509" t="s">
        <v>3436</v>
      </c>
      <c r="L15" s="3508"/>
      <c r="M15" s="3508">
        <v>853.58</v>
      </c>
      <c r="Q15" s="3167"/>
      <c r="R15" s="3156"/>
    </row>
    <row r="16" spans="1:18">
      <c r="A16" s="3508"/>
      <c r="B16" s="3508"/>
      <c r="C16" s="3508"/>
      <c r="D16" s="3508"/>
      <c r="E16" s="3509" t="s">
        <v>3440</v>
      </c>
      <c r="F16" s="3508">
        <v>1</v>
      </c>
      <c r="G16" s="3509" t="s">
        <v>3430</v>
      </c>
      <c r="H16" s="3509" t="s">
        <v>3433</v>
      </c>
      <c r="I16" s="3508">
        <v>2005</v>
      </c>
      <c r="J16" s="3508">
        <v>1</v>
      </c>
      <c r="K16" s="3508">
        <v>200.64</v>
      </c>
      <c r="L16" s="3508"/>
      <c r="M16" s="3508"/>
      <c r="Q16" s="3167"/>
      <c r="R16" s="3156"/>
    </row>
    <row r="17" spans="1:18">
      <c r="A17" s="3508"/>
      <c r="B17" s="3508"/>
      <c r="C17" s="3508"/>
      <c r="D17" s="3508"/>
      <c r="E17" s="3508"/>
      <c r="F17" s="3508">
        <v>1</v>
      </c>
      <c r="G17" s="3509" t="s">
        <v>3431</v>
      </c>
      <c r="H17" s="3509" t="s">
        <v>3433</v>
      </c>
      <c r="I17" s="3508">
        <v>2005</v>
      </c>
      <c r="J17" s="3508">
        <v>1</v>
      </c>
      <c r="K17" s="3508">
        <v>380.73</v>
      </c>
      <c r="L17" s="3508"/>
      <c r="M17" s="3508"/>
      <c r="N17" s="3167" t="s">
        <v>3511</v>
      </c>
      <c r="O17" s="3156">
        <f>K16+K17+K18+K19</f>
        <v>2137.38</v>
      </c>
      <c r="Q17" s="3167"/>
      <c r="R17" s="3156"/>
    </row>
    <row r="18" spans="1:18">
      <c r="A18" s="3508"/>
      <c r="B18" s="3508"/>
      <c r="C18" s="3508"/>
      <c r="D18" s="3508"/>
      <c r="E18" s="3508"/>
      <c r="F18" s="3508">
        <v>2</v>
      </c>
      <c r="G18" s="3509" t="s">
        <v>3441</v>
      </c>
      <c r="H18" s="3509" t="s">
        <v>3433</v>
      </c>
      <c r="I18" s="3508">
        <v>2005</v>
      </c>
      <c r="J18" s="3508">
        <v>1</v>
      </c>
      <c r="K18" s="3508">
        <v>682.66</v>
      </c>
      <c r="L18" s="3508"/>
      <c r="M18" s="3508"/>
      <c r="Q18" s="3167"/>
      <c r="R18" s="3156"/>
    </row>
    <row r="19" spans="1:18">
      <c r="A19" s="3508"/>
      <c r="B19" s="3508"/>
      <c r="C19" s="3508"/>
      <c r="D19" s="3508"/>
      <c r="E19" s="3508"/>
      <c r="F19" s="3508">
        <v>3</v>
      </c>
      <c r="G19" s="3509" t="s">
        <v>3442</v>
      </c>
      <c r="H19" s="3509" t="s">
        <v>3433</v>
      </c>
      <c r="I19" s="3508">
        <v>2005</v>
      </c>
      <c r="J19" s="3508">
        <v>1</v>
      </c>
      <c r="K19" s="3508">
        <v>873.35</v>
      </c>
      <c r="L19" s="3508"/>
      <c r="M19" s="3508"/>
      <c r="Q19" s="3167"/>
      <c r="R19" s="3156"/>
    </row>
    <row r="20" spans="1:18">
      <c r="Q20" s="3167"/>
      <c r="R20" s="3167"/>
    </row>
    <row r="22" spans="1:18">
      <c r="A22" s="3508"/>
      <c r="B22" s="3509" t="s">
        <v>3450</v>
      </c>
      <c r="C22" s="3509" t="s">
        <v>3449</v>
      </c>
      <c r="D22" s="3509" t="s">
        <v>3448</v>
      </c>
      <c r="E22" s="3509" t="s">
        <v>2543</v>
      </c>
      <c r="F22" s="3509" t="s">
        <v>3436</v>
      </c>
      <c r="G22" s="3508"/>
      <c r="H22" s="3508"/>
      <c r="I22" s="3508"/>
      <c r="J22" s="3508"/>
      <c r="K22" s="3508"/>
      <c r="L22" s="3508"/>
      <c r="M22" s="3508"/>
    </row>
    <row r="23" spans="1:18">
      <c r="A23" s="3510" t="s">
        <v>3453</v>
      </c>
      <c r="B23" s="3509" t="s">
        <v>3443</v>
      </c>
      <c r="C23" s="3509" t="s">
        <v>3421</v>
      </c>
      <c r="D23" s="3509" t="s">
        <v>3444</v>
      </c>
      <c r="E23" s="3509" t="s">
        <v>3423</v>
      </c>
      <c r="F23" s="3508">
        <v>8155.52</v>
      </c>
      <c r="G23" s="3508"/>
      <c r="H23" s="3508"/>
      <c r="I23" s="3508"/>
      <c r="J23" s="3508"/>
      <c r="K23" s="3508"/>
      <c r="L23" s="3508"/>
      <c r="M23" s="3508"/>
    </row>
    <row r="24" spans="1:18">
      <c r="A24" s="3508"/>
      <c r="B24" s="3508"/>
      <c r="C24" s="3508"/>
      <c r="D24" s="3508"/>
      <c r="E24" s="3510" t="s">
        <v>3446</v>
      </c>
      <c r="F24" s="3508"/>
      <c r="G24" s="3508"/>
      <c r="H24" s="3508"/>
      <c r="I24" s="3508"/>
      <c r="J24" s="3508"/>
      <c r="K24" s="3508"/>
      <c r="L24" s="3508"/>
      <c r="M24" s="3509" t="s">
        <v>3437</v>
      </c>
    </row>
    <row r="25" spans="1:18">
      <c r="A25" s="3508"/>
      <c r="B25" s="3508"/>
      <c r="C25" s="3508"/>
      <c r="D25" s="3508"/>
      <c r="E25" s="3509" t="s">
        <v>3424</v>
      </c>
      <c r="F25" s="3509" t="s">
        <v>3426</v>
      </c>
      <c r="G25" s="3509" t="s">
        <v>3428</v>
      </c>
      <c r="H25" s="3509" t="s">
        <v>3432</v>
      </c>
      <c r="I25" s="3509" t="s">
        <v>3434</v>
      </c>
      <c r="J25" s="3509" t="s">
        <v>3435</v>
      </c>
      <c r="K25" s="3509" t="s">
        <v>3436</v>
      </c>
      <c r="L25" s="3508"/>
      <c r="M25" s="3508">
        <v>2775.248</v>
      </c>
      <c r="N25" s="3515" t="s">
        <v>3511</v>
      </c>
      <c r="O25" s="3156">
        <f>K26+K27+K28+K32+K33+K34</f>
        <v>8155.52</v>
      </c>
    </row>
    <row r="26" spans="1:18">
      <c r="A26" s="3508"/>
      <c r="B26" s="3508"/>
      <c r="C26" s="3508"/>
      <c r="D26" s="3508"/>
      <c r="E26" s="3509" t="s">
        <v>3445</v>
      </c>
      <c r="F26" s="3508">
        <v>1</v>
      </c>
      <c r="G26" s="3509" t="s">
        <v>3423</v>
      </c>
      <c r="H26" s="3509" t="s">
        <v>3433</v>
      </c>
      <c r="I26" s="3508">
        <v>2005</v>
      </c>
      <c r="J26" s="3508">
        <v>1</v>
      </c>
      <c r="K26" s="3508">
        <v>1291.25</v>
      </c>
      <c r="L26" s="3508"/>
      <c r="M26" s="3508"/>
    </row>
    <row r="27" spans="1:18">
      <c r="A27" s="3508"/>
      <c r="B27" s="3508"/>
      <c r="C27" s="3508"/>
      <c r="D27" s="3508"/>
      <c r="E27" s="3508"/>
      <c r="F27" s="3508">
        <v>2</v>
      </c>
      <c r="G27" s="3509" t="s">
        <v>3423</v>
      </c>
      <c r="H27" s="3509" t="s">
        <v>3433</v>
      </c>
      <c r="I27" s="3508">
        <v>2005</v>
      </c>
      <c r="J27" s="3508">
        <v>1</v>
      </c>
      <c r="K27" s="3508">
        <v>1395.63</v>
      </c>
      <c r="L27" s="3508"/>
      <c r="M27" s="3508"/>
    </row>
    <row r="28" spans="1:18">
      <c r="A28" s="3508"/>
      <c r="B28" s="3508"/>
      <c r="C28" s="3508"/>
      <c r="D28" s="3508"/>
      <c r="E28" s="3508"/>
      <c r="F28" s="3508">
        <v>3</v>
      </c>
      <c r="G28" s="3509" t="s">
        <v>3423</v>
      </c>
      <c r="H28" s="3509" t="s">
        <v>3433</v>
      </c>
      <c r="I28" s="3508">
        <v>2005</v>
      </c>
      <c r="J28" s="3508">
        <v>1</v>
      </c>
      <c r="K28" s="3508">
        <v>1395.63</v>
      </c>
      <c r="L28" s="3508"/>
      <c r="M28" s="3508"/>
    </row>
    <row r="29" spans="1:18">
      <c r="A29" s="3508"/>
      <c r="B29" s="3508"/>
      <c r="C29" s="3508"/>
      <c r="D29" s="3508"/>
      <c r="E29" s="3508"/>
      <c r="F29" s="3508"/>
      <c r="G29" s="3508"/>
      <c r="H29" s="3508"/>
      <c r="I29" s="3508"/>
      <c r="J29" s="3508"/>
      <c r="K29" s="3508"/>
      <c r="L29" s="3508"/>
      <c r="M29" s="3508"/>
    </row>
    <row r="30" spans="1:18">
      <c r="A30" s="3508"/>
      <c r="B30" s="3508"/>
      <c r="C30" s="3508"/>
      <c r="D30" s="3508"/>
      <c r="E30" s="3510" t="s">
        <v>3447</v>
      </c>
      <c r="F30" s="3508"/>
      <c r="G30" s="3508"/>
      <c r="H30" s="3508"/>
      <c r="I30" s="3508"/>
      <c r="J30" s="3508"/>
      <c r="K30" s="3508"/>
      <c r="L30" s="3508"/>
      <c r="M30" s="3509" t="s">
        <v>3437</v>
      </c>
    </row>
    <row r="31" spans="1:18">
      <c r="A31" s="3508"/>
      <c r="B31" s="3508"/>
      <c r="C31" s="3508"/>
      <c r="D31" s="3508"/>
      <c r="E31" s="3509" t="s">
        <v>3424</v>
      </c>
      <c r="F31" s="3509" t="s">
        <v>3426</v>
      </c>
      <c r="G31" s="3509" t="s">
        <v>3428</v>
      </c>
      <c r="H31" s="3509" t="s">
        <v>3432</v>
      </c>
      <c r="I31" s="3509" t="s">
        <v>3434</v>
      </c>
      <c r="J31" s="3509" t="s">
        <v>3435</v>
      </c>
      <c r="K31" s="3509" t="s">
        <v>3436</v>
      </c>
      <c r="L31" s="3508"/>
      <c r="M31" s="3508">
        <v>2775.248</v>
      </c>
    </row>
    <row r="32" spans="1:18">
      <c r="A32" s="3508"/>
      <c r="B32" s="3508"/>
      <c r="C32" s="3508"/>
      <c r="D32" s="3508"/>
      <c r="E32" s="3509" t="s">
        <v>3445</v>
      </c>
      <c r="F32" s="3508">
        <v>1</v>
      </c>
      <c r="G32" s="3509" t="s">
        <v>3423</v>
      </c>
      <c r="H32" s="3509" t="s">
        <v>3433</v>
      </c>
      <c r="I32" s="3508">
        <v>2005</v>
      </c>
      <c r="J32" s="3508">
        <v>1</v>
      </c>
      <c r="K32" s="3508">
        <v>1288.01</v>
      </c>
      <c r="L32" s="3508"/>
      <c r="M32" s="3508"/>
    </row>
    <row r="33" spans="1:13">
      <c r="A33" s="3508"/>
      <c r="B33" s="3508"/>
      <c r="C33" s="3508"/>
      <c r="D33" s="3508"/>
      <c r="E33" s="3508"/>
      <c r="F33" s="3508">
        <v>2</v>
      </c>
      <c r="G33" s="3509" t="s">
        <v>3423</v>
      </c>
      <c r="H33" s="3509" t="s">
        <v>3433</v>
      </c>
      <c r="I33" s="3508">
        <v>2005</v>
      </c>
      <c r="J33" s="3508">
        <v>1</v>
      </c>
      <c r="K33" s="3508">
        <v>1392.5</v>
      </c>
      <c r="L33" s="3508"/>
      <c r="M33" s="3508"/>
    </row>
    <row r="34" spans="1:13">
      <c r="A34" s="3508"/>
      <c r="B34" s="3508"/>
      <c r="C34" s="3508"/>
      <c r="D34" s="3508"/>
      <c r="E34" s="3508"/>
      <c r="F34" s="3508">
        <v>3</v>
      </c>
      <c r="G34" s="3509" t="s">
        <v>3423</v>
      </c>
      <c r="H34" s="3509" t="s">
        <v>3433</v>
      </c>
      <c r="I34" s="3508">
        <v>2005</v>
      </c>
      <c r="J34" s="3508">
        <v>1</v>
      </c>
      <c r="K34" s="3508">
        <v>1392.5</v>
      </c>
      <c r="L34" s="3508"/>
      <c r="M34" s="3508"/>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E1DF6-3417-4961-8150-9BCE91FBC8DD}">
  <sheetPr>
    <tabColor rgb="FF7030A0"/>
  </sheetPr>
  <dimension ref="A1:X283"/>
  <sheetViews>
    <sheetView workbookViewId="0">
      <selection activeCell="Q20" sqref="Q20"/>
    </sheetView>
  </sheetViews>
  <sheetFormatPr defaultRowHeight="14"/>
  <sheetData>
    <row r="1" spans="1:24">
      <c r="A1" s="3156" t="s">
        <v>3455</v>
      </c>
      <c r="T1" s="1404" t="s">
        <v>3462</v>
      </c>
    </row>
    <row r="2" spans="1:24">
      <c r="P2" s="1404" t="s">
        <v>3459</v>
      </c>
      <c r="Q2" s="1404" t="s">
        <v>3458</v>
      </c>
      <c r="R2">
        <v>3.5</v>
      </c>
      <c r="T2">
        <f>R2</f>
        <v>3.5</v>
      </c>
      <c r="W2" s="1404" t="s">
        <v>3458</v>
      </c>
      <c r="X2">
        <v>100</v>
      </c>
    </row>
    <row r="3" spans="1:24">
      <c r="P3" s="1404" t="s">
        <v>3460</v>
      </c>
      <c r="Q3" s="1404" t="s">
        <v>3458</v>
      </c>
      <c r="R3">
        <v>3.5</v>
      </c>
      <c r="T3">
        <f>R3</f>
        <v>3.5</v>
      </c>
      <c r="W3" s="1404" t="s">
        <v>3463</v>
      </c>
      <c r="X3">
        <v>80</v>
      </c>
    </row>
    <row r="4" spans="1:24">
      <c r="P4" s="1404" t="s">
        <v>3461</v>
      </c>
      <c r="Q4" s="1404" t="s">
        <v>3456</v>
      </c>
      <c r="R4">
        <v>3.14</v>
      </c>
      <c r="T4">
        <f>ROUND(R4/X4*X2,2)</f>
        <v>3.49</v>
      </c>
      <c r="W4" s="1404" t="s">
        <v>3456</v>
      </c>
      <c r="X4">
        <f>ROUND((X2+X3)/2,2)</f>
        <v>90</v>
      </c>
    </row>
    <row r="41" spans="1:18">
      <c r="A41" s="3168" t="s">
        <v>3454</v>
      </c>
    </row>
    <row r="48" spans="1:18">
      <c r="Q48" s="1404" t="s">
        <v>3458</v>
      </c>
      <c r="R48">
        <v>5</v>
      </c>
    </row>
    <row r="88" spans="1:16">
      <c r="A88" s="3167" t="s">
        <v>3457</v>
      </c>
    </row>
    <row r="92" spans="1:16">
      <c r="O92" s="1404" t="s">
        <v>3456</v>
      </c>
      <c r="P92">
        <v>3.14</v>
      </c>
    </row>
    <row r="127" spans="1:1">
      <c r="A127" s="1404" t="s">
        <v>3464</v>
      </c>
    </row>
    <row r="165" spans="1:1">
      <c r="A165" t="s">
        <v>3465</v>
      </c>
    </row>
    <row r="226" spans="1:1">
      <c r="A226" s="3506" t="s">
        <v>3466</v>
      </c>
    </row>
    <row r="283" spans="1:1">
      <c r="A283" s="3156" t="s">
        <v>3467</v>
      </c>
    </row>
  </sheetData>
  <phoneticPr fontId="134" type="noConversion"/>
  <hyperlinks>
    <hyperlink ref="A41" r:id="rId1" xr:uid="{CA1A7545-6EF8-4251-A758-A76161FE54EE}"/>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R28" sqref="R2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3" t="s">
        <v>3512</v>
      </c>
      <c r="C1" s="190"/>
      <c r="D1" s="190"/>
      <c r="E1" s="190"/>
      <c r="F1" s="190"/>
      <c r="G1" s="1061">
        <f>MATCH(B1,'数据-取费表'!A6:A16,0)+5</f>
        <v>6</v>
      </c>
    </row>
    <row r="2" spans="1:9" s="192" customFormat="1" ht="18" customHeight="1">
      <c r="A2" s="193" t="s">
        <v>1462</v>
      </c>
      <c r="B2" s="194">
        <f ca="1">IF(D2="——",C52,C52-E2)</f>
        <v>17851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17938</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10488</v>
      </c>
      <c r="D5" s="203" t="s">
        <v>1469</v>
      </c>
      <c r="E5" s="204" t="s">
        <v>1470</v>
      </c>
      <c r="F5" s="204" t="s">
        <v>1471</v>
      </c>
      <c r="G5" s="205"/>
    </row>
    <row r="6" spans="1:9" s="206" customFormat="1" ht="13.5" customHeight="1">
      <c r="A6" s="731" t="s">
        <v>1472</v>
      </c>
      <c r="B6" s="207" t="s">
        <v>1473</v>
      </c>
      <c r="C6" s="208">
        <f>ROUND((基准地价修正!C37*信息!K5+基准地价修正!T2*信息!K6+基准地价修正!T3*信息!K7+基准地价修正!T4*信息!K8)/10000,0)</f>
        <v>9984</v>
      </c>
      <c r="D6" s="209"/>
      <c r="E6" s="210"/>
      <c r="F6" s="210"/>
      <c r="G6" s="211"/>
    </row>
    <row r="7" spans="1:9" s="206" customFormat="1" ht="13.5" customHeight="1">
      <c r="A7" s="731" t="s">
        <v>1474</v>
      </c>
      <c r="B7" s="207" t="s">
        <v>1475</v>
      </c>
      <c r="C7" s="212">
        <f>ROUND(C6*F7,0)</f>
        <v>305</v>
      </c>
      <c r="D7" s="212"/>
      <c r="E7" s="210"/>
      <c r="F7" s="213">
        <f>IF(项目基本情况!B8="出让",0,'数据-取费表'!B48+'数据-取费表'!B49)</f>
        <v>3.0499999999999999E-2</v>
      </c>
      <c r="G7" s="211"/>
    </row>
    <row r="8" spans="1:9" s="215" customFormat="1" ht="13">
      <c r="A8" s="731" t="s">
        <v>1476</v>
      </c>
      <c r="B8" s="207" t="s">
        <v>1477</v>
      </c>
      <c r="C8" s="212">
        <f ca="1">IF(G8="已包含在土地购买价格中","0",IF(B1="",'数据-取费表'!B29,IF(G9="全部缴纳",C9+C10,H9)))</f>
        <v>199</v>
      </c>
      <c r="D8" s="214"/>
      <c r="E8" s="212"/>
      <c r="F8" s="213"/>
      <c r="G8" s="1713" t="s">
        <v>3499</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3501</v>
      </c>
      <c r="H9" s="1069"/>
      <c r="I9" s="1715" t="s">
        <v>1479</v>
      </c>
    </row>
    <row r="10" spans="1:9" s="206" customFormat="1" ht="13.5" customHeight="1">
      <c r="A10" s="732" t="s">
        <v>356</v>
      </c>
      <c r="B10" s="216" t="s">
        <v>1480</v>
      </c>
      <c r="C10" s="217">
        <f ca="1">ROUND(D10*E10/10000,0)</f>
        <v>199</v>
      </c>
      <c r="D10" s="794">
        <f ca="1">IF(B1="",'数据-汇总表'!E6,IF(INDIRECT("'数据-取费表'!c"&amp;$G$1)="住宅",INDIRECT("'数据-取费表'!s"&amp;$G$1),INDIRECT("'数据-取费表'!k"&amp;$G$1)+INDIRECT("'数据-取费表'!s"&amp;$G$1)))</f>
        <v>9951.27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9951.27</v>
      </c>
      <c r="E19" s="203">
        <f>'数据-取费表'!B31</f>
        <v>200</v>
      </c>
      <c r="F19" s="223"/>
      <c r="G19" s="1713" t="s">
        <v>3500</v>
      </c>
    </row>
    <row r="20" spans="1:7" s="206" customFormat="1" ht="13.5" customHeight="1">
      <c r="A20" s="247" t="s">
        <v>1493</v>
      </c>
      <c r="B20" s="202" t="s">
        <v>1494</v>
      </c>
      <c r="C20" s="224">
        <f ca="1">ROUND((C5+C19)*F20,0)</f>
        <v>210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674</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667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6">
      <c r="A25" s="733" t="s">
        <v>1508</v>
      </c>
      <c r="B25" s="207" t="s">
        <v>1509</v>
      </c>
      <c r="C25" s="1041">
        <f ca="1">ROUND(IF('数据-取费表'!B22&lt;=1,C20*F22*'数据-取费表'!B23/2,C20*(POWER((1+F22),'数据-取费表'!B23/2)-1)),0)</f>
        <v>7</v>
      </c>
      <c r="D25" s="230"/>
      <c r="E25" s="233"/>
      <c r="F25" s="231"/>
      <c r="G25" s="234" t="s">
        <v>1510</v>
      </c>
    </row>
    <row r="26" spans="1:7" s="206" customFormat="1" ht="13">
      <c r="A26" s="733"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1605</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1605</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14058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3926</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3483</v>
      </c>
      <c r="D34" s="209"/>
      <c r="E34" s="212"/>
      <c r="F34" s="249">
        <f ca="1">IF('数据-取费表'!B24=0,1,IF(B1="",'数据-取费表'!N16,INDIRECT("'数据-取费表'!n"&amp;$G$1)))</f>
        <v>1</v>
      </c>
      <c r="G34" s="211" t="s">
        <v>1526</v>
      </c>
    </row>
    <row r="35" spans="1:7" ht="13.5" customHeight="1">
      <c r="A35" s="733" t="s">
        <v>351</v>
      </c>
      <c r="B35" s="207" t="s">
        <v>1527</v>
      </c>
      <c r="C35" s="212">
        <f ca="1">ROUND(C34*F35,0)</f>
        <v>174</v>
      </c>
      <c r="D35" s="212"/>
      <c r="E35" s="212"/>
      <c r="F35" s="251">
        <f>'数据-取费表'!B33</f>
        <v>0.05</v>
      </c>
      <c r="G35" s="211" t="s">
        <v>1528</v>
      </c>
    </row>
    <row r="36" spans="1:7" ht="26">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199</v>
      </c>
      <c r="D37" s="209">
        <f ca="1">D19</f>
        <v>9951.27</v>
      </c>
      <c r="E37" s="241">
        <f>'数据-取费表'!B35</f>
        <v>200</v>
      </c>
      <c r="F37" s="251"/>
      <c r="G37" s="253" t="s">
        <v>1532</v>
      </c>
    </row>
    <row r="38" spans="1:7" ht="13.5" customHeight="1">
      <c r="A38" s="733" t="s">
        <v>354</v>
      </c>
      <c r="B38" s="207" t="s">
        <v>1533</v>
      </c>
      <c r="C38" s="212">
        <f ca="1">ROUND(C34*F38,0)</f>
        <v>70</v>
      </c>
      <c r="D38" s="212"/>
      <c r="E38" s="212"/>
      <c r="F38" s="251">
        <f>'数据-取费表'!B36</f>
        <v>0.02</v>
      </c>
      <c r="G38" s="211" t="s">
        <v>1528</v>
      </c>
    </row>
    <row r="39" spans="1:7" s="206" customFormat="1" ht="13.5" customHeight="1">
      <c r="A39" s="247" t="s">
        <v>1534</v>
      </c>
      <c r="B39" s="202" t="s">
        <v>1535</v>
      </c>
      <c r="C39" s="224">
        <f ca="1">ROUND(C33*F20,0)</f>
        <v>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125</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123</v>
      </c>
      <c r="D42" s="230"/>
      <c r="E42" s="230"/>
      <c r="F42" s="231"/>
      <c r="G42" s="3351" t="s">
        <v>1544</v>
      </c>
    </row>
    <row r="43" spans="1:7" ht="13.5" customHeight="1">
      <c r="A43" s="733" t="s">
        <v>347</v>
      </c>
      <c r="B43" s="207" t="s">
        <v>1545</v>
      </c>
      <c r="C43" s="230">
        <f ca="1">ROUND(IF('数据-取费表'!B22&lt;=1,C39*F22*'数据-取费表'!B21/2,C39*(POWER((1+F22),'数据-取费表'!B21/2)-1)),0)</f>
        <v>2</v>
      </c>
      <c r="D43" s="230"/>
      <c r="E43" s="230"/>
      <c r="F43" s="231"/>
      <c r="G43" s="3352"/>
    </row>
    <row r="44" spans="1:7" ht="13.5" customHeight="1">
      <c r="A44" s="733" t="s">
        <v>348</v>
      </c>
      <c r="B44" s="207" t="s">
        <v>1546</v>
      </c>
      <c r="C44" s="230">
        <f ca="1">ROUND(IF('数据-取费表'!B22&lt;=1,C40*F22*'数据-取费表'!B21/2,C40*(POWER((1+F22),'数据-取费表'!B21/2)-1)),4)</f>
        <v>5.9999999999999995E-4</v>
      </c>
      <c r="D44" s="230"/>
      <c r="E44" s="230"/>
      <c r="F44" s="231"/>
      <c r="G44" s="3353"/>
    </row>
    <row r="45" spans="1:7" s="206" customFormat="1" ht="13.5" customHeight="1">
      <c r="A45" s="247" t="s">
        <v>1547</v>
      </c>
      <c r="B45" s="236" t="s">
        <v>1513</v>
      </c>
      <c r="C45" s="237">
        <f ca="1">C46</f>
        <v>601</v>
      </c>
      <c r="D45" s="227">
        <f ca="1">C47</f>
        <v>3.0000000000000001E-3</v>
      </c>
      <c r="E45" s="228" t="s">
        <v>1539</v>
      </c>
      <c r="F45" s="238">
        <f ca="1">F27</f>
        <v>0.15</v>
      </c>
      <c r="G45" s="239" t="s">
        <v>1548</v>
      </c>
    </row>
    <row r="46" spans="1:7" s="206" customFormat="1" ht="13.5" customHeight="1">
      <c r="A46" s="733" t="s">
        <v>346</v>
      </c>
      <c r="B46" s="240" t="s">
        <v>1549</v>
      </c>
      <c r="C46" s="241">
        <f ca="1">ROUND((C33+C39)*F27,0)</f>
        <v>601</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5125</v>
      </c>
      <c r="D49" s="224"/>
      <c r="E49" s="224"/>
      <c r="F49" s="256"/>
      <c r="G49" s="226" t="s">
        <v>1554</v>
      </c>
    </row>
    <row r="50" spans="1:7" s="250" customFormat="1" ht="26">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3793</v>
      </c>
      <c r="D51" s="224"/>
      <c r="E51" s="224"/>
      <c r="F51" s="256"/>
      <c r="G51" s="226" t="s">
        <v>1560</v>
      </c>
    </row>
    <row r="52" spans="1:7" s="200" customFormat="1" ht="16.5" thickBot="1">
      <c r="A52" s="257" t="s">
        <v>1561</v>
      </c>
      <c r="B52" s="258"/>
      <c r="C52" s="259">
        <f ca="1">C31+C51</f>
        <v>17851</v>
      </c>
      <c r="D52" s="258"/>
      <c r="E52" s="258"/>
      <c r="F52" s="258"/>
      <c r="G52" s="260"/>
    </row>
    <row r="55" spans="1:7" ht="15.5">
      <c r="B55" s="262" t="s">
        <v>1562</v>
      </c>
      <c r="C55" s="263"/>
    </row>
    <row r="56" spans="1:7" ht="13">
      <c r="B56" s="265" t="s">
        <v>802</v>
      </c>
      <c r="C56" s="267">
        <f ca="1">1-C57</f>
        <v>0.78800000000000003</v>
      </c>
    </row>
    <row r="57" spans="1:7" ht="13">
      <c r="B57" s="265" t="s">
        <v>803</v>
      </c>
      <c r="C57" s="266">
        <f ca="1">ROUND(C51/C52,3)</f>
        <v>0.21199999999999999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3"/>
      <c r="C1" s="1716" t="s">
        <v>1563</v>
      </c>
      <c r="D1" s="190"/>
      <c r="E1" s="190"/>
      <c r="F1" s="190"/>
      <c r="G1" s="1061">
        <f>MATCH(B1,'数据-取费表'!A6:A16,0)+5</f>
        <v>9</v>
      </c>
      <c r="H1" s="997" t="str">
        <f>IF(ISERROR(FIND("住宅",B1)),"非住宅","住宅")</f>
        <v>非住宅</v>
      </c>
    </row>
    <row r="2" spans="1:8" s="192" customFormat="1" ht="18" customHeight="1">
      <c r="A2" s="193" t="s">
        <v>1462</v>
      </c>
      <c r="B2" s="3120">
        <f ca="1">ROUND(IF(D2="——",C52/10000,C52/10000-E2),4)</f>
        <v>8378.0457000000006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4138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4048834</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ht="13">
      <c r="A8" s="731" t="s">
        <v>1476</v>
      </c>
      <c r="B8" s="207" t="s">
        <v>1477</v>
      </c>
      <c r="C8" s="212">
        <f ca="1">IF(G8="已包含在土地购买价格中",0,C9+C10)</f>
        <v>4048834</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4048834</v>
      </c>
      <c r="D10" s="794">
        <f ca="1">IF(B1="",'数据-汇总表'!E6,IF(INDIRECT("'数据-取费表'!c"&amp;$G$1)="住宅",INDIRECT("'数据-取费表'!s"&amp;$G$1),INDIRECT("'数据-取费表'!k"&amp;$G$1)+INDIRECT("'数据-取费表'!s"&amp;$G$1)))</f>
        <v>20244.170000000002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4048834</v>
      </c>
      <c r="D19" s="204">
        <f ca="1">D9+D10</f>
        <v>20244.170000000002</v>
      </c>
      <c r="E19" s="203">
        <f>'数据-取费表'!B31</f>
        <v>200</v>
      </c>
      <c r="F19" s="223"/>
      <c r="G19" s="1713"/>
    </row>
    <row r="20" spans="1:7" s="206" customFormat="1" ht="13.5" customHeight="1">
      <c r="A20" s="247" t="s">
        <v>1574</v>
      </c>
      <c r="B20" s="202" t="s">
        <v>1575</v>
      </c>
      <c r="C20" s="224">
        <f ca="1">ROUND((C5+C19)*F20,0)</f>
        <v>161953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519917</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257424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257424</v>
      </c>
      <c r="D24" s="230"/>
      <c r="E24" s="230"/>
      <c r="F24" s="231"/>
      <c r="G24" s="232" t="s">
        <v>1586</v>
      </c>
    </row>
    <row r="25" spans="1:7" s="206" customFormat="1" ht="26">
      <c r="A25" s="733" t="s">
        <v>1476</v>
      </c>
      <c r="B25" s="207" t="s">
        <v>1587</v>
      </c>
      <c r="C25" s="230">
        <f ca="1">ROUND(IF('数据-取费表'!B22&lt;=1,C20*F22*'数据-取费表'!B22/2,C20*(POWER((1+F22),'数据-取费表'!B22/2)-1)),0)</f>
        <v>5069</v>
      </c>
      <c r="D25" s="230"/>
      <c r="E25" s="233"/>
      <c r="F25" s="231"/>
      <c r="G25" s="234" t="s">
        <v>1588</v>
      </c>
    </row>
    <row r="26" spans="1:7" s="206" customFormat="1" ht="13">
      <c r="A26" s="733"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1238943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1238943</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10853083</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75500048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66776835</v>
      </c>
      <c r="D34" s="209"/>
      <c r="E34" s="212"/>
      <c r="F34" s="249"/>
      <c r="G34" s="211"/>
    </row>
    <row r="35" spans="1:7" ht="13.5" customHeight="1">
      <c r="A35" s="733" t="s">
        <v>351</v>
      </c>
      <c r="B35" s="207" t="s">
        <v>1527</v>
      </c>
      <c r="C35" s="212">
        <f ca="1">ROUND(C34*F35,0)</f>
        <v>3338842</v>
      </c>
      <c r="D35" s="212"/>
      <c r="E35" s="212"/>
      <c r="F35" s="251">
        <f>'数据-取费表'!B33</f>
        <v>0.05</v>
      </c>
      <c r="G35" s="211" t="s">
        <v>1528</v>
      </c>
    </row>
    <row r="36" spans="1:7" ht="26">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4048834</v>
      </c>
      <c r="D37" s="209">
        <f ca="1">D19</f>
        <v>20244.170000000002</v>
      </c>
      <c r="E37" s="241">
        <f>'数据-取费表'!B35</f>
        <v>200</v>
      </c>
      <c r="F37" s="251"/>
      <c r="G37" s="253"/>
    </row>
    <row r="38" spans="1:7" ht="13.5" customHeight="1">
      <c r="A38" s="733" t="s">
        <v>354</v>
      </c>
      <c r="B38" s="207" t="s">
        <v>1533</v>
      </c>
      <c r="C38" s="212">
        <f ca="1">ROUND(C34*F38,0)</f>
        <v>1335537</v>
      </c>
      <c r="D38" s="212"/>
      <c r="E38" s="212"/>
      <c r="F38" s="251">
        <f>'数据-取费表'!B36</f>
        <v>0.02</v>
      </c>
      <c r="G38" s="211" t="s">
        <v>1528</v>
      </c>
    </row>
    <row r="39" spans="1:7" s="206" customFormat="1" ht="13.5" customHeight="1">
      <c r="A39" s="247" t="s">
        <v>1534</v>
      </c>
      <c r="B39" s="202" t="s">
        <v>1535</v>
      </c>
      <c r="C39" s="224">
        <f ca="1">ROUND(C33*F20,0)</f>
        <v>1510001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2410415</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2363152</v>
      </c>
      <c r="D42" s="230"/>
      <c r="E42" s="230"/>
      <c r="F42" s="231"/>
      <c r="G42" s="3351" t="s">
        <v>1591</v>
      </c>
    </row>
    <row r="43" spans="1:7" ht="13.5" customHeight="1">
      <c r="A43" s="733" t="s">
        <v>347</v>
      </c>
      <c r="B43" s="207" t="s">
        <v>1545</v>
      </c>
      <c r="C43" s="230">
        <f ca="1">ROUND(IF('数据-取费表'!B22&lt;=1,C39*F22*'数据-取费表'!B20/2,C39*(POWER((1+F22),'数据-取费表'!B20/2)-1)),0)</f>
        <v>47263</v>
      </c>
      <c r="D43" s="230"/>
      <c r="E43" s="230"/>
      <c r="F43" s="231"/>
      <c r="G43" s="3352"/>
    </row>
    <row r="44" spans="1:7" ht="13.5" customHeight="1">
      <c r="A44" s="733" t="s">
        <v>348</v>
      </c>
      <c r="B44" s="207" t="s">
        <v>1546</v>
      </c>
      <c r="C44" s="230">
        <f ca="1">ROUND(IF('数据-取费表'!B22&lt;=1,C40*F22*'数据-取费表'!B20/2,C40*(POWER((1+F22),'数据-取费表'!B20/2)-1)),4)</f>
        <v>5.9999999999999995E-4</v>
      </c>
      <c r="D44" s="230"/>
      <c r="E44" s="230"/>
      <c r="F44" s="231"/>
      <c r="G44" s="3353"/>
    </row>
    <row r="45" spans="1:7" s="206" customFormat="1" ht="13.5" customHeight="1">
      <c r="A45" s="247" t="s">
        <v>1547</v>
      </c>
      <c r="B45" s="236" t="s">
        <v>1513</v>
      </c>
      <c r="C45" s="237">
        <f ca="1">C46</f>
        <v>11551507</v>
      </c>
      <c r="D45" s="227">
        <f ca="1">C47</f>
        <v>3.0000000000000001E-3</v>
      </c>
      <c r="E45" s="228" t="s">
        <v>1539</v>
      </c>
      <c r="F45" s="238">
        <f ca="1">F27</f>
        <v>0.15</v>
      </c>
      <c r="G45" s="239" t="s">
        <v>1548</v>
      </c>
    </row>
    <row r="46" spans="1:7" s="206" customFormat="1" ht="13.5" customHeight="1">
      <c r="A46" s="733" t="s">
        <v>346</v>
      </c>
      <c r="B46" s="240" t="s">
        <v>1549</v>
      </c>
      <c r="C46" s="241">
        <f ca="1">ROUND((C33+C39)*F27,0)</f>
        <v>11551507</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98550505</v>
      </c>
      <c r="D49" s="224"/>
      <c r="E49" s="224"/>
      <c r="F49" s="256"/>
      <c r="G49" s="226" t="s">
        <v>1554</v>
      </c>
    </row>
    <row r="50" spans="1:7" s="250" customFormat="1" ht="13.5">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72927374</v>
      </c>
      <c r="D51" s="224"/>
      <c r="E51" s="224"/>
      <c r="F51" s="256"/>
      <c r="G51" s="226" t="s">
        <v>1560</v>
      </c>
    </row>
    <row r="52" spans="1:7" s="200" customFormat="1" ht="16.5" thickBot="1">
      <c r="A52" s="257" t="s">
        <v>1561</v>
      </c>
      <c r="B52" s="258"/>
      <c r="C52" s="259">
        <f ca="1">C31+C51</f>
        <v>83780457</v>
      </c>
      <c r="D52" s="258"/>
      <c r="E52" s="258"/>
      <c r="F52" s="258"/>
      <c r="G52" s="260"/>
    </row>
    <row r="55" spans="1:7" ht="15.5">
      <c r="B55" s="262" t="s">
        <v>1562</v>
      </c>
      <c r="C55" s="263"/>
    </row>
    <row r="56" spans="1:7" ht="13">
      <c r="B56" s="265" t="s">
        <v>802</v>
      </c>
      <c r="C56" s="267">
        <f ca="1">1-C57</f>
        <v>0.13</v>
      </c>
    </row>
    <row r="57" spans="1:7" ht="13">
      <c r="B57" s="265" t="s">
        <v>803</v>
      </c>
      <c r="C57" s="266">
        <f ca="1">ROUND(C51/C52,3)</f>
        <v>0.87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4" customWidth="1"/>
    <col min="3" max="3" width="10.36328125" style="773" customWidth="1"/>
    <col min="4" max="4" width="9.90625" style="734" customWidth="1"/>
    <col min="5" max="5" width="9.453125" style="687" customWidth="1"/>
    <col min="6" max="6" width="10.08984375" style="734" customWidth="1"/>
    <col min="7" max="7" width="10.7265625" style="734" customWidth="1"/>
    <col min="8" max="8" width="10" style="734" customWidth="1"/>
    <col min="9" max="11" width="9.453125" style="734" customWidth="1"/>
    <col min="12" max="12" width="9" style="734" customWidth="1"/>
    <col min="13" max="13" width="10.453125" style="734" bestFit="1" customWidth="1"/>
    <col min="14" max="254" width="9" style="734" customWidth="1"/>
    <col min="255" max="16384" width="6.6328125" style="734"/>
  </cols>
  <sheetData>
    <row r="1" spans="1:33" ht="21">
      <c r="A1" s="188" t="s">
        <v>1594</v>
      </c>
      <c r="B1" s="121"/>
      <c r="C1" s="1109"/>
      <c r="D1" s="1108"/>
      <c r="E1" s="2565"/>
      <c r="F1" s="2565"/>
      <c r="G1" s="2446"/>
      <c r="H1" s="2565"/>
      <c r="I1" s="2565"/>
      <c r="J1" s="2565"/>
      <c r="K1" s="2566">
        <f>MATCH(C1,'数据-取费表'!A6:A16,0)+5</f>
        <v>9</v>
      </c>
    </row>
    <row r="2" spans="1:33" ht="18" customHeight="1">
      <c r="A2" s="193" t="s">
        <v>1462</v>
      </c>
      <c r="B2" s="196">
        <f ca="1">C32</f>
        <v>-462</v>
      </c>
      <c r="C2" s="268" t="s">
        <v>1595</v>
      </c>
      <c r="D2" s="268"/>
      <c r="E2" s="2565"/>
      <c r="F2" s="2565"/>
      <c r="G2" s="2565"/>
      <c r="H2" s="2565"/>
      <c r="I2" s="2565"/>
      <c r="J2" s="2565"/>
      <c r="K2" s="2565"/>
    </row>
    <row r="3" spans="1:33" ht="18" customHeight="1" thickBot="1">
      <c r="A3" s="195" t="s">
        <v>1464</v>
      </c>
      <c r="B3" s="196">
        <f ca="1">ROUND(B2*10000/IF(C1="",'数据-汇总表'!E3,INDIRECT("'数据-取费表'!K"&amp;$K$1)),0)</f>
        <v>-228</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20244.170000000002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20244.170000000002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405</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405</v>
      </c>
      <c r="D20" s="795">
        <f ca="1">IF(C1="",'数据-汇总表'!E6,IF(INDIRECT("'数据-取费表'!c"&amp;$K$1)="住宅",INDIRECT("'数据-取费表'!s"&amp;$K$1),INDIRECT("'数据-取费表'!k"&amp;$K$1)+INDIRECT("'数据-取费表'!s"&amp;$K$1)))</f>
        <v>20244.170000000002</v>
      </c>
      <c r="E20" s="21">
        <f>'数据-取费表'!B28</f>
        <v>200</v>
      </c>
      <c r="F20" s="755"/>
      <c r="G20" s="12"/>
      <c r="H20" s="760"/>
      <c r="I20" s="760"/>
      <c r="J20" s="760"/>
      <c r="K20" s="761"/>
    </row>
    <row r="21" spans="1:33" s="754" customFormat="1" ht="13.5" customHeight="1">
      <c r="A21" s="743" t="s">
        <v>357</v>
      </c>
      <c r="B21" s="764" t="s">
        <v>1628</v>
      </c>
      <c r="C21" s="765">
        <f ca="1">C16+C17+C18</f>
        <v>405</v>
      </c>
      <c r="D21" s="766"/>
      <c r="E21" s="273"/>
      <c r="F21" s="273"/>
      <c r="G21" s="123" t="s">
        <v>1629</v>
      </c>
      <c r="H21" s="758"/>
      <c r="I21" s="758"/>
      <c r="J21" s="758"/>
      <c r="K21" s="759"/>
    </row>
    <row r="22" spans="1:33" s="754" customFormat="1" ht="13.5" customHeight="1">
      <c r="A22" s="743" t="s">
        <v>1601</v>
      </c>
      <c r="B22" s="764" t="s">
        <v>1630</v>
      </c>
      <c r="C22" s="765">
        <f ca="1">ROUND(C21*F22,0)</f>
        <v>8</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62</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62</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-462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D7DC-CF05-4651-9F75-31A0EBDD8949}">
  <sheetPr>
    <tabColor rgb="FF92D050"/>
    <pageSetUpPr fitToPage="1"/>
  </sheetPr>
  <dimension ref="A1:I57"/>
  <sheetViews>
    <sheetView view="pageBreakPreview" zoomScale="70" zoomScaleNormal="70" zoomScaleSheetLayoutView="70" workbookViewId="0">
      <selection activeCell="L24" sqref="L24"/>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3" t="s">
        <v>3517</v>
      </c>
      <c r="C1" s="190"/>
      <c r="D1" s="190"/>
      <c r="E1" s="190"/>
      <c r="F1" s="190"/>
      <c r="G1" s="1061">
        <f>MATCH(B1,'数据-取费表'!A6:A16,0)+5</f>
        <v>7</v>
      </c>
    </row>
    <row r="2" spans="1:9" s="192" customFormat="1" ht="18" customHeight="1">
      <c r="A2" s="193" t="s">
        <v>685</v>
      </c>
      <c r="B2" s="194">
        <f ca="1">IF(D2="——",C52,C52-E2)</f>
        <v>4180</v>
      </c>
      <c r="C2" s="191" t="s">
        <v>1463</v>
      </c>
      <c r="D2" s="1710" t="s">
        <v>43</v>
      </c>
      <c r="E2" s="1088" t="e">
        <f ca="1">SUMIF(INDIRECT("'"&amp;G2&amp;"'"&amp;"!A:A"),"承租人权益价值",INDIRECT("'"&amp;G2&amp;"'"&amp;"!c:c"))</f>
        <v>#REF!</v>
      </c>
      <c r="F2" s="1711" t="s">
        <v>1463</v>
      </c>
      <c r="G2" s="1712"/>
    </row>
    <row r="3" spans="1:9" s="192" customFormat="1" ht="18" customHeight="1" thickBot="1">
      <c r="A3" s="195" t="s">
        <v>686</v>
      </c>
      <c r="B3" s="196">
        <f ca="1">ROUND(B2*10000/(IF(B1="",'数据-汇总表'!E3,INDIRECT("'数据-取费表'!k"&amp;$G$1))),0)</f>
        <v>19557</v>
      </c>
      <c r="C3" s="191" t="s">
        <v>1465</v>
      </c>
      <c r="D3" s="191"/>
      <c r="E3" s="191"/>
      <c r="F3" s="191"/>
      <c r="G3" s="191"/>
    </row>
    <row r="4" spans="1:9" s="200" customFormat="1" ht="16">
      <c r="A4" s="197" t="s">
        <v>1466</v>
      </c>
      <c r="B4" s="198"/>
      <c r="C4" s="198"/>
      <c r="D4" s="198"/>
      <c r="E4" s="198"/>
      <c r="F4" s="198"/>
      <c r="G4" s="199"/>
    </row>
    <row r="5" spans="1:9" s="206" customFormat="1" ht="13.5" customHeight="1">
      <c r="A5" s="247" t="s">
        <v>337</v>
      </c>
      <c r="B5" s="202" t="s">
        <v>1468</v>
      </c>
      <c r="C5" s="203">
        <f ca="1">C6+C7+C8</f>
        <v>2510</v>
      </c>
      <c r="D5" s="203" t="s">
        <v>1469</v>
      </c>
      <c r="E5" s="204" t="s">
        <v>1470</v>
      </c>
      <c r="F5" s="204" t="s">
        <v>1471</v>
      </c>
      <c r="G5" s="205"/>
    </row>
    <row r="6" spans="1:9" s="206" customFormat="1" ht="13.5" customHeight="1">
      <c r="A6" s="731" t="s">
        <v>346</v>
      </c>
      <c r="B6" s="207" t="s">
        <v>1473</v>
      </c>
      <c r="C6" s="208">
        <f>ROUND((基准地价修正!T2*(信息!K16+信息!K17)+基准地价修正!T3*信息!K18+基准地价修正!T4*信息!K19)/10000,0)</f>
        <v>2394</v>
      </c>
      <c r="D6" s="209"/>
      <c r="E6" s="210"/>
      <c r="F6" s="210"/>
      <c r="G6" s="211"/>
    </row>
    <row r="7" spans="1:9" s="206" customFormat="1" ht="13.5" customHeight="1">
      <c r="A7" s="731" t="s">
        <v>347</v>
      </c>
      <c r="B7" s="207" t="s">
        <v>1475</v>
      </c>
      <c r="C7" s="212">
        <f>ROUND(C6*F7,0)</f>
        <v>73</v>
      </c>
      <c r="D7" s="212"/>
      <c r="E7" s="210"/>
      <c r="F7" s="213">
        <f>IF(项目基本情况!B8="出让",0,'数据-取费表'!B48+'数据-取费表'!B49)</f>
        <v>3.0499999999999999E-2</v>
      </c>
      <c r="G7" s="211"/>
    </row>
    <row r="8" spans="1:9" s="215" customFormat="1" ht="13">
      <c r="A8" s="731" t="s">
        <v>348</v>
      </c>
      <c r="B8" s="207" t="s">
        <v>1477</v>
      </c>
      <c r="C8" s="212">
        <f ca="1">IF(G8="已包含在土地购买价格中","0",IF(B1="",'数据-取费表'!B29,IF(G9="全部缴纳",C9+C10,H9)))</f>
        <v>43</v>
      </c>
      <c r="D8" s="214"/>
      <c r="E8" s="212"/>
      <c r="F8" s="213"/>
      <c r="G8" s="1713" t="s">
        <v>3499</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3501</v>
      </c>
      <c r="H9" s="1069"/>
      <c r="I9" s="1715" t="s">
        <v>1479</v>
      </c>
    </row>
    <row r="10" spans="1:9" s="206" customFormat="1" ht="13.5" customHeight="1">
      <c r="A10" s="732" t="s">
        <v>356</v>
      </c>
      <c r="B10" s="216" t="s">
        <v>1480</v>
      </c>
      <c r="C10" s="217">
        <f ca="1">ROUND(D10*E10/10000,0)</f>
        <v>43</v>
      </c>
      <c r="D10" s="794">
        <f ca="1">IF(B1="",'数据-汇总表'!E6,IF(INDIRECT("'数据-取费表'!c"&amp;$G$1)="住宅",INDIRECT("'数据-取费表'!s"&amp;$G$1),INDIRECT("'数据-取费表'!k"&amp;$G$1)+INDIRECT("'数据-取费表'!s"&amp;$G$1)))</f>
        <v>2137.38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2137.38</v>
      </c>
      <c r="E19" s="203">
        <f>'数据-取费表'!B31</f>
        <v>200</v>
      </c>
      <c r="F19" s="223"/>
      <c r="G19" s="1713" t="s">
        <v>3500</v>
      </c>
    </row>
    <row r="20" spans="1:7" s="206" customFormat="1" ht="13.5" customHeight="1">
      <c r="A20" s="247" t="s">
        <v>1493</v>
      </c>
      <c r="B20" s="202" t="s">
        <v>1494</v>
      </c>
      <c r="C20" s="224">
        <f ca="1">ROUND((C5+C19)*F20,0)</f>
        <v>50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162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3" t="s">
        <v>346</v>
      </c>
      <c r="B23" s="207" t="s">
        <v>1503</v>
      </c>
      <c r="C23" s="1041">
        <f ca="1">ROUND(IF('数据-取费表'!B22&lt;=1,C5*F22*'数据-取费表'!B23,C5*(POWER((1+F22),'数据-取费表'!B23)-1)),0)</f>
        <v>160</v>
      </c>
      <c r="D23" s="230"/>
      <c r="E23" s="230"/>
      <c r="F23" s="231"/>
      <c r="G23" s="232" t="s">
        <v>1504</v>
      </c>
    </row>
    <row r="24" spans="1:7" s="206" customFormat="1" ht="13.5" customHeight="1">
      <c r="A24" s="733" t="s">
        <v>347</v>
      </c>
      <c r="B24" s="207" t="s">
        <v>1506</v>
      </c>
      <c r="C24" s="1041">
        <f ca="1">ROUND(IF('数据-取费表'!B22&lt;=1,C19*F22*('数据-取费表'!B19/2+'数据-取费表'!B21),C19*(POWER((1+F22),('数据-取费表'!B19/2+'数据-取费表'!B21))-1)),0)</f>
        <v>0</v>
      </c>
      <c r="D24" s="230"/>
      <c r="E24" s="230"/>
      <c r="F24" s="231"/>
      <c r="G24" s="232" t="s">
        <v>1507</v>
      </c>
    </row>
    <row r="25" spans="1:7" s="206" customFormat="1" ht="26">
      <c r="A25" s="733" t="s">
        <v>348</v>
      </c>
      <c r="B25" s="207" t="s">
        <v>1509</v>
      </c>
      <c r="C25" s="1041">
        <f ca="1">ROUND(IF('数据-取费表'!B22&lt;=1,C20*F22*'数据-取费表'!B23/2,C20*(POWER((1+F22),'数据-取费表'!B23/2)-1)),0)</f>
        <v>2</v>
      </c>
      <c r="D25" s="230"/>
      <c r="E25" s="233"/>
      <c r="F25" s="231"/>
      <c r="G25" s="234" t="s">
        <v>1510</v>
      </c>
    </row>
    <row r="26" spans="1:7" s="206" customFormat="1" ht="13">
      <c r="A26" s="733"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384</v>
      </c>
      <c r="D27" s="227">
        <f ca="1">C29</f>
        <v>3.0000000000000001E-3</v>
      </c>
      <c r="E27" s="228" t="s">
        <v>1498</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384</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3365</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843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748</v>
      </c>
      <c r="D34" s="209"/>
      <c r="E34" s="212"/>
      <c r="F34" s="249">
        <f ca="1">IF('数据-取费表'!B24=0,1,IF(B1="",'数据-取费表'!N16,INDIRECT("'数据-取费表'!n"&amp;$G$1)))</f>
        <v>1</v>
      </c>
      <c r="G34" s="211" t="s">
        <v>1526</v>
      </c>
    </row>
    <row r="35" spans="1:7" ht="13.5" customHeight="1">
      <c r="A35" s="733" t="s">
        <v>351</v>
      </c>
      <c r="B35" s="207" t="s">
        <v>1527</v>
      </c>
      <c r="C35" s="212">
        <f ca="1">ROUND(C34*F35,0)</f>
        <v>37</v>
      </c>
      <c r="D35" s="212"/>
      <c r="E35" s="212"/>
      <c r="F35" s="251">
        <f>'数据-取费表'!B33</f>
        <v>0.05</v>
      </c>
      <c r="G35" s="211" t="s">
        <v>1528</v>
      </c>
    </row>
    <row r="36" spans="1:7" ht="26">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43</v>
      </c>
      <c r="D37" s="209">
        <f ca="1">D19</f>
        <v>2137.38</v>
      </c>
      <c r="E37" s="241">
        <f>'数据-取费表'!B35</f>
        <v>200</v>
      </c>
      <c r="F37" s="251"/>
      <c r="G37" s="253" t="s">
        <v>1532</v>
      </c>
    </row>
    <row r="38" spans="1:7" ht="13.5" customHeight="1">
      <c r="A38" s="733" t="s">
        <v>354</v>
      </c>
      <c r="B38" s="207" t="s">
        <v>1533</v>
      </c>
      <c r="C38" s="212">
        <f ca="1">ROUND(C34*F38,0)</f>
        <v>15</v>
      </c>
      <c r="D38" s="212"/>
      <c r="E38" s="212"/>
      <c r="F38" s="251">
        <f>'数据-取费表'!B36</f>
        <v>0.02</v>
      </c>
      <c r="G38" s="211" t="s">
        <v>1528</v>
      </c>
    </row>
    <row r="39" spans="1:7" s="206" customFormat="1" ht="13.5" customHeight="1">
      <c r="A39" s="247" t="s">
        <v>1491</v>
      </c>
      <c r="B39" s="202" t="s">
        <v>1494</v>
      </c>
      <c r="C39" s="224">
        <f ca="1">ROUND(C33*F20,0)</f>
        <v>17</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27</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1503</v>
      </c>
      <c r="C42" s="230">
        <f ca="1">ROUND(IF('数据-取费表'!B22&lt;=1,C33*F22*'数据-取费表'!B21/2,C33*(POWER((1+F22),'数据-取费表'!B21/2)-1)),0)</f>
        <v>26</v>
      </c>
      <c r="D42" s="230"/>
      <c r="E42" s="230"/>
      <c r="F42" s="231"/>
      <c r="G42" s="3351" t="s">
        <v>1544</v>
      </c>
    </row>
    <row r="43" spans="1:7" ht="13.5" customHeight="1">
      <c r="A43" s="733" t="s">
        <v>347</v>
      </c>
      <c r="B43" s="207" t="s">
        <v>1506</v>
      </c>
      <c r="C43" s="230">
        <f ca="1">ROUND(IF('数据-取费表'!B22&lt;=1,C39*F22*'数据-取费表'!B21/2,C39*(POWER((1+F22),'数据-取费表'!B21/2)-1)),0)</f>
        <v>1</v>
      </c>
      <c r="D43" s="230"/>
      <c r="E43" s="230"/>
      <c r="F43" s="231"/>
      <c r="G43" s="3352"/>
    </row>
    <row r="44" spans="1:7" ht="13.5" customHeight="1">
      <c r="A44" s="733" t="s">
        <v>348</v>
      </c>
      <c r="B44" s="207" t="s">
        <v>1509</v>
      </c>
      <c r="C44" s="230">
        <f ca="1">ROUND(IF('数据-取费表'!B22&lt;=1,C40*F22*'数据-取费表'!B21/2,C40*(POWER((1+F22),'数据-取费表'!B21/2)-1)),4)</f>
        <v>5.9999999999999995E-4</v>
      </c>
      <c r="D44" s="230"/>
      <c r="E44" s="230"/>
      <c r="F44" s="231"/>
      <c r="G44" s="3353"/>
    </row>
    <row r="45" spans="1:7" s="206" customFormat="1" ht="13.5" customHeight="1">
      <c r="A45" s="247" t="s">
        <v>1500</v>
      </c>
      <c r="B45" s="236" t="s">
        <v>1513</v>
      </c>
      <c r="C45" s="237">
        <f ca="1">C46</f>
        <v>129</v>
      </c>
      <c r="D45" s="227">
        <f ca="1">C47</f>
        <v>3.0000000000000001E-3</v>
      </c>
      <c r="E45" s="228" t="s">
        <v>1539</v>
      </c>
      <c r="F45" s="238">
        <f ca="1">F27</f>
        <v>0.15</v>
      </c>
      <c r="G45" s="239" t="s">
        <v>1548</v>
      </c>
    </row>
    <row r="46" spans="1:7" s="206" customFormat="1" ht="13.5" customHeight="1">
      <c r="A46" s="733" t="s">
        <v>346</v>
      </c>
      <c r="B46" s="240" t="s">
        <v>1549</v>
      </c>
      <c r="C46" s="241">
        <f ca="1">ROUND((C33+C39)*F27,0)</f>
        <v>129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1101</v>
      </c>
      <c r="D49" s="224"/>
      <c r="E49" s="224"/>
      <c r="F49" s="256"/>
      <c r="G49" s="226" t="s">
        <v>1554</v>
      </c>
    </row>
    <row r="50" spans="1:7" s="250" customFormat="1" ht="26">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815</v>
      </c>
      <c r="D51" s="224"/>
      <c r="E51" s="224"/>
      <c r="F51" s="256"/>
      <c r="G51" s="226" t="s">
        <v>1560</v>
      </c>
    </row>
    <row r="52" spans="1:7" s="200" customFormat="1" ht="16.5" thickBot="1">
      <c r="A52" s="257" t="s">
        <v>1561</v>
      </c>
      <c r="B52" s="258"/>
      <c r="C52" s="259">
        <f ca="1">C31+C51</f>
        <v>4180</v>
      </c>
      <c r="D52" s="258"/>
      <c r="E52" s="258"/>
      <c r="F52" s="258"/>
      <c r="G52" s="260"/>
    </row>
    <row r="55" spans="1:7" ht="15.5">
      <c r="B55" s="262" t="s">
        <v>1562</v>
      </c>
      <c r="C55" s="263"/>
    </row>
    <row r="56" spans="1:7" ht="13">
      <c r="B56" s="265" t="s">
        <v>802</v>
      </c>
      <c r="C56" s="267">
        <f ca="1">1-C57</f>
        <v>0.80499999999999994</v>
      </c>
    </row>
    <row r="57" spans="1:7" ht="13">
      <c r="B57" s="265" t="s">
        <v>803</v>
      </c>
      <c r="C57" s="266">
        <f ca="1">ROUND(C51/C52,3)</f>
        <v>0.19500000000000001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96F7A84A-AC13-47F2-9AFB-1F48B7819072}">
      <formula1>"需扣减承租人权益,——"</formula1>
    </dataValidation>
    <dataValidation type="list" allowBlank="1" showInputMessage="1" showErrorMessage="1" sqref="G2" xr:uid="{5CE5200C-FFE5-4AAE-BC34-0AF43A5623F3}">
      <formula1>估价方法</formula1>
    </dataValidation>
    <dataValidation type="list" allowBlank="1" showInputMessage="1" showErrorMessage="1" sqref="G9" xr:uid="{E7241340-B4F1-4321-967B-949D403D9935}">
      <formula1>"部分缴纳,全部缴纳"</formula1>
    </dataValidation>
    <dataValidation type="list" allowBlank="1" showInputMessage="1" showErrorMessage="1" sqref="B1" xr:uid="{833D2E65-6B2E-4AA6-87D4-72A6129B384A}">
      <formula1>项目类型</formula1>
    </dataValidation>
    <dataValidation type="list" allowBlank="1" showInputMessage="1" showErrorMessage="1" sqref="G19" xr:uid="{26A3BCB2-3CE6-4A84-8918-32D70E8037BD}">
      <formula1>"已包含在土地取得成本中,未包含在土地取得成本中"</formula1>
    </dataValidation>
    <dataValidation type="list" allowBlank="1" showInputMessage="1" showErrorMessage="1" sqref="G8" xr:uid="{E2B8C3B5-37CD-4B09-9676-30C56D00B67C}">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8640-9DDD-4B08-B910-4A706D79B5F2}">
  <sheetPr>
    <tabColor rgb="FF92D050"/>
    <pageSetUpPr fitToPage="1"/>
  </sheetPr>
  <dimension ref="A1:I57"/>
  <sheetViews>
    <sheetView view="pageBreakPreview" zoomScale="70" zoomScaleNormal="70" zoomScaleSheetLayoutView="70" workbookViewId="0">
      <selection activeCell="C7" sqref="C7"/>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3" t="s">
        <v>3519</v>
      </c>
      <c r="C1" s="190"/>
      <c r="D1" s="190"/>
      <c r="E1" s="190"/>
      <c r="F1" s="190"/>
      <c r="G1" s="1061">
        <f>MATCH(B1,'数据-取费表'!A6:A16,0)+5</f>
        <v>8</v>
      </c>
    </row>
    <row r="2" spans="1:9" s="192" customFormat="1" ht="18" customHeight="1">
      <c r="A2" s="193" t="s">
        <v>685</v>
      </c>
      <c r="B2" s="194">
        <f ca="1">IF(D2="——",C52,C52-E2)</f>
        <v>15802</v>
      </c>
      <c r="C2" s="191" t="s">
        <v>1463</v>
      </c>
      <c r="D2" s="1710" t="s">
        <v>43</v>
      </c>
      <c r="E2" s="1088" t="e">
        <f ca="1">SUMIF(INDIRECT("'"&amp;G2&amp;"'"&amp;"!A:A"),"承租人权益价值",INDIRECT("'"&amp;G2&amp;"'"&amp;"!c:c"))</f>
        <v>#REF!</v>
      </c>
      <c r="F2" s="1711" t="s">
        <v>1463</v>
      </c>
      <c r="G2" s="1712"/>
    </row>
    <row r="3" spans="1:9" s="192" customFormat="1" ht="18" customHeight="1" thickBot="1">
      <c r="A3" s="195" t="s">
        <v>686</v>
      </c>
      <c r="B3" s="196">
        <f ca="1">ROUND(B2*10000/(IF(B1="",'数据-汇总表'!E3,INDIRECT("'数据-取费表'!k"&amp;$G$1))),0)</f>
        <v>19376</v>
      </c>
      <c r="C3" s="191" t="s">
        <v>1465</v>
      </c>
      <c r="D3" s="191"/>
      <c r="E3" s="191"/>
      <c r="F3" s="191"/>
      <c r="G3" s="191"/>
    </row>
    <row r="4" spans="1:9" s="200" customFormat="1" ht="16">
      <c r="A4" s="197" t="s">
        <v>1466</v>
      </c>
      <c r="B4" s="198"/>
      <c r="C4" s="198"/>
      <c r="D4" s="198"/>
      <c r="E4" s="198"/>
      <c r="F4" s="198"/>
      <c r="G4" s="199"/>
    </row>
    <row r="5" spans="1:9" s="206" customFormat="1" ht="13.5" customHeight="1">
      <c r="A5" s="247" t="s">
        <v>337</v>
      </c>
      <c r="B5" s="202" t="s">
        <v>1468</v>
      </c>
      <c r="C5" s="203">
        <f ca="1">C6+C7+C8</f>
        <v>9785</v>
      </c>
      <c r="D5" s="203" t="s">
        <v>1469</v>
      </c>
      <c r="E5" s="204" t="s">
        <v>1470</v>
      </c>
      <c r="F5" s="204" t="s">
        <v>1471</v>
      </c>
      <c r="G5" s="205"/>
    </row>
    <row r="6" spans="1:9" s="206" customFormat="1" ht="13.5" customHeight="1">
      <c r="A6" s="731" t="s">
        <v>346</v>
      </c>
      <c r="B6" s="207" t="s">
        <v>1473</v>
      </c>
      <c r="C6" s="208">
        <f>ROUND((基准地价修正!T2*(信息!K26+信息!K32)+基准地价修正!T3*(信息!K27+信息!K33)+基准地价修正!T4*(信息!K28+信息!K34))/10000,0)</f>
        <v>9337</v>
      </c>
      <c r="D6" s="209"/>
      <c r="E6" s="210"/>
      <c r="F6" s="210"/>
      <c r="G6" s="211"/>
    </row>
    <row r="7" spans="1:9" s="206" customFormat="1" ht="13.5" customHeight="1">
      <c r="A7" s="731" t="s">
        <v>347</v>
      </c>
      <c r="B7" s="207" t="s">
        <v>1475</v>
      </c>
      <c r="C7" s="212">
        <f>ROUND(C6*F7,0)</f>
        <v>285</v>
      </c>
      <c r="D7" s="212"/>
      <c r="E7" s="210"/>
      <c r="F7" s="213">
        <f>IF(项目基本情况!B8="出让",0,'数据-取费表'!B48+'数据-取费表'!B49)</f>
        <v>3.0499999999999999E-2</v>
      </c>
      <c r="G7" s="211"/>
    </row>
    <row r="8" spans="1:9" s="215" customFormat="1" ht="13">
      <c r="A8" s="731" t="s">
        <v>348</v>
      </c>
      <c r="B8" s="207" t="s">
        <v>1477</v>
      </c>
      <c r="C8" s="212">
        <f ca="1">IF(G8="已包含在土地购买价格中","0",IF(B1="",'数据-取费表'!B29,IF(G9="全部缴纳",C9+C10,H9)))</f>
        <v>163</v>
      </c>
      <c r="D8" s="214"/>
      <c r="E8" s="212"/>
      <c r="F8" s="213"/>
      <c r="G8" s="1713" t="s">
        <v>3499</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3501</v>
      </c>
      <c r="H9" s="1069"/>
      <c r="I9" s="1715" t="s">
        <v>1479</v>
      </c>
    </row>
    <row r="10" spans="1:9" s="206" customFormat="1" ht="13.5" customHeight="1">
      <c r="A10" s="732" t="s">
        <v>356</v>
      </c>
      <c r="B10" s="216" t="s">
        <v>1480</v>
      </c>
      <c r="C10" s="217">
        <f ca="1">ROUND(D10*E10/10000,0)</f>
        <v>163</v>
      </c>
      <c r="D10" s="794">
        <f ca="1">IF(B1="",'数据-汇总表'!E6,IF(INDIRECT("'数据-取费表'!c"&amp;$G$1)="住宅",INDIRECT("'数据-取费表'!s"&amp;$G$1),INDIRECT("'数据-取费表'!k"&amp;$G$1)+INDIRECT("'数据-取费表'!s"&amp;$G$1)))</f>
        <v>8155.52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8155.52</v>
      </c>
      <c r="E19" s="203">
        <f>'数据-取费表'!B31</f>
        <v>200</v>
      </c>
      <c r="F19" s="223"/>
      <c r="G19" s="1713" t="s">
        <v>3500</v>
      </c>
    </row>
    <row r="20" spans="1:7" s="206" customFormat="1" ht="13.5" customHeight="1">
      <c r="A20" s="247" t="s">
        <v>1493</v>
      </c>
      <c r="B20" s="202" t="s">
        <v>1494</v>
      </c>
      <c r="C20" s="224">
        <f ca="1">ROUND((C5+C19)*F20,0)</f>
        <v>196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628</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3" t="s">
        <v>346</v>
      </c>
      <c r="B23" s="207" t="s">
        <v>1503</v>
      </c>
      <c r="C23" s="1041">
        <f ca="1">ROUND(IF('数据-取费表'!B22&lt;=1,C5*F22*'数据-取费表'!B23,C5*(POWER((1+F22),'数据-取费表'!B23)-1)),0)</f>
        <v>622</v>
      </c>
      <c r="D23" s="230"/>
      <c r="E23" s="230"/>
      <c r="F23" s="231"/>
      <c r="G23" s="232" t="s">
        <v>1504</v>
      </c>
    </row>
    <row r="24" spans="1:7" s="206" customFormat="1" ht="13.5" customHeight="1">
      <c r="A24" s="733" t="s">
        <v>347</v>
      </c>
      <c r="B24" s="207" t="s">
        <v>1506</v>
      </c>
      <c r="C24" s="1041">
        <f ca="1">ROUND(IF('数据-取费表'!B22&lt;=1,C19*F22*('数据-取费表'!B19/2+'数据-取费表'!B21),C19*(POWER((1+F22),('数据-取费表'!B19/2+'数据-取费表'!B21))-1)),0)</f>
        <v>0</v>
      </c>
      <c r="D24" s="230"/>
      <c r="E24" s="230"/>
      <c r="F24" s="231"/>
      <c r="G24" s="232" t="s">
        <v>1507</v>
      </c>
    </row>
    <row r="25" spans="1:7" s="206" customFormat="1" ht="26">
      <c r="A25" s="733" t="s">
        <v>348</v>
      </c>
      <c r="B25" s="207" t="s">
        <v>1509</v>
      </c>
      <c r="C25" s="1041">
        <f ca="1">ROUND(IF('数据-取费表'!B22&lt;=1,C20*F22*'数据-取费表'!B23/2,C20*(POWER((1+F22),'数据-取费表'!B23/2)-1)),0)</f>
        <v>6</v>
      </c>
      <c r="D25" s="230"/>
      <c r="E25" s="233"/>
      <c r="F25" s="231"/>
      <c r="G25" s="234" t="s">
        <v>1510</v>
      </c>
    </row>
    <row r="26" spans="1:7" s="206" customFormat="1" ht="13">
      <c r="A26" s="733"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1497</v>
      </c>
      <c r="D27" s="227">
        <f ca="1">C29</f>
        <v>3.0000000000000001E-3</v>
      </c>
      <c r="E27" s="228" t="s">
        <v>1498</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1497</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13115</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2781</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2447</v>
      </c>
      <c r="D34" s="209"/>
      <c r="E34" s="212"/>
      <c r="F34" s="249">
        <f ca="1">IF('数据-取费表'!B24=0,1,IF(B1="",'数据-取费表'!N16,INDIRECT("'数据-取费表'!n"&amp;$G$1)))</f>
        <v>1</v>
      </c>
      <c r="G34" s="211" t="s">
        <v>1526</v>
      </c>
    </row>
    <row r="35" spans="1:7" ht="13.5" customHeight="1">
      <c r="A35" s="733" t="s">
        <v>351</v>
      </c>
      <c r="B35" s="207" t="s">
        <v>1527</v>
      </c>
      <c r="C35" s="212">
        <f ca="1">ROUND(C34*F35,0)</f>
        <v>122</v>
      </c>
      <c r="D35" s="212"/>
      <c r="E35" s="212"/>
      <c r="F35" s="251">
        <f>'数据-取费表'!B33</f>
        <v>0.05</v>
      </c>
      <c r="G35" s="211" t="s">
        <v>1528</v>
      </c>
    </row>
    <row r="36" spans="1:7" ht="26">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163</v>
      </c>
      <c r="D37" s="209">
        <f ca="1">D19</f>
        <v>8155.52</v>
      </c>
      <c r="E37" s="241">
        <f>'数据-取费表'!B35</f>
        <v>200</v>
      </c>
      <c r="F37" s="251"/>
      <c r="G37" s="253" t="s">
        <v>1532</v>
      </c>
    </row>
    <row r="38" spans="1:7" ht="13.5" customHeight="1">
      <c r="A38" s="733" t="s">
        <v>354</v>
      </c>
      <c r="B38" s="207" t="s">
        <v>1533</v>
      </c>
      <c r="C38" s="212">
        <f ca="1">ROUND(C34*F38,0)</f>
        <v>49</v>
      </c>
      <c r="D38" s="212"/>
      <c r="E38" s="212"/>
      <c r="F38" s="251">
        <f>'数据-取费表'!B36</f>
        <v>0.02</v>
      </c>
      <c r="G38" s="211" t="s">
        <v>1528</v>
      </c>
    </row>
    <row r="39" spans="1:7" s="206" customFormat="1" ht="13.5" customHeight="1">
      <c r="A39" s="247" t="s">
        <v>1491</v>
      </c>
      <c r="B39" s="202" t="s">
        <v>1494</v>
      </c>
      <c r="C39" s="224">
        <f ca="1">ROUND(C33*F20,0)</f>
        <v>56</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89</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1503</v>
      </c>
      <c r="C42" s="230">
        <f ca="1">ROUND(IF('数据-取费表'!B22&lt;=1,C33*F22*'数据-取费表'!B21/2,C33*(POWER((1+F22),'数据-取费表'!B21/2)-1)),0)</f>
        <v>87</v>
      </c>
      <c r="D42" s="230"/>
      <c r="E42" s="230"/>
      <c r="F42" s="231"/>
      <c r="G42" s="3351" t="s">
        <v>1544</v>
      </c>
    </row>
    <row r="43" spans="1:7" ht="13.5" customHeight="1">
      <c r="A43" s="733" t="s">
        <v>347</v>
      </c>
      <c r="B43" s="207" t="s">
        <v>1506</v>
      </c>
      <c r="C43" s="230">
        <f ca="1">ROUND(IF('数据-取费表'!B22&lt;=1,C39*F22*'数据-取费表'!B21/2,C39*(POWER((1+F22),'数据-取费表'!B21/2)-1)),0)</f>
        <v>2</v>
      </c>
      <c r="D43" s="230"/>
      <c r="E43" s="230"/>
      <c r="F43" s="231"/>
      <c r="G43" s="3352"/>
    </row>
    <row r="44" spans="1:7" ht="13.5" customHeight="1">
      <c r="A44" s="733" t="s">
        <v>348</v>
      </c>
      <c r="B44" s="207" t="s">
        <v>1509</v>
      </c>
      <c r="C44" s="230">
        <f ca="1">ROUND(IF('数据-取费表'!B22&lt;=1,C40*F22*'数据-取费表'!B21/2,C40*(POWER((1+F22),'数据-取费表'!B21/2)-1)),4)</f>
        <v>5.9999999999999995E-4</v>
      </c>
      <c r="D44" s="230"/>
      <c r="E44" s="230"/>
      <c r="F44" s="231"/>
      <c r="G44" s="3353"/>
    </row>
    <row r="45" spans="1:7" s="206" customFormat="1" ht="13.5" customHeight="1">
      <c r="A45" s="247" t="s">
        <v>1500</v>
      </c>
      <c r="B45" s="236" t="s">
        <v>1513</v>
      </c>
      <c r="C45" s="237">
        <f ca="1">C46</f>
        <v>426</v>
      </c>
      <c r="D45" s="227">
        <f ca="1">C47</f>
        <v>3.0000000000000001E-3</v>
      </c>
      <c r="E45" s="228" t="s">
        <v>1539</v>
      </c>
      <c r="F45" s="238">
        <f ca="1">F27</f>
        <v>0.15</v>
      </c>
      <c r="G45" s="239" t="s">
        <v>1548</v>
      </c>
    </row>
    <row r="46" spans="1:7" s="206" customFormat="1" ht="13.5" customHeight="1">
      <c r="A46" s="733" t="s">
        <v>346</v>
      </c>
      <c r="B46" s="240" t="s">
        <v>1549</v>
      </c>
      <c r="C46" s="241">
        <f ca="1">ROUND((C33+C39)*F27,0)</f>
        <v>426</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3631</v>
      </c>
      <c r="D49" s="224"/>
      <c r="E49" s="224"/>
      <c r="F49" s="256"/>
      <c r="G49" s="226" t="s">
        <v>1554</v>
      </c>
    </row>
    <row r="50" spans="1:7" s="250" customFormat="1" ht="26">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2687</v>
      </c>
      <c r="D51" s="224"/>
      <c r="E51" s="224"/>
      <c r="F51" s="256"/>
      <c r="G51" s="226" t="s">
        <v>1560</v>
      </c>
    </row>
    <row r="52" spans="1:7" s="200" customFormat="1" ht="16.5" thickBot="1">
      <c r="A52" s="257" t="s">
        <v>1561</v>
      </c>
      <c r="B52" s="258"/>
      <c r="C52" s="259">
        <f ca="1">C31+C51</f>
        <v>15802</v>
      </c>
      <c r="D52" s="258"/>
      <c r="E52" s="258"/>
      <c r="F52" s="258"/>
      <c r="G52" s="260"/>
    </row>
    <row r="55" spans="1:7" ht="15.5">
      <c r="B55" s="262" t="s">
        <v>1562</v>
      </c>
      <c r="C55" s="263"/>
    </row>
    <row r="56" spans="1:7" ht="13">
      <c r="B56" s="265" t="s">
        <v>802</v>
      </c>
      <c r="C56" s="267">
        <f ca="1">1-C57</f>
        <v>0.83</v>
      </c>
    </row>
    <row r="57" spans="1:7" ht="13">
      <c r="B57" s="265" t="s">
        <v>803</v>
      </c>
      <c r="C57" s="266">
        <f ca="1">ROUND(C51/C52,3)</f>
        <v>0.17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D9C90705-7EEF-42E5-9976-200B4B35D227}">
      <formula1>"已包含在土地购买价格中,未包含在土地购买价格中"</formula1>
    </dataValidation>
    <dataValidation type="list" allowBlank="1" showInputMessage="1" showErrorMessage="1" sqref="G19" xr:uid="{BC91A046-3EFA-43C4-A7AC-3052C2AA650A}">
      <formula1>"已包含在土地取得成本中,未包含在土地取得成本中"</formula1>
    </dataValidation>
    <dataValidation type="list" allowBlank="1" showInputMessage="1" showErrorMessage="1" sqref="B1" xr:uid="{99A476EB-7BA7-41D0-89CE-2C1B6A9F49E5}">
      <formula1>项目类型</formula1>
    </dataValidation>
    <dataValidation type="list" allowBlank="1" showInputMessage="1" showErrorMessage="1" sqref="G9" xr:uid="{B108D7B3-A4DD-439E-9A82-83F9F0AAAC86}">
      <formula1>"部分缴纳,全部缴纳"</formula1>
    </dataValidation>
    <dataValidation type="list" allowBlank="1" showInputMessage="1" showErrorMessage="1" sqref="G2" xr:uid="{19023AD8-35F1-474C-A2E5-CEC05C340F1A}">
      <formula1>估价方法</formula1>
    </dataValidation>
    <dataValidation type="list" allowBlank="1" showInputMessage="1" showErrorMessage="1" sqref="D2" xr:uid="{75A40831-93F2-4007-963D-753CA950726A}">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P9" sqref="P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t="s">
        <v>3512</v>
      </c>
      <c r="D1" s="1270" t="s">
        <v>43</v>
      </c>
      <c r="E1" s="1271" t="s">
        <v>678</v>
      </c>
      <c r="F1" s="998">
        <f ca="1">J53</f>
        <v>16.04</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8070</v>
      </c>
      <c r="C2" s="1288" t="s">
        <v>805</v>
      </c>
      <c r="D2" s="1288"/>
      <c r="E2" s="1294"/>
      <c r="F2" s="1295"/>
      <c r="G2" s="2476"/>
      <c r="H2" s="2466"/>
      <c r="I2" s="2466"/>
      <c r="J2" s="2466"/>
      <c r="K2" s="2467"/>
      <c r="L2" s="2466"/>
      <c r="M2" s="2466"/>
    </row>
    <row r="3" spans="1:37" ht="18" customHeight="1" thickBot="1">
      <c r="A3" s="1296" t="s">
        <v>806</v>
      </c>
      <c r="B3" s="1297">
        <f ca="1">IF(ISERROR(B2*10000/F43),0,ROUND(B2*10000/F43,0))</f>
        <v>8110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792</v>
      </c>
      <c r="D5" s="1272" t="s">
        <v>693</v>
      </c>
      <c r="E5" s="1007"/>
      <c r="F5" s="1008"/>
      <c r="G5" s="1291"/>
      <c r="H5" s="291">
        <v>1</v>
      </c>
      <c r="I5" s="292" t="s">
        <v>692</v>
      </c>
      <c r="J5" s="1006">
        <f ca="1">J6+J10+J12</f>
        <v>0</v>
      </c>
      <c r="K5" s="1272" t="s">
        <v>693</v>
      </c>
      <c r="L5" s="1007"/>
      <c r="M5" s="1008"/>
    </row>
    <row r="6" spans="1:37" ht="18" customHeight="1">
      <c r="A6" s="1005" t="s">
        <v>398</v>
      </c>
      <c r="B6" s="3356" t="s">
        <v>694</v>
      </c>
      <c r="C6" s="1010">
        <f ca="1">ROUND(F6*F8*F7*(1-F9)/10000,0)</f>
        <v>791</v>
      </c>
      <c r="D6" s="147" t="s">
        <v>2109</v>
      </c>
      <c r="E6" s="294" t="s">
        <v>696</v>
      </c>
      <c r="F6" s="295">
        <f ca="1">INDIRECT("'数据-取费表'!u"&amp;$G$1)</f>
        <v>2.42</v>
      </c>
      <c r="G6" s="1291"/>
      <c r="H6" s="1005" t="s">
        <v>398</v>
      </c>
      <c r="I6" s="3356" t="s">
        <v>694</v>
      </c>
      <c r="J6" s="293">
        <f ca="1">ROUND(M6*M8*M7*(1-M9)/10000,0)</f>
        <v>0</v>
      </c>
      <c r="K6" s="147" t="s">
        <v>2108</v>
      </c>
      <c r="L6" s="294" t="s">
        <v>696</v>
      </c>
      <c r="M6" s="295">
        <f ca="1">INDIRECT("'数据-取费表'!z"&amp;$G$1)</f>
        <v>0</v>
      </c>
    </row>
    <row r="7" spans="1:37" ht="18" customHeight="1">
      <c r="A7" s="1009"/>
      <c r="B7" s="3357"/>
      <c r="C7" s="1011"/>
      <c r="D7" s="299"/>
      <c r="E7" s="1012" t="s">
        <v>697</v>
      </c>
      <c r="F7" s="295">
        <f ca="1">IF(INDIRECT("'数据-取费表'!ah"&amp;$G$1)="",INDIRECT("'数据-取费表'!k"&amp;$G$1),INDIRECT("'数据-取费表'!ah"&amp;$G$1))</f>
        <v>9951.27</v>
      </c>
      <c r="G7" s="1291"/>
      <c r="H7" s="296"/>
      <c r="I7" s="3357"/>
      <c r="J7" s="298"/>
      <c r="K7" s="299"/>
      <c r="L7" s="294" t="s">
        <v>697</v>
      </c>
      <c r="M7" s="295">
        <f ca="1">F7</f>
        <v>9951.27</v>
      </c>
    </row>
    <row r="8" spans="1:37" ht="18" customHeight="1">
      <c r="A8" s="296"/>
      <c r="B8" s="3357"/>
      <c r="C8" s="298"/>
      <c r="D8" s="299"/>
      <c r="E8" s="294" t="s">
        <v>698</v>
      </c>
      <c r="F8" s="295">
        <f ca="1">INDIRECT("'数据-取费表'!ai"&amp;$G$1)</f>
        <v>365</v>
      </c>
      <c r="G8" s="1291"/>
      <c r="H8" s="296"/>
      <c r="I8" s="3357"/>
      <c r="J8" s="298"/>
      <c r="K8" s="299"/>
      <c r="L8" s="294" t="s">
        <v>698</v>
      </c>
      <c r="M8" s="295">
        <f ca="1">INDIRECT("'数据-取费表'!ai"&amp;$G$1)</f>
        <v>365</v>
      </c>
      <c r="O8" s="1291">
        <f ca="1">C6+收益法房本2!C6+收益法房本3!C6</f>
        <v>1644</v>
      </c>
    </row>
    <row r="9" spans="1:37" ht="18" customHeight="1">
      <c r="A9" s="296"/>
      <c r="B9" s="3358"/>
      <c r="C9" s="298"/>
      <c r="D9" s="299"/>
      <c r="E9" s="294" t="s">
        <v>699</v>
      </c>
      <c r="F9" s="304">
        <f ca="1">INDIRECT("'数据-取费表'!w"&amp;$G$1)</f>
        <v>0.1</v>
      </c>
      <c r="G9" s="1291"/>
      <c r="H9" s="296"/>
      <c r="I9" s="3358"/>
      <c r="J9" s="298"/>
      <c r="K9" s="299"/>
      <c r="L9" s="305" t="s">
        <v>699</v>
      </c>
      <c r="M9" s="306">
        <f ca="1">INDIRECT("'数据-取费表'!ab"&amp;$G$1)</f>
        <v>0</v>
      </c>
    </row>
    <row r="10" spans="1:37" ht="18" customHeight="1">
      <c r="A10" s="1005" t="s">
        <v>402</v>
      </c>
      <c r="B10" s="1273" t="s">
        <v>700</v>
      </c>
      <c r="C10" s="308">
        <f ca="1">ROUND(IF(F10="押一",C6/12*F11,IF(F10="押二",C6/12*2*F11,IF(F10="押三",C6/12*3*F11,C11*F11))),0)</f>
        <v>1</v>
      </c>
      <c r="D10" s="150" t="s">
        <v>2117</v>
      </c>
      <c r="E10" s="305" t="s">
        <v>701</v>
      </c>
      <c r="F10" s="1052" t="s">
        <v>3489</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3793</v>
      </c>
      <c r="D13" s="1017" t="s">
        <v>705</v>
      </c>
      <c r="E13" s="1017" t="s">
        <v>706</v>
      </c>
      <c r="F13" s="1018">
        <f ca="1">INDIRECT("'数据-取费表'!y"&amp;$G$1)</f>
        <v>0.74</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3483</v>
      </c>
      <c r="D14" s="1256" t="s">
        <v>708</v>
      </c>
      <c r="E14" s="1254"/>
      <c r="F14" s="311"/>
      <c r="G14" s="1291"/>
      <c r="H14" s="927" t="s">
        <v>398</v>
      </c>
      <c r="I14" s="294" t="s">
        <v>709</v>
      </c>
      <c r="J14" s="21">
        <f ca="1">C29</f>
        <v>5125</v>
      </c>
      <c r="K14" s="12"/>
      <c r="L14" s="758"/>
      <c r="M14" s="759"/>
    </row>
    <row r="15" spans="1:37" s="1303" customFormat="1" ht="18" customHeight="1" thickBot="1">
      <c r="A15" s="927" t="s">
        <v>399</v>
      </c>
      <c r="B15" s="294" t="s">
        <v>710</v>
      </c>
      <c r="C15" s="21">
        <f ca="1">ROUND(C14*F15,0)</f>
        <v>174</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26</v>
      </c>
      <c r="K16" s="1023" t="s">
        <v>715</v>
      </c>
      <c r="L16" s="1024"/>
      <c r="M16" s="1008"/>
    </row>
    <row r="17" spans="1:37" s="1303" customFormat="1" ht="18" customHeight="1">
      <c r="A17" s="927" t="s">
        <v>681</v>
      </c>
      <c r="B17" s="294" t="s">
        <v>716</v>
      </c>
      <c r="C17" s="21">
        <f ca="1">ROUND(F17*(F43+INDIRECT("'数据-取费表'!S"&amp;$G$1))/10000,0)</f>
        <v>199</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70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3926</v>
      </c>
      <c r="D19" s="123" t="s">
        <v>726</v>
      </c>
      <c r="E19" s="1268"/>
      <c r="F19" s="23"/>
      <c r="G19" s="1291"/>
      <c r="H19" s="927" t="s">
        <v>399</v>
      </c>
      <c r="I19" s="294" t="s">
        <v>727</v>
      </c>
      <c r="J19" s="21">
        <f ca="1">IF(K19="按租金收入计税",ROUND(J6*M19/(1+'数据-取费表'!C42),2),ROUND(C29*M19*0.7,2))</f>
        <v>0</v>
      </c>
      <c r="K19" s="1277" t="s">
        <v>3333</v>
      </c>
      <c r="L19" s="294" t="s">
        <v>712</v>
      </c>
      <c r="M19" s="314">
        <f>IF(K19="按租金收入计税",'数据-取费表'!B51,'数据-取费表'!B50)</f>
        <v>0.12</v>
      </c>
    </row>
    <row r="20" spans="1:37" s="1303" customFormat="1" ht="18" customHeight="1">
      <c r="A20" s="927" t="s">
        <v>402</v>
      </c>
      <c r="B20" s="294" t="s">
        <v>728</v>
      </c>
      <c r="C20" s="21">
        <f ca="1">ROUND(C19*F20,0)</f>
        <v>79</v>
      </c>
      <c r="D20" s="315" t="s">
        <v>729</v>
      </c>
      <c r="E20" s="294" t="s">
        <v>712</v>
      </c>
      <c r="F20" s="314">
        <f>'数据-取费表'!B37</f>
        <v>0.02</v>
      </c>
      <c r="G20" s="1302"/>
      <c r="H20" s="927"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25.63</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125</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-26</v>
      </c>
      <c r="K25" s="1031" t="s">
        <v>753</v>
      </c>
      <c r="L25" s="1032"/>
      <c r="M25" s="1033"/>
    </row>
    <row r="26" spans="1:37" ht="13">
      <c r="A26" s="927" t="s">
        <v>397</v>
      </c>
      <c r="B26" s="294" t="s">
        <v>754</v>
      </c>
      <c r="C26" s="21">
        <f ca="1">ROUND((C19+C20)*F26,0)</f>
        <v>601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5125</v>
      </c>
      <c r="D29" s="1028"/>
      <c r="E29" s="1026"/>
      <c r="F29" s="1029"/>
      <c r="G29" s="1302"/>
      <c r="H29" s="325" t="s">
        <v>396</v>
      </c>
      <c r="I29" s="326" t="s">
        <v>768</v>
      </c>
      <c r="J29" s="327">
        <f ca="1">ROUND(J26/(1+F40)^F41,0)</f>
        <v>0</v>
      </c>
      <c r="K29" s="328" t="s">
        <v>769</v>
      </c>
      <c r="L29" s="329"/>
      <c r="M29" s="330">
        <f ca="1">INDIRECT("'数据-取费表'!k"&amp;$G$1)</f>
        <v>9951.27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ROUND(IF(AND(项目基本情况!B11="自然人",项目基本情况!B10="北京市"),C6*F31/(1+'数据-取费表'!C42),C32+C33+C34),2)</f>
        <v>132.59</v>
      </c>
      <c r="D31" s="1256" t="s">
        <v>720</v>
      </c>
      <c r="E31" s="1255" t="s">
        <v>770</v>
      </c>
      <c r="F31" s="2137"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IF(项目基本情况!B11="自然人","——",ROUND(C6*F32/(1+'数据-取费表'!C42),2))</f>
        <v>42.19</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90.4</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1.5</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25.63</v>
      </c>
      <c r="D36" s="1255" t="s">
        <v>771</v>
      </c>
      <c r="E36" s="294" t="s">
        <v>712</v>
      </c>
      <c r="F36" s="320">
        <f ca="1">INDIRECT("'数据-取费表'!Ak"&amp;$G$1)</f>
        <v>5.0000000000000001E-3</v>
      </c>
      <c r="G36" s="1291"/>
      <c r="H36" s="2471"/>
      <c r="I36" s="1304"/>
      <c r="J36" s="1305"/>
      <c r="K36" s="2329"/>
      <c r="L36" s="2471"/>
      <c r="M36" s="2471"/>
    </row>
    <row r="37" spans="1:18" ht="18" customHeight="1">
      <c r="A37" s="927" t="s">
        <v>437</v>
      </c>
      <c r="B37" s="294" t="s">
        <v>742</v>
      </c>
      <c r="C37" s="21">
        <f ca="1">ROUND(C13*F37,2)</f>
        <v>3.79</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ROUND(C5*F38,2)</f>
        <v>7.92</v>
      </c>
      <c r="D38" s="1028" t="s">
        <v>748</v>
      </c>
      <c r="E38" s="1026" t="s">
        <v>744</v>
      </c>
      <c r="F38" s="1022">
        <f ca="1">INDIRECT("'数据-取费表'!Am"&amp;$G$1)</f>
        <v>0.01</v>
      </c>
      <c r="G38" s="1291"/>
      <c r="H38" s="2471"/>
      <c r="I38" s="1304"/>
      <c r="J38" s="1305"/>
      <c r="K38" s="2469"/>
      <c r="L38" s="2471"/>
      <c r="M38" s="2471"/>
    </row>
    <row r="39" spans="1:18" ht="24.65" customHeight="1" thickTop="1">
      <c r="A39" s="1015" t="s">
        <v>394</v>
      </c>
      <c r="B39" s="1030" t="s">
        <v>772</v>
      </c>
      <c r="C39" s="302">
        <f ca="1">C5-C30</f>
        <v>622</v>
      </c>
      <c r="D39" s="1031" t="s">
        <v>773</v>
      </c>
      <c r="E39" s="1032"/>
      <c r="F39" s="1033"/>
      <c r="G39" s="1291"/>
      <c r="H39" s="2471"/>
      <c r="I39" s="1304"/>
      <c r="J39" s="1305"/>
      <c r="K39" s="2469"/>
      <c r="L39" s="2471"/>
      <c r="M39" s="2471"/>
    </row>
    <row r="40" spans="1:18" ht="18" customHeight="1">
      <c r="A40" s="291" t="s">
        <v>395</v>
      </c>
      <c r="B40" s="292" t="s">
        <v>774</v>
      </c>
      <c r="C40" s="293">
        <f ca="1">ROUND(C39*(1-((1+F42)/(1+F40))^F41)/(F40-F42),0)</f>
        <v>7427</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16.04</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7463</v>
      </c>
      <c r="D43" s="328" t="s">
        <v>777</v>
      </c>
      <c r="E43" s="329" t="s">
        <v>778</v>
      </c>
      <c r="F43" s="330">
        <f ca="1">INDIRECT("'数据-取费表'!k"&amp;$G$1)</f>
        <v>9951.27</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4" thickBot="1">
      <c r="A46" s="1310" t="s">
        <v>809</v>
      </c>
      <c r="C46" s="1311">
        <f ca="1">C68-C40</f>
        <v>-7731</v>
      </c>
      <c r="D46" s="1312" t="str">
        <f>C2</f>
        <v>万元</v>
      </c>
      <c r="E46" s="1306"/>
      <c r="F46" s="1306"/>
      <c r="I46" s="1313" t="s">
        <v>810</v>
      </c>
      <c r="J46" s="1314"/>
      <c r="K46" s="1315"/>
      <c r="L46" s="1316">
        <f ca="1">IF(M47="住宅",0,IF(L48&gt;J51,L60,J60))</f>
        <v>643</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t="s">
        <v>3490</v>
      </c>
      <c r="K47" s="1322" t="s">
        <v>816</v>
      </c>
      <c r="L47" s="1323">
        <f ca="1">INDIRECT("'数据-取费表'!d"&amp;$G$1)</f>
        <v>40</v>
      </c>
      <c r="M47" s="1287" t="str">
        <f>IF(ISNUMBER(FIND("住宅",C1)),"住宅","非住宅")</f>
        <v>非住宅</v>
      </c>
      <c r="O47" s="1324" t="s">
        <v>403</v>
      </c>
      <c r="P47" s="1325" t="s">
        <v>817</v>
      </c>
      <c r="Q47" s="1326">
        <f ca="1">C40+J29</f>
        <v>7427</v>
      </c>
      <c r="R47" s="1326" t="s">
        <v>818</v>
      </c>
    </row>
    <row r="48" spans="1:18" s="1291" customFormat="1" ht="43.5" thickBot="1">
      <c r="A48" s="1046" t="s">
        <v>438</v>
      </c>
      <c r="B48" s="292" t="s">
        <v>692</v>
      </c>
      <c r="C48" s="1267">
        <f ca="1">C49+C53+C55</f>
        <v>0</v>
      </c>
      <c r="D48" s="1048"/>
      <c r="E48" s="1049"/>
      <c r="F48" s="907"/>
      <c r="G48" s="681"/>
      <c r="H48" s="682"/>
      <c r="I48" s="1327" t="s">
        <v>819</v>
      </c>
      <c r="J48" s="1328" t="s">
        <v>3491</v>
      </c>
      <c r="K48" s="1329" t="s">
        <v>820</v>
      </c>
      <c r="L48" s="1330">
        <f ca="1">INDIRECT("'数据-取费表'!f"&amp;$G$1)</f>
        <v>16.04</v>
      </c>
      <c r="O48" s="1324" t="s">
        <v>404</v>
      </c>
      <c r="P48" s="1325" t="s">
        <v>821</v>
      </c>
      <c r="Q48" s="1326">
        <f ca="1">J60</f>
        <v>643</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f>'数据-取费表'!O18</f>
        <v>2005</v>
      </c>
      <c r="K49" s="1329" t="s">
        <v>824</v>
      </c>
      <c r="L49" s="1332"/>
      <c r="O49" s="1333" t="s">
        <v>405</v>
      </c>
      <c r="P49" s="1325" t="s">
        <v>825</v>
      </c>
      <c r="Q49" s="1326">
        <f ca="1">C29</f>
        <v>5125</v>
      </c>
      <c r="R49" s="1326" t="s">
        <v>818</v>
      </c>
    </row>
    <row r="50" spans="1:18" s="1291" customFormat="1" ht="13.5" thickBot="1">
      <c r="A50" s="921"/>
      <c r="B50" s="924"/>
      <c r="C50" s="1054"/>
      <c r="D50" s="898"/>
      <c r="E50" s="992" t="s">
        <v>697</v>
      </c>
      <c r="F50" s="993">
        <f ca="1">F7</f>
        <v>9951.27</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6117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16.04</v>
      </c>
      <c r="R52" s="1326" t="s">
        <v>835</v>
      </c>
    </row>
    <row r="53" spans="1:18" s="1291" customFormat="1" ht="26.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16.04</v>
      </c>
      <c r="K53" s="3354" t="s">
        <v>837</v>
      </c>
      <c r="L53" s="3355"/>
      <c r="O53" s="1324" t="s">
        <v>409</v>
      </c>
      <c r="P53" s="1325" t="s">
        <v>838</v>
      </c>
      <c r="Q53" s="1326">
        <f ca="1">Q47+Q48</f>
        <v>8070</v>
      </c>
      <c r="R53" s="1326" t="s">
        <v>410</v>
      </c>
    </row>
    <row r="54" spans="1:18" s="1291" customFormat="1" ht="26.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40" thickTop="1" thickBot="1">
      <c r="A56" s="902">
        <v>2</v>
      </c>
      <c r="B56" s="903" t="s">
        <v>704</v>
      </c>
      <c r="C56" s="224">
        <f ca="1">C13</f>
        <v>3793</v>
      </c>
      <c r="D56" s="1351"/>
      <c r="E56" s="1352"/>
      <c r="F56" s="1344"/>
      <c r="I56" s="1353" t="s">
        <v>842</v>
      </c>
      <c r="J56" s="1354" t="s">
        <v>3492</v>
      </c>
      <c r="K56" s="1327" t="s">
        <v>843</v>
      </c>
      <c r="L56" s="1330" t="str">
        <f ca="1">IF(L48&lt;J51,"——",L48-J53)</f>
        <v>——</v>
      </c>
      <c r="O56" s="1324" t="s">
        <v>403</v>
      </c>
      <c r="P56" s="1325" t="s">
        <v>817</v>
      </c>
      <c r="Q56" s="1326">
        <f ca="1">C40+J29</f>
        <v>7427</v>
      </c>
      <c r="R56" s="1326" t="s">
        <v>818</v>
      </c>
    </row>
    <row r="57" spans="1:18" s="1291" customFormat="1" ht="26.5" thickBot="1">
      <c r="A57" s="1355"/>
      <c r="B57" s="895" t="s">
        <v>767</v>
      </c>
      <c r="C57" s="230">
        <f ca="1">C29</f>
        <v>5125</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6.5" thickBot="1">
      <c r="A58" s="307" t="s">
        <v>393</v>
      </c>
      <c r="B58" s="903" t="s">
        <v>714</v>
      </c>
      <c r="C58" s="308">
        <f ca="1">ROUND(C59+C64+C65+C66,0)</f>
        <v>29</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f ca="1">IF(OR(M47="住宅",J51&lt;L48,J56="是"),"——",ROUND(C29*J58,0))</f>
        <v>2050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643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3333</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1.5</v>
      </c>
      <c r="I62" s="1366" t="s">
        <v>858</v>
      </c>
      <c r="J62" s="610" t="s">
        <v>859</v>
      </c>
      <c r="K62" s="610" t="s">
        <v>860</v>
      </c>
      <c r="L62" s="610" t="s">
        <v>861</v>
      </c>
      <c r="M62" s="1367" t="s">
        <v>862</v>
      </c>
      <c r="O62" s="1324" t="s">
        <v>409</v>
      </c>
      <c r="P62" s="1325" t="s">
        <v>863</v>
      </c>
      <c r="Q62" s="1326">
        <f ca="1">Q56+Q57</f>
        <v>7427</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25.63</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3.79</v>
      </c>
      <c r="D65" s="909" t="s">
        <v>743</v>
      </c>
      <c r="E65" s="895" t="s">
        <v>744</v>
      </c>
      <c r="F65" s="321">
        <f t="shared" ca="1" si="0"/>
        <v>1E-3</v>
      </c>
      <c r="I65" s="1366" t="s">
        <v>867</v>
      </c>
      <c r="J65" s="610">
        <v>40</v>
      </c>
      <c r="K65" s="610">
        <v>30</v>
      </c>
      <c r="L65" s="610">
        <v>50</v>
      </c>
      <c r="M65" s="1368">
        <v>0.02</v>
      </c>
      <c r="O65" s="1324" t="s">
        <v>403</v>
      </c>
      <c r="P65" s="1325" t="s">
        <v>868</v>
      </c>
      <c r="Q65" s="1326">
        <f ca="1">C40+J29</f>
        <v>7427</v>
      </c>
      <c r="R65" s="1326" t="s">
        <v>818</v>
      </c>
    </row>
    <row r="66" spans="1:18" s="1291" customFormat="1" ht="16" thickBot="1">
      <c r="A66" s="927" t="s">
        <v>793</v>
      </c>
      <c r="B66" s="895" t="s">
        <v>728</v>
      </c>
      <c r="C66" s="21">
        <f ca="1">ROUND(C48*F66,2)</f>
        <v>0</v>
      </c>
      <c r="D66" s="909" t="s">
        <v>794</v>
      </c>
      <c r="E66" s="895" t="s">
        <v>712</v>
      </c>
      <c r="F66" s="304">
        <f t="shared" ca="1" si="0"/>
        <v>0.01</v>
      </c>
      <c r="O66" s="1324" t="s">
        <v>404</v>
      </c>
      <c r="P66" s="1325" t="s">
        <v>846</v>
      </c>
      <c r="Q66" s="1326">
        <f ca="1">L60</f>
        <v>0</v>
      </c>
      <c r="R66" s="1326" t="s">
        <v>869</v>
      </c>
    </row>
    <row r="67" spans="1:18" s="1291" customFormat="1" ht="26.5" thickBot="1">
      <c r="A67" s="902" t="s">
        <v>394</v>
      </c>
      <c r="B67" s="912" t="s">
        <v>752</v>
      </c>
      <c r="C67" s="308">
        <f ca="1">C48-C58</f>
        <v>-29</v>
      </c>
      <c r="D67" s="908" t="s">
        <v>753</v>
      </c>
      <c r="E67" s="913"/>
      <c r="F67" s="914"/>
      <c r="O67" s="1333" t="s">
        <v>405</v>
      </c>
      <c r="P67" s="1325" t="s">
        <v>850</v>
      </c>
      <c r="Q67" s="1369">
        <f ca="1">L51</f>
        <v>6117</v>
      </c>
      <c r="R67" s="1326" t="s">
        <v>870</v>
      </c>
    </row>
    <row r="68" spans="1:18" s="1291" customFormat="1" ht="16" thickBot="1">
      <c r="A68" s="892" t="s">
        <v>395</v>
      </c>
      <c r="B68" s="893" t="s">
        <v>774</v>
      </c>
      <c r="C68" s="293">
        <f ca="1">ROUND(C67*(1-((1+F70)/(1+F68))^F69)/(F68-F70),0)</f>
        <v>-304</v>
      </c>
      <c r="D68" s="910" t="s">
        <v>758</v>
      </c>
      <c r="E68" s="895" t="s">
        <v>759</v>
      </c>
      <c r="F68" s="304">
        <f ca="1">F40</f>
        <v>5.5E-2</v>
      </c>
      <c r="O68" s="1333" t="s">
        <v>406</v>
      </c>
      <c r="P68" s="1370" t="s">
        <v>871</v>
      </c>
      <c r="Q68" s="1326">
        <f ca="1">ROUND(Q69-Q70*Q71,0)</f>
        <v>356</v>
      </c>
      <c r="R68" s="1326" t="s">
        <v>414</v>
      </c>
    </row>
    <row r="69" spans="1:18" s="1291" customFormat="1" ht="13.5" thickBot="1">
      <c r="A69" s="896"/>
      <c r="B69" s="897"/>
      <c r="C69" s="298"/>
      <c r="D69" s="915" t="s">
        <v>762</v>
      </c>
      <c r="E69" s="895" t="s">
        <v>763</v>
      </c>
      <c r="F69" s="324">
        <f ca="1">F41</f>
        <v>16.04</v>
      </c>
      <c r="O69" s="1333" t="s">
        <v>411</v>
      </c>
      <c r="P69" s="1370" t="s">
        <v>872</v>
      </c>
      <c r="Q69" s="1326">
        <f ca="1">C39</f>
        <v>622</v>
      </c>
      <c r="R69" s="1326" t="s">
        <v>818</v>
      </c>
    </row>
    <row r="70" spans="1:18" s="1291" customFormat="1" ht="13.5" thickBot="1">
      <c r="A70" s="899"/>
      <c r="B70" s="900"/>
      <c r="C70" s="302"/>
      <c r="D70" s="911"/>
      <c r="E70" s="895" t="s">
        <v>766</v>
      </c>
      <c r="F70" s="990"/>
      <c r="O70" s="1333" t="s">
        <v>412</v>
      </c>
      <c r="P70" s="1370" t="s">
        <v>873</v>
      </c>
      <c r="Q70" s="1326">
        <f ca="1">C13</f>
        <v>3793</v>
      </c>
      <c r="R70" s="1326" t="s">
        <v>818</v>
      </c>
    </row>
    <row r="71" spans="1:18" s="1291" customFormat="1" ht="13.5" thickBot="1">
      <c r="A71" s="916" t="s">
        <v>396</v>
      </c>
      <c r="B71" s="917" t="s">
        <v>776</v>
      </c>
      <c r="C71" s="327">
        <f ca="1">ROUND(C68*10000/F71,0)</f>
        <v>-305</v>
      </c>
      <c r="D71" s="918" t="s">
        <v>777</v>
      </c>
      <c r="E71" s="919" t="s">
        <v>778</v>
      </c>
      <c r="F71" s="330">
        <f ca="1">F43</f>
        <v>9951.27</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266</v>
      </c>
      <c r="D75" s="1291"/>
      <c r="E75" s="1291"/>
      <c r="F75" s="1291"/>
      <c r="K75" s="1308"/>
      <c r="L75" s="1291"/>
      <c r="O75" s="1324" t="s">
        <v>409</v>
      </c>
      <c r="P75" s="1325" t="s">
        <v>838</v>
      </c>
      <c r="Q75" s="1326">
        <f ca="1">Q65+Q66</f>
        <v>7427</v>
      </c>
      <c r="R75" s="1326" t="s">
        <v>410</v>
      </c>
    </row>
    <row r="76" spans="1:18" ht="13">
      <c r="B76" s="333" t="s">
        <v>796</v>
      </c>
      <c r="C76" s="334">
        <f ca="1">INDIRECT("'数据-取费表'!j"&amp;$G$1)</f>
        <v>7.0000000000000007E-2</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f ca="1">1-C80</f>
        <v>0.57200000000000006</v>
      </c>
    </row>
    <row r="80" spans="1:18" ht="13">
      <c r="B80" s="331" t="s">
        <v>800</v>
      </c>
      <c r="C80" s="266">
        <f ca="1">ROUND(C75/C39,3)</f>
        <v>0.42799999999999999</v>
      </c>
    </row>
    <row r="81" spans="2:3" ht="13.5">
      <c r="B81" s="262" t="s">
        <v>801</v>
      </c>
      <c r="C81" s="230"/>
    </row>
    <row r="82" spans="2:3" ht="13">
      <c r="B82" s="265" t="s">
        <v>802</v>
      </c>
      <c r="C82" s="267">
        <f ca="1">1-C83</f>
        <v>0.48899999999999999</v>
      </c>
    </row>
    <row r="83" spans="2:3" ht="13">
      <c r="B83" s="265" t="s">
        <v>803</v>
      </c>
      <c r="C83" s="266">
        <f ca="1">ROUND(C13/C40,3)</f>
        <v>0.51100000000000001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3" priority="3">
      <formula>$F$10="自定义"</formula>
    </cfRule>
  </conditionalFormatting>
  <conditionalFormatting sqref="C54">
    <cfRule type="expression" dxfId="152" priority="1">
      <formula>$F$53="自定义"</formula>
    </cfRule>
  </conditionalFormatting>
  <conditionalFormatting sqref="I55 I60">
    <cfRule type="expression" dxfId="151" priority="57">
      <formula>$J$51&gt;$L$48</formula>
    </cfRule>
  </conditionalFormatting>
  <conditionalFormatting sqref="J11">
    <cfRule type="expression" dxfId="150" priority="2">
      <formula>$M$10="自定义"</formula>
    </cfRule>
  </conditionalFormatting>
  <conditionalFormatting sqref="K55 K60">
    <cfRule type="expression" dxfId="14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79" t="s">
        <v>898</v>
      </c>
    </row>
    <row r="3" spans="1:1" ht="18">
      <c r="A3" s="1380" t="str">
        <f>项目基本情况!B5&amp;"："</f>
        <v>：</v>
      </c>
    </row>
    <row r="4" spans="1:1" ht="17.5">
      <c r="A4" s="1381" t="str">
        <f>"受贵公司委托，我公司对"&amp;项目基本情况!S1&amp;"进行了预评估。"</f>
        <v>受贵公司委托，我公司对北京市通州区翠平西路2号，4、6、8号；通朝大街202、204、206号、208、210、212号房地产抵押价值进行了预评估。</v>
      </c>
    </row>
    <row r="5" spans="1:1" ht="18">
      <c r="A5" s="1382" t="s">
        <v>899</v>
      </c>
    </row>
    <row r="6" spans="1:1" ht="17.5">
      <c r="A6" s="1383" t="s">
        <v>900</v>
      </c>
    </row>
    <row r="7" spans="1:1" ht="17.5">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翠平西路2号，4、6、8号；通朝大街202、204、206号、208、210、212号房地产，为所有。根据《国有土地使用证》[]，估价对象（分摊）出让国有建设用地使用权面积为0平方米，建筑面积为20244.17平方米。</v>
      </c>
    </row>
    <row r="8" spans="1:1" ht="53.5">
      <c r="A8" s="1384" t="s">
        <v>901</v>
      </c>
    </row>
    <row r="9" spans="1:1" ht="17.5">
      <c r="A9" s="1383" t="s">
        <v>902</v>
      </c>
    </row>
    <row r="10" spans="1:1" ht="17.5">
      <c r="A10" s="1381" t="str">
        <f>"估价对象为"&amp;项目基本情况!S2&amp;IF(结果表房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翠平西路2号，4、6、8号；通朝大街202、204、206号、208、210、212号房地产,属开发建设的商业项目，该项目尚在开发建设中。根据《国有土地使用证》[]，估价对象（分摊）出让国有建设用地使用权面积为0平方米，规划建筑面积为20244.17平方米。</v>
      </c>
    </row>
    <row r="11" spans="1:1" ht="71">
      <c r="A11" s="1384" t="s">
        <v>903</v>
      </c>
    </row>
    <row r="12" spans="1:1" ht="18">
      <c r="A12" s="1382" t="s">
        <v>904</v>
      </c>
    </row>
    <row r="13" spans="1:1" ht="38.25" customHeight="1">
      <c r="A13" s="1381" t="str">
        <f>IF(项目基本情况!B8="抵押",IF(项目基本情况!B5=项目基本情况!B6,定义!C51,定义!B51),定义!D51)</f>
        <v>拟使用北京市通州区翠平西路2号，4、6、8号；通朝大街202、204、206号、208、210、212号房地产作为抵押担保物，向办理贷款手续。特委托北京康正宏基房地产评估有限公司对上述抵押物进行评估。本次评估为确定房地产抵押贷款额度提供参考依据而评估房地产抵押价值。</v>
      </c>
    </row>
    <row r="14" spans="1:1" ht="18">
      <c r="A14" s="1380" t="s">
        <v>905</v>
      </c>
    </row>
    <row r="15" spans="1:1" ht="17.5">
      <c r="A15" s="1385" t="str">
        <f>TEXT(项目基本情况!D3,"yyyy年m月d日;;")&amp;IF(项目基本情况!D3=项目基本情况!B3,"（评估专业人员实地查勘之日）","")</f>
        <v>2025年11月13日</v>
      </c>
    </row>
    <row r="16" spans="1:1" ht="18">
      <c r="A16" s="1380" t="s">
        <v>906</v>
      </c>
    </row>
    <row r="17" spans="1:1" ht="70">
      <c r="A17" s="1381" t="s">
        <v>907</v>
      </c>
    </row>
    <row r="18" spans="1:1" ht="70">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房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房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"本次评估采用的主估价方法为"&amp;结果表房本1!K4&amp;"和"&amp;结果表房本1!L4&amp;"。"</f>
        <v>本次评估采用的主估价方法为成本法和收益法。</v>
      </c>
    </row>
    <row r="25" spans="1:1" ht="17.5">
      <c r="A25" s="1386"/>
    </row>
    <row r="26" spans="1:1" ht="1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56" t="s">
        <v>694</v>
      </c>
      <c r="C6" s="1010">
        <f ca="1">ROUND(F6*F8*F7*(1-F9),0)</f>
        <v>0</v>
      </c>
      <c r="D6" s="147" t="s">
        <v>2106</v>
      </c>
      <c r="E6" s="294" t="s">
        <v>696</v>
      </c>
      <c r="F6" s="295">
        <f ca="1">INDIRECT("'数据-取费表'!u"&amp;$G$1)</f>
        <v>0</v>
      </c>
      <c r="G6" s="1291"/>
      <c r="H6" s="1005" t="s">
        <v>398</v>
      </c>
      <c r="I6" s="3356" t="s">
        <v>694</v>
      </c>
      <c r="J6" s="293">
        <f ca="1">ROUND(M6*M8*M7*(1-M9),0)</f>
        <v>0</v>
      </c>
      <c r="K6" s="1283" t="s">
        <v>2107</v>
      </c>
      <c r="L6" s="294" t="s">
        <v>696</v>
      </c>
      <c r="M6" s="295">
        <f ca="1">INDIRECT("'数据-取费表'!z"&amp;$G$1)</f>
        <v>0</v>
      </c>
    </row>
    <row r="7" spans="1:37" ht="18" customHeight="1">
      <c r="A7" s="1009"/>
      <c r="B7" s="3357"/>
      <c r="C7" s="1011"/>
      <c r="D7" s="299"/>
      <c r="E7" s="1012" t="s">
        <v>697</v>
      </c>
      <c r="F7" s="295">
        <f ca="1">IF(INDIRECT("'数据-取费表'!ah"&amp;$G$1)="",INDIRECT("'数据-取费表'!k"&amp;$G$1),INDIRECT("'数据-取费表'!ah"&amp;$G$1))</f>
        <v>0</v>
      </c>
      <c r="G7" s="1291"/>
      <c r="H7" s="296"/>
      <c r="I7" s="3357"/>
      <c r="J7" s="298"/>
      <c r="K7" s="299"/>
      <c r="L7" s="294" t="s">
        <v>697</v>
      </c>
      <c r="M7" s="295">
        <f ca="1">F7</f>
        <v>0</v>
      </c>
    </row>
    <row r="8" spans="1:37" ht="18" customHeight="1">
      <c r="A8" s="296"/>
      <c r="B8" s="3357"/>
      <c r="C8" s="298"/>
      <c r="D8" s="299"/>
      <c r="E8" s="294" t="s">
        <v>698</v>
      </c>
      <c r="F8" s="295">
        <f ca="1">INDIRECT("'数据-取费表'!ai"&amp;$G$1)</f>
        <v>0</v>
      </c>
      <c r="G8" s="1291"/>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1"/>
      <c r="H9" s="296"/>
      <c r="I9" s="335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3333</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ROUND(IF(AND(项目基本情况!B11="自然人",项目基本情况!B10="北京市"),C6*F31/(1+'数据-取费表'!C42),C32+C33+C34),0)</f>
        <v>0</v>
      </c>
      <c r="D31" s="1256" t="s">
        <v>720</v>
      </c>
      <c r="E31" s="1255" t="s">
        <v>770</v>
      </c>
      <c r="F31" s="2137"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1.5</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ROUND(C13*F37,0)</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ROUND(C5*F38,0)</f>
        <v>0</v>
      </c>
      <c r="D38" s="1028" t="s">
        <v>748</v>
      </c>
      <c r="E38" s="1026" t="s">
        <v>744</v>
      </c>
      <c r="F38" s="1022">
        <f ca="1">INDIRECT("'数据-取费表'!Am"&amp;$G$1)</f>
        <v>0</v>
      </c>
      <c r="G38" s="1291"/>
      <c r="H38" s="2471"/>
      <c r="I38" s="1304"/>
      <c r="J38" s="1305"/>
      <c r="K38" s="2469"/>
      <c r="L38" s="2471"/>
      <c r="M38" s="2471"/>
    </row>
    <row r="39" spans="1:18" ht="24.65"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3349</v>
      </c>
      <c r="B45" s="1306"/>
      <c r="C45" s="1375" t="e">
        <f ca="1">ROUND((C68-C40)/10000,4)</f>
        <v>#DIV/0!</v>
      </c>
      <c r="D45" s="3128" t="s">
        <v>3350</v>
      </c>
      <c r="E45" s="1306"/>
      <c r="F45" s="1306"/>
      <c r="O45" s="1309" t="s">
        <v>808</v>
      </c>
      <c r="P45" s="1365"/>
      <c r="Q45" s="1365"/>
      <c r="R45" s="1365"/>
    </row>
    <row r="46" spans="1:18" s="1291" customFormat="1" ht="14"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3.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0</v>
      </c>
      <c r="K53" s="3354" t="s">
        <v>837</v>
      </c>
      <c r="L53" s="3355"/>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6.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6.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3333</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2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ht="13">
      <c r="B76" s="333" t="s">
        <v>796</v>
      </c>
      <c r="C76" s="334">
        <f ca="1">INDIRECT("'数据-取费表'!j"&amp;$G$1)</f>
        <v>0</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2" t="s">
        <v>2315</v>
      </c>
      <c r="B2" s="2592" t="e">
        <f>IF(D2="——",C40,C40+E2)</f>
        <v>#DIV/0!</v>
      </c>
      <c r="C2" s="2593" t="s">
        <v>2316</v>
      </c>
      <c r="D2" s="3136" t="s">
        <v>3356</v>
      </c>
      <c r="E2" s="3137"/>
      <c r="F2" s="2595"/>
      <c r="G2" s="2596"/>
      <c r="H2" s="2597"/>
      <c r="I2" s="2598"/>
      <c r="J2" s="3359" t="s">
        <v>2317</v>
      </c>
      <c r="K2" s="3360"/>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361" t="s">
        <v>2327</v>
      </c>
      <c r="K3" s="3362"/>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361" t="s">
        <v>2329</v>
      </c>
      <c r="K4" s="3362"/>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363" t="s">
        <v>2333</v>
      </c>
      <c r="B6" s="3364"/>
      <c r="C6" s="3365"/>
      <c r="D6" s="2619"/>
      <c r="E6" s="2620"/>
      <c r="F6" s="2621"/>
      <c r="G6" s="2622"/>
      <c r="H6" s="2597"/>
      <c r="I6" s="2598"/>
      <c r="J6" s="3366">
        <v>1</v>
      </c>
      <c r="K6" s="336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366"/>
      <c r="K7" s="3368"/>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370" t="s">
        <v>2347</v>
      </c>
      <c r="C8" s="3371"/>
      <c r="D8" s="2638" t="s">
        <v>2348</v>
      </c>
      <c r="E8" s="2639" t="s">
        <v>2349</v>
      </c>
      <c r="F8" s="2640" t="s">
        <v>2350</v>
      </c>
      <c r="G8" s="2641"/>
      <c r="H8" s="2597"/>
      <c r="I8" s="2598"/>
      <c r="J8" s="3366"/>
      <c r="K8" s="3368"/>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370" t="s">
        <v>2353</v>
      </c>
      <c r="C9" s="3371"/>
      <c r="D9" s="2638">
        <f>ROUND(D6*E9,0)</f>
        <v>0</v>
      </c>
      <c r="E9" s="2642"/>
      <c r="F9" s="2643" t="s">
        <v>2354</v>
      </c>
      <c r="G9" s="2622"/>
      <c r="H9" s="2597"/>
      <c r="I9" s="2598"/>
      <c r="J9" s="3366"/>
      <c r="K9" s="3368"/>
      <c r="L9" s="2632" t="s">
        <v>2355</v>
      </c>
      <c r="M9" s="2633"/>
      <c r="N9" s="2609"/>
      <c r="O9" s="2634"/>
      <c r="P9" s="2634"/>
      <c r="Q9" s="2635">
        <v>365</v>
      </c>
      <c r="R9" s="2636">
        <f t="shared" si="0"/>
        <v>0</v>
      </c>
      <c r="S9" s="2590"/>
      <c r="T9" s="2590"/>
      <c r="U9" s="2590"/>
      <c r="V9" s="2598"/>
    </row>
    <row r="10" spans="1:22" s="2602" customFormat="1" ht="13.15" customHeight="1">
      <c r="A10" s="2637">
        <v>2</v>
      </c>
      <c r="B10" s="3370" t="s">
        <v>2356</v>
      </c>
      <c r="C10" s="3371"/>
      <c r="D10" s="2638">
        <f>ROUND(D6*E10,0)</f>
        <v>0</v>
      </c>
      <c r="E10" s="2642"/>
      <c r="F10" s="2643" t="s">
        <v>2357</v>
      </c>
      <c r="G10" s="2622"/>
      <c r="H10" s="2597"/>
      <c r="I10" s="2598"/>
      <c r="J10" s="3366"/>
      <c r="K10" s="3368"/>
      <c r="L10" s="2632" t="s">
        <v>2358</v>
      </c>
      <c r="M10" s="2633"/>
      <c r="N10" s="2609"/>
      <c r="O10" s="2634"/>
      <c r="P10" s="2634"/>
      <c r="Q10" s="2635">
        <v>365</v>
      </c>
      <c r="R10" s="2636">
        <f t="shared" si="0"/>
        <v>0</v>
      </c>
      <c r="S10" s="2590"/>
      <c r="T10" s="2590"/>
      <c r="U10" s="2590"/>
      <c r="V10" s="2598"/>
    </row>
    <row r="11" spans="1:22" s="2602" customFormat="1" ht="13.15" customHeight="1">
      <c r="A11" s="2637">
        <v>3</v>
      </c>
      <c r="B11" s="3370" t="s">
        <v>2359</v>
      </c>
      <c r="C11" s="3371"/>
      <c r="D11" s="2638">
        <f>D12+D14+D15+D16</f>
        <v>0</v>
      </c>
      <c r="E11" s="2644" t="e">
        <f>D11/D6</f>
        <v>#DIV/0!</v>
      </c>
      <c r="F11" s="2640"/>
      <c r="G11" s="2641"/>
      <c r="H11" s="2597"/>
      <c r="I11" s="2598"/>
      <c r="J11" s="3366"/>
      <c r="K11" s="3368"/>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372" t="s">
        <v>2362</v>
      </c>
      <c r="C12" s="3373"/>
      <c r="D12" s="2646">
        <f>ROUND(D13*1.2%*(1-30%),0)</f>
        <v>0</v>
      </c>
      <c r="E12" s="2647">
        <v>1.2E-2</v>
      </c>
      <c r="F12" s="2640" t="s">
        <v>2363</v>
      </c>
      <c r="G12" s="2641"/>
      <c r="H12" s="2597"/>
      <c r="I12" s="2598"/>
      <c r="J12" s="3366"/>
      <c r="K12" s="3368"/>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366"/>
      <c r="K13" s="3368"/>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372" t="s">
        <v>2368</v>
      </c>
      <c r="C14" s="3373"/>
      <c r="D14" s="2646">
        <f>ROUND(E14*B5/10000,0)</f>
        <v>0</v>
      </c>
      <c r="E14" s="2635"/>
      <c r="F14" s="2640" t="s">
        <v>2369</v>
      </c>
      <c r="G14" s="2641"/>
      <c r="H14" s="2597"/>
      <c r="I14" s="2598"/>
      <c r="J14" s="3366"/>
      <c r="K14" s="336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372" t="s">
        <v>2372</v>
      </c>
      <c r="C15" s="3373"/>
      <c r="D15" s="2646">
        <f>ROUND(D6*E15,0)</f>
        <v>0</v>
      </c>
      <c r="E15" s="2647">
        <v>5.5E-2</v>
      </c>
      <c r="F15" s="2640" t="s">
        <v>2373</v>
      </c>
      <c r="G15" s="2622"/>
      <c r="H15" s="2597"/>
      <c r="I15" s="2598"/>
      <c r="J15" s="3366">
        <v>2</v>
      </c>
      <c r="K15" s="336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372" t="s">
        <v>2381</v>
      </c>
      <c r="C16" s="3373"/>
      <c r="D16" s="2657">
        <f>D6*E16</f>
        <v>0</v>
      </c>
      <c r="E16" s="2658"/>
      <c r="F16" s="2643" t="s">
        <v>2382</v>
      </c>
      <c r="G16" s="2622"/>
      <c r="H16" s="2597"/>
      <c r="I16" s="2598"/>
      <c r="J16" s="3366"/>
      <c r="K16" s="3368"/>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374" t="s">
        <v>2384</v>
      </c>
      <c r="C17" s="3375"/>
      <c r="D17" s="2660">
        <f>ROUND(D6*E17,0)</f>
        <v>0</v>
      </c>
      <c r="E17" s="2661"/>
      <c r="F17" s="2662" t="s">
        <v>2385</v>
      </c>
      <c r="G17" s="2622"/>
      <c r="H17" s="2597"/>
      <c r="I17" s="2598"/>
      <c r="J17" s="3366"/>
      <c r="K17" s="3368"/>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366"/>
      <c r="K18" s="3368"/>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366"/>
      <c r="K19" s="336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66">
        <v>3</v>
      </c>
      <c r="K20" s="336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366"/>
      <c r="K21" s="3368"/>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366"/>
      <c r="K22" s="3368"/>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366"/>
      <c r="K23" s="3368"/>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366"/>
      <c r="K24" s="336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37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37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359" t="s">
        <v>2317</v>
      </c>
      <c r="K32" s="3360"/>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361" t="s">
        <v>2327</v>
      </c>
      <c r="K33" s="3362"/>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361" t="s">
        <v>2329</v>
      </c>
      <c r="K34" s="336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366">
        <v>1</v>
      </c>
      <c r="K36" s="3367"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366"/>
      <c r="K37" s="3368"/>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66"/>
      <c r="K38" s="3368"/>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366"/>
      <c r="K39" s="3368"/>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366"/>
      <c r="K40" s="3369"/>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6">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37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5">
      <c r="A2" s="1727" t="s">
        <v>1462</v>
      </c>
      <c r="B2" s="810">
        <f ca="1">SUMIF(B6:B13,"&lt;&gt;#ref!",B6:B13)</f>
        <v>16735</v>
      </c>
      <c r="C2" s="1728" t="s">
        <v>1651</v>
      </c>
      <c r="D2" s="1729" t="s">
        <v>1652</v>
      </c>
      <c r="E2" s="2391">
        <f>SUM(E6:E13)</f>
        <v>20244.170000000002</v>
      </c>
      <c r="F2" s="2477"/>
      <c r="G2" s="459"/>
      <c r="H2" s="459"/>
      <c r="I2" s="459"/>
      <c r="J2" s="459"/>
      <c r="K2" s="459"/>
      <c r="L2" s="459"/>
      <c r="M2" s="459"/>
      <c r="N2" s="459"/>
      <c r="O2" s="459"/>
      <c r="P2" s="459"/>
      <c r="Q2" s="459"/>
      <c r="R2" s="459"/>
      <c r="S2" s="459"/>
    </row>
    <row r="3" spans="1:22" ht="15.5">
      <c r="A3" s="1727" t="s">
        <v>686</v>
      </c>
      <c r="B3" s="2385">
        <f ca="1">ROUND(B2*10000/E2,0)</f>
        <v>8267</v>
      </c>
      <c r="C3" s="1728"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78" t="s">
        <v>1654</v>
      </c>
      <c r="C5" s="3379"/>
      <c r="D5" s="2478"/>
      <c r="E5" s="1730" t="s">
        <v>1655</v>
      </c>
      <c r="F5" s="129" t="s">
        <v>1656</v>
      </c>
      <c r="G5" s="459"/>
      <c r="H5" s="459"/>
      <c r="I5" s="459"/>
      <c r="J5" s="459"/>
      <c r="K5" s="459"/>
      <c r="L5" s="459"/>
      <c r="M5" s="459"/>
      <c r="N5" s="459"/>
      <c r="O5" s="459"/>
      <c r="P5" s="459"/>
      <c r="Q5" s="459"/>
      <c r="R5" s="459"/>
      <c r="S5" s="459"/>
    </row>
    <row r="6" spans="1:22">
      <c r="A6" s="2388" t="str">
        <f>'数据-取费表'!AN6</f>
        <v>收益法房本1</v>
      </c>
      <c r="B6" s="2386">
        <f ca="1">IF(F6="是",'数据-取费表'!AO6,0)</f>
        <v>8070</v>
      </c>
      <c r="C6" s="1728" t="s">
        <v>1651</v>
      </c>
      <c r="D6" s="2477"/>
      <c r="E6" s="2390">
        <f>IF(OR(A6=0,F6="否"),0,'数据-取费表'!K6+'数据-取费表'!S6)</f>
        <v>9951.27</v>
      </c>
      <c r="F6" s="1731" t="s">
        <v>1657</v>
      </c>
      <c r="G6" s="459"/>
      <c r="H6" s="459"/>
      <c r="I6" s="459"/>
      <c r="J6" s="459"/>
      <c r="K6" s="459"/>
      <c r="L6" s="459"/>
      <c r="M6" s="459"/>
      <c r="N6" s="459"/>
      <c r="O6" s="459"/>
      <c r="P6" s="459"/>
      <c r="Q6" s="459"/>
      <c r="R6" s="459"/>
      <c r="S6" s="459"/>
    </row>
    <row r="7" spans="1:22">
      <c r="A7" s="2388" t="str">
        <f>'数据-取费表'!AN7</f>
        <v>收益法房本2</v>
      </c>
      <c r="B7" s="2386">
        <f ca="1">IF(F7="是",'数据-取费表'!AO7,0)</f>
        <v>1834</v>
      </c>
      <c r="C7" s="1728" t="s">
        <v>1651</v>
      </c>
      <c r="D7" s="2477"/>
      <c r="E7" s="2390">
        <f>IF(OR(A7=0,F7="否"),0,'数据-取费表'!K7+'数据-取费表'!S7)</f>
        <v>2137.38</v>
      </c>
      <c r="F7" s="1731" t="s">
        <v>1657</v>
      </c>
      <c r="G7" s="459"/>
      <c r="H7" s="459"/>
      <c r="I7" s="459"/>
      <c r="J7" s="459"/>
      <c r="K7" s="459"/>
      <c r="L7" s="459"/>
      <c r="M7" s="459"/>
      <c r="N7" s="459"/>
      <c r="O7" s="459"/>
      <c r="P7" s="459"/>
      <c r="Q7" s="459"/>
      <c r="R7" s="459"/>
      <c r="S7" s="459"/>
    </row>
    <row r="8" spans="1:22">
      <c r="A8" s="2388" t="str">
        <f>'数据-取费表'!AN8</f>
        <v>收益法房本3</v>
      </c>
      <c r="B8" s="2386">
        <f ca="1">IF(F8="是",'数据-取费表'!AO8,0)</f>
        <v>6831</v>
      </c>
      <c r="C8" s="1728" t="s">
        <v>1651</v>
      </c>
      <c r="D8" s="2477"/>
      <c r="E8" s="2390">
        <f>IF(OR(A8=0,F8="否"),0,'数据-取费表'!K8+'数据-取费表'!S8)</f>
        <v>8155.52</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20244.170000000002</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c r="A4" s="345" t="s">
        <v>1666</v>
      </c>
      <c r="B4" s="346"/>
      <c r="C4" s="3398" t="s">
        <v>1667</v>
      </c>
      <c r="D4" s="3399"/>
      <c r="E4" s="3400" t="s">
        <v>1668</v>
      </c>
      <c r="F4" s="3401"/>
      <c r="G4" s="3398" t="s">
        <v>1669</v>
      </c>
      <c r="H4" s="3399"/>
      <c r="I4" s="3398" t="s">
        <v>1670</v>
      </c>
      <c r="J4" s="3399"/>
      <c r="K4" s="1743" t="s">
        <v>1671</v>
      </c>
      <c r="L4" s="2484"/>
      <c r="M4" s="2485"/>
      <c r="N4" s="2485"/>
      <c r="O4" s="2485"/>
      <c r="P4" s="3402" t="s">
        <v>1672</v>
      </c>
      <c r="Q4" s="3403"/>
      <c r="R4" s="3385" t="s">
        <v>1668</v>
      </c>
      <c r="S4" s="3386"/>
      <c r="T4" s="3385" t="s">
        <v>1669</v>
      </c>
      <c r="U4" s="3386"/>
      <c r="V4" s="3410" t="s">
        <v>1670</v>
      </c>
      <c r="W4" s="3410"/>
      <c r="X4" s="1264"/>
      <c r="Y4" s="3385" t="s">
        <v>1672</v>
      </c>
      <c r="Z4" s="3386"/>
      <c r="AA4" s="3380" t="s">
        <v>1668</v>
      </c>
      <c r="AB4" s="3380" t="s">
        <v>1669</v>
      </c>
      <c r="AC4" s="3380" t="s">
        <v>1670</v>
      </c>
    </row>
    <row r="5" spans="1:29">
      <c r="A5" s="348"/>
      <c r="B5" s="349"/>
      <c r="C5" s="3391" t="s">
        <v>1673</v>
      </c>
      <c r="D5" s="3392"/>
      <c r="E5" s="3389" t="s">
        <v>1674</v>
      </c>
      <c r="F5" s="3390"/>
      <c r="G5" s="3391" t="s">
        <v>1675</v>
      </c>
      <c r="H5" s="3392"/>
      <c r="I5" s="3391" t="s">
        <v>1676</v>
      </c>
      <c r="J5" s="3392"/>
      <c r="K5" s="1744"/>
      <c r="L5" s="2484"/>
      <c r="M5" s="2485"/>
      <c r="N5" s="2485"/>
      <c r="O5" s="2485"/>
      <c r="P5" s="3404"/>
      <c r="Q5" s="3405"/>
      <c r="R5" s="3387"/>
      <c r="S5" s="3388"/>
      <c r="T5" s="3387"/>
      <c r="U5" s="3388"/>
      <c r="V5" s="3410"/>
      <c r="W5" s="3410"/>
      <c r="X5" s="1264"/>
      <c r="Y5" s="3387"/>
      <c r="Z5" s="3388"/>
      <c r="AA5" s="3381"/>
      <c r="AB5" s="3381"/>
      <c r="AC5" s="3381"/>
    </row>
    <row r="6" spans="1:29" ht="15" thickBot="1">
      <c r="A6" s="350"/>
      <c r="B6" s="351"/>
      <c r="C6" s="3393" t="s">
        <v>1677</v>
      </c>
      <c r="D6" s="3394"/>
      <c r="E6" s="3395" t="s">
        <v>1677</v>
      </c>
      <c r="F6" s="3396"/>
      <c r="G6" s="3393" t="s">
        <v>1677</v>
      </c>
      <c r="H6" s="3394"/>
      <c r="I6" s="3393" t="s">
        <v>1677</v>
      </c>
      <c r="J6" s="3394"/>
      <c r="K6" s="1744" t="s">
        <v>1678</v>
      </c>
      <c r="L6" s="2484"/>
      <c r="M6" s="2485"/>
      <c r="N6" s="2485"/>
      <c r="O6" s="2485"/>
      <c r="P6" s="3406"/>
      <c r="Q6" s="3407"/>
      <c r="R6" s="3387"/>
      <c r="S6" s="3388"/>
      <c r="T6" s="3408"/>
      <c r="U6" s="3409"/>
      <c r="V6" s="3410"/>
      <c r="W6" s="3410"/>
      <c r="X6" s="1264"/>
      <c r="Y6" s="3408"/>
      <c r="Z6" s="3409"/>
      <c r="AA6" s="3382"/>
      <c r="AB6" s="3382"/>
      <c r="AC6" s="3382"/>
    </row>
    <row r="7" spans="1:29" s="102" customFormat="1" ht="14.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383" t="s">
        <v>1680</v>
      </c>
      <c r="Q7" s="3411"/>
      <c r="R7" s="664" t="s">
        <v>20</v>
      </c>
      <c r="S7" s="665">
        <f t="shared" ref="S7:S15" si="0">F7</f>
        <v>0</v>
      </c>
      <c r="T7" s="664" t="s">
        <v>20</v>
      </c>
      <c r="U7" s="665">
        <f t="shared" ref="U7:U15" si="1">H7</f>
        <v>0</v>
      </c>
      <c r="V7" s="664" t="s">
        <v>20</v>
      </c>
      <c r="W7" s="665">
        <f t="shared" ref="W7:W15" si="2">J7</f>
        <v>0</v>
      </c>
      <c r="X7" s="666"/>
      <c r="Y7" s="3383" t="s">
        <v>1680</v>
      </c>
      <c r="Z7" s="3384"/>
      <c r="AA7" s="50" t="e">
        <f>D7/F7</f>
        <v>#DIV/0!</v>
      </c>
      <c r="AB7" s="50" t="e">
        <f>D7/H7</f>
        <v>#DIV/0!</v>
      </c>
      <c r="AC7" s="50" t="e">
        <f>D7/J7</f>
        <v>#DIV/0!</v>
      </c>
    </row>
    <row r="8" spans="1:29" s="102" customFormat="1" ht="14.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383" t="s">
        <v>1683</v>
      </c>
      <c r="Q8" s="3384"/>
      <c r="R8" s="664" t="s">
        <v>20</v>
      </c>
      <c r="S8" s="665">
        <f t="shared" si="0"/>
        <v>100</v>
      </c>
      <c r="T8" s="664" t="s">
        <v>20</v>
      </c>
      <c r="U8" s="665">
        <f t="shared" si="1"/>
        <v>100</v>
      </c>
      <c r="V8" s="664" t="s">
        <v>20</v>
      </c>
      <c r="W8" s="665">
        <f t="shared" si="2"/>
        <v>100</v>
      </c>
      <c r="X8" s="666"/>
      <c r="Y8" s="3383" t="s">
        <v>1683</v>
      </c>
      <c r="Z8" s="33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7"/>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397"/>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8">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3" t="s">
        <v>1691</v>
      </c>
      <c r="Q15" s="1262" t="str">
        <f t="shared" si="6"/>
        <v>居住社区成熟度</v>
      </c>
      <c r="R15" s="667" t="s">
        <v>18</v>
      </c>
      <c r="S15" s="668">
        <f t="shared" si="0"/>
        <v>100</v>
      </c>
      <c r="T15" s="667" t="s">
        <v>18</v>
      </c>
      <c r="U15" s="668">
        <f t="shared" si="1"/>
        <v>100</v>
      </c>
      <c r="V15" s="667" t="s">
        <v>18</v>
      </c>
      <c r="W15" s="668">
        <f t="shared" si="2"/>
        <v>100</v>
      </c>
      <c r="X15" s="1264"/>
      <c r="Y15" s="3416" t="s">
        <v>1691</v>
      </c>
      <c r="Z15" s="1263" t="str">
        <f t="shared" si="7"/>
        <v>居住社区成熟度</v>
      </c>
      <c r="AA15" s="1263">
        <f t="shared" si="3"/>
        <v>1</v>
      </c>
      <c r="AB15" s="1263">
        <f t="shared" si="4"/>
        <v>1</v>
      </c>
      <c r="AC15" s="1263">
        <f t="shared" si="5"/>
        <v>1</v>
      </c>
    </row>
    <row r="16" spans="1:29" ht="15.5">
      <c r="A16" s="367"/>
      <c r="B16" s="385"/>
      <c r="C16" s="386"/>
      <c r="D16" s="387"/>
      <c r="E16" s="1750"/>
      <c r="F16" s="387"/>
      <c r="G16" s="1751"/>
      <c r="H16" s="389"/>
      <c r="I16" s="1751"/>
      <c r="J16" s="387"/>
      <c r="K16" s="1752"/>
      <c r="L16" s="2490"/>
      <c r="M16" s="2485"/>
      <c r="N16" s="2485"/>
      <c r="O16" s="2485"/>
      <c r="P16" s="3424"/>
      <c r="Q16" s="1262"/>
      <c r="R16" s="667"/>
      <c r="S16" s="668"/>
      <c r="T16" s="667"/>
      <c r="U16" s="668"/>
      <c r="V16" s="667"/>
      <c r="W16" s="668"/>
      <c r="X16" s="1264"/>
      <c r="Y16" s="3417"/>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4"/>
      <c r="Q17" s="1262" t="str">
        <f>B17</f>
        <v>交通便捷度</v>
      </c>
      <c r="R17" s="667" t="s">
        <v>18</v>
      </c>
      <c r="S17" s="668">
        <f>F17</f>
        <v>100</v>
      </c>
      <c r="T17" s="667" t="s">
        <v>18</v>
      </c>
      <c r="U17" s="668">
        <f>H17</f>
        <v>100</v>
      </c>
      <c r="V17" s="667" t="s">
        <v>18</v>
      </c>
      <c r="W17" s="668">
        <f>J17</f>
        <v>100</v>
      </c>
      <c r="X17" s="1264"/>
      <c r="Y17" s="3417"/>
      <c r="Z17" s="1263" t="str">
        <f>Q17</f>
        <v>交通便捷度</v>
      </c>
      <c r="AA17" s="1263">
        <f t="shared" si="3"/>
        <v>1</v>
      </c>
      <c r="AB17" s="1263">
        <f t="shared" si="4"/>
        <v>1</v>
      </c>
      <c r="AC17" s="1263">
        <f t="shared" si="5"/>
        <v>1</v>
      </c>
    </row>
    <row r="18" spans="1:29" ht="15.5">
      <c r="A18" s="367"/>
      <c r="B18" s="395"/>
      <c r="C18" s="1754"/>
      <c r="D18" s="389"/>
      <c r="E18" s="1755"/>
      <c r="F18" s="389"/>
      <c r="G18" s="1756"/>
      <c r="H18" s="387"/>
      <c r="I18" s="1756"/>
      <c r="J18" s="387"/>
      <c r="K18" s="1752"/>
      <c r="L18" s="2490"/>
      <c r="M18" s="2485"/>
      <c r="N18" s="2485"/>
      <c r="O18" s="2485"/>
      <c r="P18" s="3424"/>
      <c r="Q18" s="1262"/>
      <c r="R18" s="667"/>
      <c r="S18" s="668"/>
      <c r="T18" s="667"/>
      <c r="U18" s="668"/>
      <c r="V18" s="667"/>
      <c r="W18" s="668"/>
      <c r="X18" s="1264"/>
      <c r="Y18" s="3417"/>
      <c r="Z18" s="1263"/>
      <c r="AA18" s="1263">
        <v>1</v>
      </c>
      <c r="AB18" s="1263">
        <v>1</v>
      </c>
      <c r="AC18" s="1263">
        <v>1</v>
      </c>
    </row>
    <row r="19" spans="1:29" ht="42">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4"/>
      <c r="Q19" s="1262" t="str">
        <f>B19</f>
        <v>公共配套设施</v>
      </c>
      <c r="R19" s="667" t="s">
        <v>18</v>
      </c>
      <c r="S19" s="668">
        <f>F19</f>
        <v>100</v>
      </c>
      <c r="T19" s="667" t="s">
        <v>18</v>
      </c>
      <c r="U19" s="668">
        <f>H19</f>
        <v>100</v>
      </c>
      <c r="V19" s="667" t="s">
        <v>18</v>
      </c>
      <c r="W19" s="668">
        <f>J19</f>
        <v>100</v>
      </c>
      <c r="X19" s="1264"/>
      <c r="Y19" s="3417"/>
      <c r="Z19" s="1263" t="str">
        <f>Q19</f>
        <v>公共配套设施</v>
      </c>
      <c r="AA19" s="1263">
        <f t="shared" si="3"/>
        <v>1</v>
      </c>
      <c r="AB19" s="1263">
        <f t="shared" si="4"/>
        <v>1</v>
      </c>
      <c r="AC19" s="1263">
        <f t="shared" si="5"/>
        <v>1</v>
      </c>
    </row>
    <row r="20" spans="1:29" ht="15.5">
      <c r="A20" s="367"/>
      <c r="B20" s="395"/>
      <c r="C20" s="386"/>
      <c r="D20" s="387"/>
      <c r="E20" s="1750"/>
      <c r="F20" s="387"/>
      <c r="G20" s="1751"/>
      <c r="H20" s="387"/>
      <c r="I20" s="1751"/>
      <c r="J20" s="387"/>
      <c r="K20" s="1752"/>
      <c r="L20" s="2490"/>
      <c r="M20" s="2485"/>
      <c r="N20" s="2485"/>
      <c r="O20" s="2485"/>
      <c r="P20" s="3424"/>
      <c r="Q20" s="1262"/>
      <c r="R20" s="667"/>
      <c r="S20" s="668"/>
      <c r="T20" s="667"/>
      <c r="U20" s="668"/>
      <c r="V20" s="667"/>
      <c r="W20" s="668"/>
      <c r="X20" s="1264"/>
      <c r="Y20" s="3417"/>
      <c r="Z20" s="1263"/>
      <c r="AA20" s="1263">
        <v>1</v>
      </c>
      <c r="AB20" s="1263">
        <v>1</v>
      </c>
      <c r="AC20" s="1263">
        <v>1</v>
      </c>
    </row>
    <row r="21" spans="1:29" ht="28">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7"/>
      <c r="G22" s="1757"/>
      <c r="H22" s="387"/>
      <c r="I22" s="386"/>
      <c r="J22" s="387"/>
      <c r="K22" s="1758"/>
      <c r="L22" s="2490"/>
      <c r="M22" s="2485"/>
      <c r="N22" s="2485"/>
      <c r="O22" s="2485"/>
      <c r="P22" s="3424"/>
      <c r="Q22" s="1262"/>
      <c r="R22" s="667"/>
      <c r="S22" s="668"/>
      <c r="T22" s="667"/>
      <c r="U22" s="668"/>
      <c r="V22" s="667"/>
      <c r="W22" s="668"/>
      <c r="X22" s="1264"/>
      <c r="Y22" s="3417"/>
      <c r="Z22" s="1263"/>
      <c r="AA22" s="1263">
        <v>1</v>
      </c>
      <c r="AB22" s="1263">
        <v>1</v>
      </c>
      <c r="AC22" s="1263">
        <v>1</v>
      </c>
    </row>
    <row r="23" spans="1:29" ht="56">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4"/>
      <c r="Q23" s="1262" t="str">
        <f>B23</f>
        <v>自然及人文环境</v>
      </c>
      <c r="R23" s="667" t="s">
        <v>18</v>
      </c>
      <c r="S23" s="668">
        <f>F23</f>
        <v>100</v>
      </c>
      <c r="T23" s="667" t="s">
        <v>18</v>
      </c>
      <c r="U23" s="668">
        <f>H23</f>
        <v>100</v>
      </c>
      <c r="V23" s="667" t="s">
        <v>18</v>
      </c>
      <c r="W23" s="668">
        <f>J23</f>
        <v>100</v>
      </c>
      <c r="X23" s="1264"/>
      <c r="Y23" s="3417"/>
      <c r="Z23" s="1263" t="str">
        <f>Q23</f>
        <v>自然及人文环境</v>
      </c>
      <c r="AA23" s="1263">
        <f>D23/F23</f>
        <v>1</v>
      </c>
      <c r="AB23" s="1263">
        <f>D23/H23</f>
        <v>1</v>
      </c>
      <c r="AC23" s="1263">
        <f>D23/J23</f>
        <v>1</v>
      </c>
    </row>
    <row r="24" spans="1:29" ht="15.5">
      <c r="A24" s="367"/>
      <c r="B24" s="395"/>
      <c r="C24" s="386"/>
      <c r="D24" s="387"/>
      <c r="E24" s="1750"/>
      <c r="F24" s="387"/>
      <c r="G24" s="1751"/>
      <c r="H24" s="387"/>
      <c r="I24" s="1751"/>
      <c r="J24" s="387"/>
      <c r="K24" s="1752"/>
      <c r="L24" s="2490"/>
      <c r="M24" s="2485"/>
      <c r="N24" s="2485"/>
      <c r="O24" s="2485"/>
      <c r="P24" s="3424"/>
      <c r="Q24" s="1262"/>
      <c r="R24" s="667"/>
      <c r="S24" s="668"/>
      <c r="T24" s="667"/>
      <c r="U24" s="668"/>
      <c r="V24" s="667"/>
      <c r="W24" s="668"/>
      <c r="X24" s="1264"/>
      <c r="Y24" s="3417"/>
      <c r="Z24" s="1263"/>
      <c r="AA24" s="1263">
        <v>1</v>
      </c>
      <c r="AB24" s="1263">
        <v>1</v>
      </c>
      <c r="AC24" s="1263">
        <v>1</v>
      </c>
    </row>
    <row r="25" spans="1:29" ht="15.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7"/>
      <c r="Z25" s="1263" t="str">
        <f>Q25</f>
        <v>楼层-1</v>
      </c>
      <c r="AA25" s="1263">
        <f t="shared" ref="AA25:AA46" si="15">D25/F25</f>
        <v>1</v>
      </c>
      <c r="AB25" s="1263">
        <f t="shared" ref="AB25:AB46" si="16">D25/H25</f>
        <v>1</v>
      </c>
      <c r="AC25" s="1263">
        <f t="shared" ref="AC25:AC46" si="17">D25/J25</f>
        <v>1</v>
      </c>
    </row>
    <row r="26" spans="1:29" ht="15.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24"/>
      <c r="Q26" s="1262" t="str">
        <f t="shared" si="11"/>
        <v>朝向</v>
      </c>
      <c r="R26" s="667" t="s">
        <v>18</v>
      </c>
      <c r="S26" s="668">
        <f t="shared" si="12"/>
        <v>100</v>
      </c>
      <c r="T26" s="667" t="s">
        <v>18</v>
      </c>
      <c r="U26" s="668">
        <f t="shared" si="13"/>
        <v>100</v>
      </c>
      <c r="V26" s="667" t="s">
        <v>18</v>
      </c>
      <c r="W26" s="668">
        <f t="shared" si="14"/>
        <v>100</v>
      </c>
      <c r="X26" s="1264"/>
      <c r="Y26" s="3417"/>
      <c r="Z26" s="1263" t="str">
        <f>Q26</f>
        <v>朝向</v>
      </c>
      <c r="AA26" s="1263">
        <f t="shared" si="15"/>
        <v>1</v>
      </c>
      <c r="AB26" s="1263">
        <f t="shared" si="16"/>
        <v>1</v>
      </c>
      <c r="AC26" s="1263">
        <f t="shared" si="17"/>
        <v>1</v>
      </c>
    </row>
    <row r="27" spans="1:29" s="102" customFormat="1" ht="15.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424"/>
      <c r="Q27" s="530">
        <f t="shared" si="11"/>
        <v>111</v>
      </c>
      <c r="R27" s="664" t="s">
        <v>18</v>
      </c>
      <c r="S27" s="665">
        <f t="shared" si="12"/>
        <v>100</v>
      </c>
      <c r="T27" s="664" t="s">
        <v>18</v>
      </c>
      <c r="U27" s="665">
        <f t="shared" si="13"/>
        <v>100</v>
      </c>
      <c r="V27" s="664" t="s">
        <v>18</v>
      </c>
      <c r="W27" s="665">
        <f t="shared" si="14"/>
        <v>100</v>
      </c>
      <c r="X27" s="666"/>
      <c r="Y27" s="3417"/>
      <c r="Z27" s="50">
        <f>Q27</f>
        <v>111</v>
      </c>
      <c r="AA27" s="1263">
        <f t="shared" si="15"/>
        <v>1</v>
      </c>
      <c r="AB27" s="1263">
        <f t="shared" si="16"/>
        <v>1</v>
      </c>
      <c r="AC27" s="1263">
        <f t="shared" si="17"/>
        <v>1</v>
      </c>
    </row>
    <row r="28" spans="1:29" ht="15.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24"/>
      <c r="Q28" s="1262">
        <f t="shared" si="11"/>
        <v>111</v>
      </c>
      <c r="R28" s="667" t="s">
        <v>18</v>
      </c>
      <c r="S28" s="668">
        <f t="shared" si="12"/>
        <v>100</v>
      </c>
      <c r="T28" s="667" t="s">
        <v>18</v>
      </c>
      <c r="U28" s="668">
        <f t="shared" si="13"/>
        <v>100</v>
      </c>
      <c r="V28" s="667" t="s">
        <v>18</v>
      </c>
      <c r="W28" s="668">
        <f t="shared" si="14"/>
        <v>100</v>
      </c>
      <c r="X28" s="1264"/>
      <c r="Y28" s="3417"/>
      <c r="Z28" s="1263">
        <f t="shared" ref="Z28:Z46" si="18">Q28</f>
        <v>111</v>
      </c>
      <c r="AA28" s="1263">
        <f t="shared" si="15"/>
        <v>1</v>
      </c>
      <c r="AB28" s="1263">
        <f t="shared" si="16"/>
        <v>1</v>
      </c>
      <c r="AC28" s="1263">
        <f t="shared" si="17"/>
        <v>1</v>
      </c>
    </row>
    <row r="29" spans="1:29" ht="15.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24"/>
      <c r="Q29" s="1262">
        <f t="shared" si="11"/>
        <v>111</v>
      </c>
      <c r="R29" s="667" t="s">
        <v>18</v>
      </c>
      <c r="S29" s="668">
        <f t="shared" si="12"/>
        <v>100</v>
      </c>
      <c r="T29" s="667" t="s">
        <v>18</v>
      </c>
      <c r="U29" s="668">
        <f t="shared" si="13"/>
        <v>100</v>
      </c>
      <c r="V29" s="667" t="s">
        <v>18</v>
      </c>
      <c r="W29" s="668">
        <f t="shared" si="14"/>
        <v>100</v>
      </c>
      <c r="X29" s="1264"/>
      <c r="Y29" s="3417"/>
      <c r="Z29" s="1263">
        <f t="shared" si="18"/>
        <v>111</v>
      </c>
      <c r="AA29" s="1263">
        <f t="shared" si="15"/>
        <v>1</v>
      </c>
      <c r="AB29" s="1263">
        <f t="shared" si="16"/>
        <v>1</v>
      </c>
      <c r="AC29" s="1263">
        <f t="shared" si="17"/>
        <v>1</v>
      </c>
    </row>
    <row r="30" spans="1:29" ht="15.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4"/>
      <c r="Q30" s="1262">
        <f t="shared" si="11"/>
        <v>111</v>
      </c>
      <c r="R30" s="667" t="s">
        <v>18</v>
      </c>
      <c r="S30" s="668">
        <f t="shared" si="12"/>
        <v>100</v>
      </c>
      <c r="T30" s="667" t="s">
        <v>18</v>
      </c>
      <c r="U30" s="668">
        <f t="shared" si="13"/>
        <v>100</v>
      </c>
      <c r="V30" s="667" t="s">
        <v>18</v>
      </c>
      <c r="W30" s="668">
        <f t="shared" si="14"/>
        <v>100</v>
      </c>
      <c r="X30" s="1264"/>
      <c r="Y30" s="3417"/>
      <c r="Z30" s="1263">
        <f t="shared" si="18"/>
        <v>111</v>
      </c>
      <c r="AA30" s="1263">
        <f t="shared" si="15"/>
        <v>1</v>
      </c>
      <c r="AB30" s="1263">
        <f t="shared" si="16"/>
        <v>1</v>
      </c>
      <c r="AC30" s="1263">
        <f t="shared" si="17"/>
        <v>1</v>
      </c>
    </row>
    <row r="31" spans="1:29" ht="1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4"/>
      <c r="Q31" s="1262">
        <f t="shared" si="11"/>
        <v>111</v>
      </c>
      <c r="R31" s="667" t="s">
        <v>18</v>
      </c>
      <c r="S31" s="668">
        <f t="shared" si="12"/>
        <v>100</v>
      </c>
      <c r="T31" s="667" t="s">
        <v>18</v>
      </c>
      <c r="U31" s="668">
        <f t="shared" si="13"/>
        <v>100</v>
      </c>
      <c r="V31" s="667" t="s">
        <v>18</v>
      </c>
      <c r="W31" s="668">
        <f t="shared" si="14"/>
        <v>100</v>
      </c>
      <c r="X31" s="1264"/>
      <c r="Y31" s="3417"/>
      <c r="Z31" s="1263">
        <f t="shared" si="18"/>
        <v>111</v>
      </c>
      <c r="AA31" s="1263">
        <f t="shared" si="15"/>
        <v>1</v>
      </c>
      <c r="AB31" s="1263">
        <f t="shared" si="16"/>
        <v>1</v>
      </c>
      <c r="AC31" s="1263">
        <f t="shared" si="17"/>
        <v>1</v>
      </c>
    </row>
    <row r="32" spans="1:29" ht="15.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418" t="s">
        <v>1696</v>
      </c>
      <c r="Q32" s="1262" t="str">
        <f t="shared" si="11"/>
        <v>建筑类型</v>
      </c>
      <c r="R32" s="667" t="s">
        <v>18</v>
      </c>
      <c r="S32" s="668">
        <f t="shared" si="12"/>
        <v>100</v>
      </c>
      <c r="T32" s="667" t="s">
        <v>18</v>
      </c>
      <c r="U32" s="668">
        <f t="shared" si="13"/>
        <v>100</v>
      </c>
      <c r="V32" s="667" t="s">
        <v>18</v>
      </c>
      <c r="W32" s="668">
        <f t="shared" si="14"/>
        <v>100</v>
      </c>
      <c r="X32" s="1264"/>
      <c r="Y32" s="3421" t="s">
        <v>1696</v>
      </c>
      <c r="Z32" s="1263" t="str">
        <f t="shared" si="18"/>
        <v>建筑类型</v>
      </c>
      <c r="AA32" s="1263">
        <f t="shared" si="15"/>
        <v>1</v>
      </c>
      <c r="AB32" s="1263">
        <f t="shared" si="16"/>
        <v>1</v>
      </c>
      <c r="AC32" s="1263">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419"/>
      <c r="Q33" s="531" t="str">
        <f t="shared" si="11"/>
        <v>项目建筑规模</v>
      </c>
      <c r="R33" s="669" t="s">
        <v>18</v>
      </c>
      <c r="S33" s="670" t="e">
        <f t="shared" si="12"/>
        <v>#N/A</v>
      </c>
      <c r="T33" s="669" t="s">
        <v>18</v>
      </c>
      <c r="U33" s="670" t="e">
        <f t="shared" si="13"/>
        <v>#N/A</v>
      </c>
      <c r="V33" s="669" t="s">
        <v>18</v>
      </c>
      <c r="W33" s="670" t="e">
        <f t="shared" si="14"/>
        <v>#N/A</v>
      </c>
      <c r="X33" s="671"/>
      <c r="Y33" s="3421"/>
      <c r="Z33" s="672" t="str">
        <f t="shared" si="18"/>
        <v>项目建筑规模</v>
      </c>
      <c r="AA33" s="1263" t="e">
        <f t="shared" si="15"/>
        <v>#N/A</v>
      </c>
      <c r="AB33" s="1263" t="e">
        <f t="shared" si="16"/>
        <v>#N/A</v>
      </c>
      <c r="AC33" s="1263" t="e">
        <f t="shared" si="17"/>
        <v>#N/A</v>
      </c>
    </row>
    <row r="34" spans="1:29" ht="15.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419"/>
      <c r="Q34" s="1262" t="str">
        <f t="shared" si="11"/>
        <v>建筑结构</v>
      </c>
      <c r="R34" s="667" t="s">
        <v>18</v>
      </c>
      <c r="S34" s="668">
        <f t="shared" si="12"/>
        <v>100</v>
      </c>
      <c r="T34" s="667" t="s">
        <v>18</v>
      </c>
      <c r="U34" s="668">
        <f t="shared" si="13"/>
        <v>100</v>
      </c>
      <c r="V34" s="667" t="s">
        <v>18</v>
      </c>
      <c r="W34" s="668">
        <f t="shared" si="14"/>
        <v>100</v>
      </c>
      <c r="X34" s="1264"/>
      <c r="Y34" s="3421"/>
      <c r="Z34" s="1263" t="str">
        <f t="shared" si="18"/>
        <v>建筑结构</v>
      </c>
      <c r="AA34" s="1263">
        <f t="shared" si="15"/>
        <v>1</v>
      </c>
      <c r="AB34" s="1263">
        <f t="shared" si="16"/>
        <v>1</v>
      </c>
      <c r="AC34" s="1263">
        <f t="shared" si="17"/>
        <v>1</v>
      </c>
    </row>
    <row r="35" spans="1:29" ht="15.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19"/>
      <c r="Q35" s="1262" t="str">
        <f t="shared" si="11"/>
        <v>建筑品质</v>
      </c>
      <c r="R35" s="667" t="s">
        <v>18</v>
      </c>
      <c r="S35" s="668">
        <f t="shared" si="12"/>
        <v>100</v>
      </c>
      <c r="T35" s="667" t="s">
        <v>18</v>
      </c>
      <c r="U35" s="668">
        <f t="shared" si="13"/>
        <v>100</v>
      </c>
      <c r="V35" s="667" t="s">
        <v>18</v>
      </c>
      <c r="W35" s="668">
        <f t="shared" si="14"/>
        <v>100</v>
      </c>
      <c r="X35" s="1264"/>
      <c r="Y35" s="3421"/>
      <c r="Z35" s="1263" t="str">
        <f t="shared" si="18"/>
        <v>建筑品质</v>
      </c>
      <c r="AA35" s="1263">
        <f t="shared" si="15"/>
        <v>1</v>
      </c>
      <c r="AB35" s="1263">
        <f t="shared" si="16"/>
        <v>1</v>
      </c>
      <c r="AC35" s="1263">
        <f t="shared" si="17"/>
        <v>1</v>
      </c>
    </row>
    <row r="36" spans="1:29" ht="15.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19"/>
      <c r="Q36" s="1262" t="str">
        <f t="shared" si="11"/>
        <v>公共部分装修</v>
      </c>
      <c r="R36" s="667" t="s">
        <v>18</v>
      </c>
      <c r="S36" s="668">
        <f t="shared" si="12"/>
        <v>100</v>
      </c>
      <c r="T36" s="667" t="s">
        <v>18</v>
      </c>
      <c r="U36" s="668">
        <f t="shared" si="13"/>
        <v>100</v>
      </c>
      <c r="V36" s="667" t="s">
        <v>18</v>
      </c>
      <c r="W36" s="668">
        <f t="shared" si="14"/>
        <v>100</v>
      </c>
      <c r="X36" s="1264"/>
      <c r="Y36" s="3421"/>
      <c r="Z36" s="1263" t="str">
        <f t="shared" si="18"/>
        <v>公共部分装修</v>
      </c>
      <c r="AA36" s="1263">
        <f t="shared" si="15"/>
        <v>1</v>
      </c>
      <c r="AB36" s="1263">
        <f t="shared" si="16"/>
        <v>1</v>
      </c>
      <c r="AC36" s="1263">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9"/>
      <c r="Q37" s="530" t="str">
        <f t="shared" si="11"/>
        <v>成新度</v>
      </c>
      <c r="R37" s="664" t="s">
        <v>18</v>
      </c>
      <c r="S37" s="665" t="e">
        <f t="shared" si="12"/>
        <v>#N/A</v>
      </c>
      <c r="T37" s="664" t="s">
        <v>18</v>
      </c>
      <c r="U37" s="665" t="e">
        <f t="shared" si="13"/>
        <v>#N/A</v>
      </c>
      <c r="V37" s="664" t="s">
        <v>18</v>
      </c>
      <c r="W37" s="665" t="e">
        <f t="shared" si="14"/>
        <v>#N/A</v>
      </c>
      <c r="X37" s="666"/>
      <c r="Y37" s="3421"/>
      <c r="Z37" s="50" t="str">
        <f t="shared" si="18"/>
        <v>成新度</v>
      </c>
      <c r="AA37" s="50" t="e">
        <f t="shared" si="15"/>
        <v>#N/A</v>
      </c>
      <c r="AB37" s="50" t="e">
        <f t="shared" si="16"/>
        <v>#N/A</v>
      </c>
      <c r="AC37" s="50" t="e">
        <f t="shared" si="17"/>
        <v>#N/A</v>
      </c>
    </row>
    <row r="38" spans="1:29" ht="15.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19" t="s">
        <v>1696</v>
      </c>
      <c r="Q38" s="1262" t="str">
        <f t="shared" si="11"/>
        <v>物业管理</v>
      </c>
      <c r="R38" s="667" t="s">
        <v>18</v>
      </c>
      <c r="S38" s="668">
        <f t="shared" si="12"/>
        <v>100</v>
      </c>
      <c r="T38" s="667" t="s">
        <v>18</v>
      </c>
      <c r="U38" s="668">
        <f t="shared" si="13"/>
        <v>100</v>
      </c>
      <c r="V38" s="667" t="s">
        <v>18</v>
      </c>
      <c r="W38" s="668">
        <f t="shared" si="14"/>
        <v>100</v>
      </c>
      <c r="X38" s="1264"/>
      <c r="Y38" s="3421" t="s">
        <v>1696</v>
      </c>
      <c r="Z38" s="1263" t="str">
        <f t="shared" si="18"/>
        <v>物业管理</v>
      </c>
      <c r="AA38" s="1263">
        <f t="shared" si="15"/>
        <v>1</v>
      </c>
      <c r="AB38" s="1263">
        <f t="shared" si="16"/>
        <v>1</v>
      </c>
      <c r="AC38" s="1263">
        <f t="shared" si="17"/>
        <v>1</v>
      </c>
    </row>
    <row r="39" spans="1:29" ht="15.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19"/>
      <c r="Q39" s="1262" t="str">
        <f t="shared" si="11"/>
        <v>市政基础设施</v>
      </c>
      <c r="R39" s="667" t="s">
        <v>18</v>
      </c>
      <c r="S39" s="668">
        <f t="shared" si="12"/>
        <v>100</v>
      </c>
      <c r="T39" s="667" t="s">
        <v>18</v>
      </c>
      <c r="U39" s="668">
        <f t="shared" si="13"/>
        <v>100</v>
      </c>
      <c r="V39" s="667" t="s">
        <v>18</v>
      </c>
      <c r="W39" s="668">
        <f t="shared" si="14"/>
        <v>100</v>
      </c>
      <c r="X39" s="1264"/>
      <c r="Y39" s="3421"/>
      <c r="Z39" s="1263" t="str">
        <f t="shared" si="18"/>
        <v>市政基础设施</v>
      </c>
      <c r="AA39" s="1263">
        <f t="shared" si="15"/>
        <v>1</v>
      </c>
      <c r="AB39" s="1263">
        <f t="shared" si="16"/>
        <v>1</v>
      </c>
      <c r="AC39" s="1263">
        <f t="shared" si="17"/>
        <v>1</v>
      </c>
    </row>
    <row r="40" spans="1:29" ht="15.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19"/>
      <c r="Q40" s="1262" t="str">
        <f t="shared" si="11"/>
        <v>房型</v>
      </c>
      <c r="R40" s="667" t="s">
        <v>18</v>
      </c>
      <c r="S40" s="668">
        <f t="shared" si="12"/>
        <v>100</v>
      </c>
      <c r="T40" s="667" t="s">
        <v>18</v>
      </c>
      <c r="U40" s="668">
        <f t="shared" si="13"/>
        <v>100</v>
      </c>
      <c r="V40" s="667" t="s">
        <v>18</v>
      </c>
      <c r="W40" s="668">
        <f t="shared" si="14"/>
        <v>100</v>
      </c>
      <c r="X40" s="1264"/>
      <c r="Y40" s="342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19"/>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3">
        <f t="shared" si="15"/>
        <v>1</v>
      </c>
      <c r="AB41" s="1263">
        <f t="shared" si="16"/>
        <v>1</v>
      </c>
      <c r="AC41" s="1263">
        <f t="shared" si="17"/>
        <v>1</v>
      </c>
    </row>
    <row r="42" spans="1:29" ht="15.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419"/>
      <c r="Q42" s="1262" t="str">
        <f t="shared" si="11"/>
        <v>内部装修</v>
      </c>
      <c r="R42" s="667" t="s">
        <v>18</v>
      </c>
      <c r="S42" s="668">
        <f t="shared" si="12"/>
        <v>100</v>
      </c>
      <c r="T42" s="667" t="s">
        <v>18</v>
      </c>
      <c r="U42" s="668">
        <f t="shared" si="13"/>
        <v>100</v>
      </c>
      <c r="V42" s="667" t="s">
        <v>18</v>
      </c>
      <c r="W42" s="668">
        <f t="shared" si="14"/>
        <v>100</v>
      </c>
      <c r="X42" s="1264"/>
      <c r="Y42" s="3421"/>
      <c r="Z42" s="1263" t="str">
        <f t="shared" si="18"/>
        <v>内部装修</v>
      </c>
      <c r="AA42" s="1263">
        <f t="shared" si="15"/>
        <v>1</v>
      </c>
      <c r="AB42" s="1263">
        <f t="shared" si="16"/>
        <v>1</v>
      </c>
      <c r="AC42" s="1263">
        <f t="shared" si="17"/>
        <v>1</v>
      </c>
    </row>
    <row r="43" spans="1:29" ht="2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19"/>
      <c r="Q43" s="1262" t="str">
        <f t="shared" si="11"/>
        <v>内部装修维护情况</v>
      </c>
      <c r="R43" s="667" t="s">
        <v>18</v>
      </c>
      <c r="S43" s="668">
        <f t="shared" si="12"/>
        <v>100</v>
      </c>
      <c r="T43" s="667" t="s">
        <v>18</v>
      </c>
      <c r="U43" s="668">
        <f t="shared" si="13"/>
        <v>100</v>
      </c>
      <c r="V43" s="667" t="s">
        <v>18</v>
      </c>
      <c r="W43" s="668">
        <f t="shared" si="14"/>
        <v>100</v>
      </c>
      <c r="X43" s="1264"/>
      <c r="Y43" s="3421"/>
      <c r="Z43" s="1263" t="str">
        <f t="shared" si="18"/>
        <v>内部装修维护情况</v>
      </c>
      <c r="AA43" s="1263">
        <f t="shared" si="15"/>
        <v>1</v>
      </c>
      <c r="AB43" s="1263">
        <f t="shared" si="16"/>
        <v>1</v>
      </c>
      <c r="AC43" s="1263">
        <f t="shared" si="17"/>
        <v>1</v>
      </c>
    </row>
    <row r="44" spans="1:29" s="102" customFormat="1" ht="15.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419"/>
      <c r="Q44" s="530">
        <f t="shared" si="11"/>
        <v>111</v>
      </c>
      <c r="R44" s="664" t="s">
        <v>18</v>
      </c>
      <c r="S44" s="665">
        <f t="shared" si="12"/>
        <v>100</v>
      </c>
      <c r="T44" s="664" t="s">
        <v>18</v>
      </c>
      <c r="U44" s="665">
        <f t="shared" si="13"/>
        <v>100</v>
      </c>
      <c r="V44" s="664" t="s">
        <v>18</v>
      </c>
      <c r="W44" s="665">
        <f t="shared" si="14"/>
        <v>100</v>
      </c>
      <c r="X44" s="666"/>
      <c r="Y44" s="3421"/>
      <c r="Z44" s="50">
        <f t="shared" si="18"/>
        <v>111</v>
      </c>
      <c r="AA44" s="50">
        <f t="shared" si="15"/>
        <v>1</v>
      </c>
      <c r="AB44" s="50">
        <f t="shared" si="16"/>
        <v>1</v>
      </c>
      <c r="AC44" s="50">
        <f t="shared" si="17"/>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19"/>
      <c r="Q45" s="1262">
        <f t="shared" si="11"/>
        <v>111</v>
      </c>
      <c r="R45" s="667" t="s">
        <v>18</v>
      </c>
      <c r="S45" s="668">
        <f t="shared" si="12"/>
        <v>100</v>
      </c>
      <c r="T45" s="667" t="s">
        <v>18</v>
      </c>
      <c r="U45" s="668">
        <f t="shared" si="13"/>
        <v>100</v>
      </c>
      <c r="V45" s="667" t="s">
        <v>18</v>
      </c>
      <c r="W45" s="668">
        <f t="shared" si="14"/>
        <v>100</v>
      </c>
      <c r="X45" s="1264"/>
      <c r="Y45" s="3421"/>
      <c r="Z45" s="1263">
        <f t="shared" si="18"/>
        <v>111</v>
      </c>
      <c r="AA45" s="1263">
        <f t="shared" si="15"/>
        <v>1</v>
      </c>
      <c r="AB45" s="1263">
        <f t="shared" si="16"/>
        <v>1</v>
      </c>
      <c r="AC45" s="1263">
        <f t="shared" si="17"/>
        <v>1</v>
      </c>
    </row>
    <row r="46" spans="1:29" ht="1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0"/>
      <c r="Q46" s="1262">
        <f t="shared" si="11"/>
        <v>111</v>
      </c>
      <c r="R46" s="667" t="s">
        <v>17</v>
      </c>
      <c r="S46" s="668">
        <f t="shared" si="12"/>
        <v>100</v>
      </c>
      <c r="T46" s="667" t="s">
        <v>17</v>
      </c>
      <c r="U46" s="668">
        <f t="shared" si="13"/>
        <v>100</v>
      </c>
      <c r="V46" s="667" t="s">
        <v>17</v>
      </c>
      <c r="W46" s="668">
        <f t="shared" si="14"/>
        <v>100</v>
      </c>
      <c r="X46" s="1264"/>
      <c r="Y46" s="3422"/>
      <c r="Z46" s="1263">
        <f t="shared" si="18"/>
        <v>111</v>
      </c>
      <c r="AA46" s="1263">
        <f t="shared" si="15"/>
        <v>1</v>
      </c>
      <c r="AB46" s="1263">
        <f t="shared" si="16"/>
        <v>1</v>
      </c>
      <c r="AC46" s="1263">
        <f t="shared" si="17"/>
        <v>1</v>
      </c>
    </row>
    <row r="47" spans="1:29">
      <c r="A47" s="416" t="s">
        <v>1708</v>
      </c>
      <c r="B47" s="417"/>
      <c r="C47" s="1080" t="s">
        <v>16</v>
      </c>
      <c r="D47" s="418"/>
      <c r="E47" s="419"/>
      <c r="F47" s="420"/>
      <c r="G47" s="421"/>
      <c r="H47" s="422"/>
      <c r="I47" s="419"/>
      <c r="J47" s="422"/>
      <c r="K47" s="1766"/>
      <c r="L47" s="2492"/>
      <c r="M47" s="2485"/>
      <c r="N47" s="2485"/>
      <c r="O47" s="2485"/>
      <c r="P47" s="3415" t="str">
        <f>A47</f>
        <v>成交单价（元/平方米）</v>
      </c>
      <c r="Q47" s="3415"/>
      <c r="R47" s="3410">
        <f>E47</f>
        <v>0</v>
      </c>
      <c r="S47" s="3410"/>
      <c r="T47" s="3410">
        <f>G47</f>
        <v>0</v>
      </c>
      <c r="U47" s="3410"/>
      <c r="V47" s="3410">
        <f>I47</f>
        <v>0</v>
      </c>
      <c r="W47" s="3410"/>
      <c r="X47" s="385"/>
      <c r="Y47" s="673"/>
      <c r="Z47" s="385"/>
      <c r="AA47" s="385"/>
      <c r="AB47" s="385"/>
      <c r="AC47" s="385"/>
    </row>
    <row r="48" spans="1:29" ht="14.5" thickBot="1">
      <c r="A48" s="423" t="s">
        <v>1709</v>
      </c>
      <c r="B48" s="424"/>
      <c r="C48" s="1081" t="e">
        <f>R49</f>
        <v>#DIV/0!</v>
      </c>
      <c r="D48" s="2139" t="s">
        <v>2138</v>
      </c>
      <c r="E48" s="1082" t="e">
        <f>R48</f>
        <v>#DIV/0!</v>
      </c>
      <c r="F48" s="2140"/>
      <c r="G48" s="1081" t="e">
        <f>T48</f>
        <v>#DIV/0!</v>
      </c>
      <c r="H48" s="2140"/>
      <c r="I48" s="1082" t="e">
        <f>V48</f>
        <v>#DIV/0!</v>
      </c>
      <c r="J48" s="2140"/>
      <c r="K48" s="2141">
        <f>F48+H48+J48</f>
        <v>0</v>
      </c>
      <c r="L48" s="2492"/>
      <c r="M48" s="2485"/>
      <c r="N48" s="2485"/>
      <c r="O48" s="2485"/>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4.5" thickBot="1">
      <c r="A49" s="427" t="s">
        <v>1710</v>
      </c>
      <c r="B49" s="428"/>
      <c r="C49" s="1083" t="e">
        <f>R49</f>
        <v>#DIV/0!</v>
      </c>
      <c r="D49" s="351"/>
      <c r="E49" s="351"/>
      <c r="F49" s="351"/>
      <c r="G49" s="351"/>
      <c r="H49" s="351"/>
      <c r="I49" s="351"/>
      <c r="J49" s="351"/>
      <c r="K49" s="1767"/>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6"/>
      <c r="L57" s="887"/>
      <c r="M57" s="885"/>
      <c r="N57" s="885"/>
      <c r="O57" s="885"/>
      <c r="P57" s="1770"/>
      <c r="Q57" s="439"/>
    </row>
    <row r="58" spans="1:29" s="442" customFormat="1">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4.5" thickBot="1">
      <c r="A60" s="449" t="s">
        <v>1716</v>
      </c>
      <c r="B60" s="450"/>
      <c r="C60" s="451"/>
      <c r="D60" s="452"/>
      <c r="E60" s="452"/>
      <c r="F60" s="452"/>
      <c r="G60" s="452"/>
      <c r="H60" s="452"/>
      <c r="I60" s="452"/>
      <c r="J60" s="452"/>
      <c r="K60" s="452"/>
      <c r="L60" s="452"/>
      <c r="M60" s="453"/>
      <c r="N60" s="452"/>
      <c r="O60" s="453"/>
      <c r="P60" s="1772"/>
      <c r="Q60" s="439"/>
    </row>
    <row r="61" spans="1:29" s="102" customFormat="1">
      <c r="A61" s="455" t="s">
        <v>1717</v>
      </c>
      <c r="B61" s="444"/>
      <c r="C61" s="456" t="s">
        <v>1718</v>
      </c>
      <c r="D61" s="31"/>
      <c r="E61" s="31"/>
      <c r="F61" s="31"/>
      <c r="G61" s="31"/>
      <c r="H61" s="31"/>
      <c r="I61" s="31"/>
      <c r="J61" s="31"/>
      <c r="K61" s="31"/>
      <c r="L61" s="457"/>
      <c r="M61" s="458"/>
      <c r="N61" s="877"/>
      <c r="O61" s="877"/>
      <c r="P61" s="1773"/>
      <c r="Q61" s="439"/>
    </row>
    <row r="62" spans="1:29" s="102" customFormat="1" ht="14.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4.5" thickBot="1">
      <c r="A64" s="367"/>
      <c r="B64" s="466"/>
      <c r="C64" s="467">
        <v>100</v>
      </c>
      <c r="D64" s="467"/>
      <c r="E64" s="467"/>
      <c r="F64" s="467"/>
      <c r="G64" s="467"/>
      <c r="H64" s="467"/>
      <c r="I64" s="467"/>
      <c r="J64" s="467"/>
      <c r="K64" s="467"/>
      <c r="L64" s="467"/>
      <c r="M64" s="468"/>
      <c r="N64" s="879"/>
      <c r="O64" s="879"/>
      <c r="P64" s="1774"/>
      <c r="Q64" s="439"/>
    </row>
    <row r="65" spans="1:17" ht="28.5" thickTop="1">
      <c r="A65" s="367"/>
      <c r="B65" s="469" t="s">
        <v>1688</v>
      </c>
      <c r="C65" s="513"/>
      <c r="D65" s="513"/>
      <c r="E65" s="513"/>
      <c r="F65" s="513"/>
      <c r="G65" s="513"/>
      <c r="H65" s="513"/>
      <c r="I65" s="513"/>
      <c r="J65" s="513"/>
      <c r="K65" s="513"/>
      <c r="L65" s="513"/>
      <c r="M65" s="513"/>
      <c r="N65" s="879"/>
      <c r="O65" s="879"/>
      <c r="P65" s="1774"/>
      <c r="Q65" s="439"/>
    </row>
    <row r="66" spans="1:17" ht="14.5" thickBot="1">
      <c r="A66" s="367"/>
      <c r="B66" s="474"/>
      <c r="C66" s="467"/>
      <c r="D66" s="467"/>
      <c r="E66" s="467"/>
      <c r="F66" s="467"/>
      <c r="G66" s="467"/>
      <c r="H66" s="467"/>
      <c r="I66" s="467"/>
      <c r="J66" s="467"/>
      <c r="K66" s="467"/>
      <c r="L66" s="467"/>
      <c r="M66" s="468"/>
      <c r="N66" s="879"/>
      <c r="O66" s="879"/>
      <c r="P66" s="1774"/>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5" thickTop="1">
      <c r="A70" s="484"/>
      <c r="B70" s="469">
        <f>B12</f>
        <v>111</v>
      </c>
      <c r="C70" s="485"/>
      <c r="D70" s="485"/>
      <c r="E70" s="485"/>
      <c r="F70" s="485"/>
      <c r="G70" s="485"/>
      <c r="H70" s="486"/>
      <c r="I70" s="486"/>
      <c r="J70" s="486"/>
      <c r="K70" s="486"/>
      <c r="L70" s="487"/>
      <c r="M70" s="488"/>
      <c r="N70" s="880"/>
      <c r="O70" s="880"/>
      <c r="P70" s="1775"/>
      <c r="Q70" s="490"/>
    </row>
    <row r="71" spans="1:17" s="408" customFormat="1" ht="14.5" thickBot="1">
      <c r="A71" s="484"/>
      <c r="B71" s="474"/>
      <c r="C71" s="491"/>
      <c r="D71" s="467"/>
      <c r="E71" s="467"/>
      <c r="F71" s="467"/>
      <c r="G71" s="467"/>
      <c r="H71" s="467"/>
      <c r="I71" s="467"/>
      <c r="J71" s="467"/>
      <c r="K71" s="467"/>
      <c r="L71" s="467"/>
      <c r="M71" s="468"/>
      <c r="N71" s="879"/>
      <c r="O71" s="879"/>
      <c r="P71" s="1775"/>
      <c r="Q71" s="490"/>
    </row>
    <row r="72" spans="1:17" s="408" customFormat="1" ht="14.5" thickTop="1">
      <c r="A72" s="484"/>
      <c r="B72" s="469">
        <f>B13</f>
        <v>111</v>
      </c>
      <c r="C72" s="485"/>
      <c r="D72" s="485"/>
      <c r="E72" s="485"/>
      <c r="F72" s="485"/>
      <c r="G72" s="485"/>
      <c r="H72" s="486"/>
      <c r="I72" s="486"/>
      <c r="J72" s="486"/>
      <c r="K72" s="486"/>
      <c r="L72" s="487"/>
      <c r="M72" s="488"/>
      <c r="N72" s="880"/>
      <c r="O72" s="880"/>
      <c r="P72" s="1776"/>
      <c r="Q72" s="492"/>
    </row>
    <row r="73" spans="1:17" s="408" customFormat="1" ht="14.5" thickBot="1">
      <c r="A73" s="484"/>
      <c r="B73" s="474"/>
      <c r="C73" s="491"/>
      <c r="D73" s="491"/>
      <c r="E73" s="491"/>
      <c r="F73" s="491"/>
      <c r="G73" s="491"/>
      <c r="H73" s="493"/>
      <c r="I73" s="493"/>
      <c r="J73" s="493"/>
      <c r="K73" s="493"/>
      <c r="L73" s="493"/>
      <c r="M73" s="494"/>
      <c r="N73" s="880"/>
      <c r="O73" s="880"/>
      <c r="P73" s="1775"/>
      <c r="Q73" s="490"/>
    </row>
    <row r="74" spans="1:17" s="408" customFormat="1" ht="14.5" thickTop="1">
      <c r="A74" s="484"/>
      <c r="B74" s="477">
        <f>B14</f>
        <v>111</v>
      </c>
      <c r="C74" s="485"/>
      <c r="D74" s="485"/>
      <c r="E74" s="485"/>
      <c r="F74" s="485"/>
      <c r="G74" s="31"/>
      <c r="H74" s="495"/>
      <c r="I74" s="495"/>
      <c r="J74" s="495"/>
      <c r="K74" s="495"/>
      <c r="L74" s="496"/>
      <c r="M74" s="497"/>
      <c r="N74" s="880"/>
      <c r="O74" s="880"/>
      <c r="P74" s="1777"/>
      <c r="Q74" s="490"/>
    </row>
    <row r="75" spans="1:17" s="408" customFormat="1" ht="14.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4.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4.5" thickTop="1">
      <c r="A88" s="370"/>
      <c r="B88" s="469" t="s">
        <v>1735</v>
      </c>
      <c r="C88" s="485"/>
      <c r="D88" s="485"/>
      <c r="E88" s="485"/>
      <c r="F88" s="1779"/>
      <c r="G88" s="485"/>
      <c r="H88" s="485"/>
      <c r="I88" s="485"/>
      <c r="J88" s="485"/>
      <c r="K88" s="485"/>
      <c r="L88" s="485"/>
      <c r="M88" s="511"/>
      <c r="N88" s="877"/>
      <c r="O88" s="877"/>
      <c r="P88" s="1774"/>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5" thickTop="1">
      <c r="A90" s="484"/>
      <c r="B90" s="469">
        <f>B27</f>
        <v>111</v>
      </c>
      <c r="C90" s="485"/>
      <c r="D90" s="485"/>
      <c r="E90" s="485"/>
      <c r="F90" s="485"/>
      <c r="G90" s="485"/>
      <c r="H90" s="486"/>
      <c r="I90" s="486"/>
      <c r="J90" s="486"/>
      <c r="K90" s="486"/>
      <c r="L90" s="487"/>
      <c r="M90" s="488"/>
      <c r="N90" s="880"/>
      <c r="O90" s="880"/>
      <c r="P90" s="1775"/>
      <c r="Q90" s="490"/>
    </row>
    <row r="91" spans="1:17" s="408" customFormat="1" ht="14.5" thickBot="1">
      <c r="A91" s="484"/>
      <c r="B91" s="474"/>
      <c r="C91" s="491"/>
      <c r="D91" s="491"/>
      <c r="E91" s="491"/>
      <c r="F91" s="491"/>
      <c r="G91" s="491"/>
      <c r="H91" s="493"/>
      <c r="I91" s="493"/>
      <c r="J91" s="493"/>
      <c r="K91" s="493"/>
      <c r="L91" s="493"/>
      <c r="M91" s="494"/>
      <c r="N91" s="880"/>
      <c r="O91" s="880"/>
      <c r="P91" s="1775"/>
      <c r="Q91" s="490"/>
    </row>
    <row r="92" spans="1:17" ht="14.5" thickTop="1">
      <c r="A92" s="367"/>
      <c r="B92" s="469">
        <f>B28</f>
        <v>111</v>
      </c>
      <c r="C92" s="485"/>
      <c r="D92" s="485"/>
      <c r="E92" s="485"/>
      <c r="F92" s="485"/>
      <c r="G92" s="513"/>
      <c r="H92" s="513"/>
      <c r="I92" s="513"/>
      <c r="J92" s="513"/>
      <c r="K92" s="514"/>
      <c r="L92" s="515"/>
      <c r="M92" s="516"/>
      <c r="N92" s="878"/>
      <c r="O92" s="878"/>
      <c r="P92" s="1774"/>
      <c r="Q92" s="439"/>
    </row>
    <row r="93" spans="1:17" ht="14.5" thickBot="1">
      <c r="A93" s="367"/>
      <c r="B93" s="474"/>
      <c r="C93" s="491"/>
      <c r="D93" s="467"/>
      <c r="E93" s="467"/>
      <c r="F93" s="467"/>
      <c r="G93" s="467"/>
      <c r="H93" s="467"/>
      <c r="I93" s="467"/>
      <c r="J93" s="467"/>
      <c r="K93" s="467"/>
      <c r="L93" s="467"/>
      <c r="M93" s="468"/>
      <c r="N93" s="879"/>
      <c r="O93" s="879"/>
      <c r="P93" s="1774"/>
      <c r="Q93" s="439"/>
    </row>
    <row r="94" spans="1:17" ht="14.5" thickTop="1">
      <c r="A94" s="367"/>
      <c r="B94" s="469">
        <f>B29</f>
        <v>111</v>
      </c>
      <c r="C94" s="485"/>
      <c r="D94" s="485"/>
      <c r="E94" s="485"/>
      <c r="F94" s="485"/>
      <c r="G94" s="513"/>
      <c r="H94" s="513"/>
      <c r="I94" s="513"/>
      <c r="J94" s="513"/>
      <c r="K94" s="514"/>
      <c r="L94" s="515"/>
      <c r="M94" s="516"/>
      <c r="N94" s="878"/>
      <c r="O94" s="878"/>
      <c r="P94" s="1774"/>
      <c r="Q94" s="439"/>
    </row>
    <row r="95" spans="1:17" ht="14.5" thickBot="1">
      <c r="A95" s="367"/>
      <c r="B95" s="474"/>
      <c r="C95" s="491"/>
      <c r="D95" s="491"/>
      <c r="E95" s="491"/>
      <c r="F95" s="491"/>
      <c r="G95" s="467"/>
      <c r="H95" s="467"/>
      <c r="I95" s="467"/>
      <c r="J95" s="467"/>
      <c r="K95" s="467"/>
      <c r="L95" s="467"/>
      <c r="M95" s="468"/>
      <c r="N95" s="879"/>
      <c r="O95" s="879"/>
      <c r="P95" s="1774"/>
      <c r="Q95" s="439"/>
    </row>
    <row r="96" spans="1:17" ht="14.5" thickTop="1">
      <c r="A96" s="367"/>
      <c r="B96" s="469">
        <f>B30</f>
        <v>111</v>
      </c>
      <c r="C96" s="485"/>
      <c r="D96" s="485"/>
      <c r="E96" s="485"/>
      <c r="F96" s="485"/>
      <c r="G96" s="513"/>
      <c r="H96" s="513"/>
      <c r="I96" s="513"/>
      <c r="J96" s="513"/>
      <c r="K96" s="514"/>
      <c r="L96" s="515"/>
      <c r="M96" s="516"/>
      <c r="N96" s="878"/>
      <c r="O96" s="878"/>
      <c r="P96" s="1774"/>
      <c r="Q96" s="439"/>
    </row>
    <row r="97" spans="1:17" ht="14.5" thickBot="1">
      <c r="A97" s="367"/>
      <c r="B97" s="474"/>
      <c r="C97" s="501"/>
      <c r="D97" s="501"/>
      <c r="E97" s="501"/>
      <c r="F97" s="501"/>
      <c r="G97" s="467"/>
      <c r="H97" s="467"/>
      <c r="I97" s="467"/>
      <c r="J97" s="467"/>
      <c r="K97" s="467"/>
      <c r="L97" s="467"/>
      <c r="M97" s="468"/>
      <c r="N97" s="879"/>
      <c r="O97" s="879"/>
      <c r="P97" s="1774"/>
      <c r="Q97" s="439"/>
    </row>
    <row r="98" spans="1:17" ht="14.5" thickTop="1">
      <c r="A98" s="367"/>
      <c r="B98" s="477">
        <f>B31</f>
        <v>111</v>
      </c>
      <c r="C98" s="517"/>
      <c r="D98" s="517"/>
      <c r="E98" s="517"/>
      <c r="F98" s="517"/>
      <c r="G98" s="517"/>
      <c r="H98" s="517"/>
      <c r="I98" s="517"/>
      <c r="J98" s="517"/>
      <c r="K98" s="518"/>
      <c r="L98" s="519"/>
      <c r="M98" s="520"/>
      <c r="N98" s="878"/>
      <c r="O98" s="878"/>
      <c r="P98" s="1774"/>
      <c r="Q98" s="439"/>
    </row>
    <row r="99" spans="1:17" ht="14.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5" thickBot="1">
      <c r="A104" s="484"/>
      <c r="B104" s="474"/>
      <c r="C104" s="491"/>
      <c r="D104" s="467"/>
      <c r="E104" s="467"/>
      <c r="F104" s="467"/>
      <c r="G104" s="467"/>
      <c r="H104" s="467"/>
      <c r="I104" s="467"/>
      <c r="J104" s="467"/>
      <c r="K104" s="467"/>
      <c r="L104" s="467"/>
      <c r="M104" s="467"/>
      <c r="N104" s="879"/>
      <c r="O104" s="879"/>
      <c r="P104" s="1775"/>
      <c r="Q104" s="490"/>
    </row>
    <row r="105" spans="1:17" ht="14.5" thickTop="1">
      <c r="A105" s="409"/>
      <c r="B105" s="469" t="s">
        <v>1738</v>
      </c>
      <c r="C105" s="485"/>
      <c r="D105" s="485"/>
      <c r="E105" s="513"/>
      <c r="F105" s="513"/>
      <c r="G105" s="513"/>
      <c r="H105" s="513"/>
      <c r="I105" s="513"/>
      <c r="J105" s="513"/>
      <c r="K105" s="514"/>
      <c r="L105" s="515"/>
      <c r="M105" s="516"/>
      <c r="N105" s="878"/>
      <c r="O105" s="878"/>
      <c r="P105" s="1774"/>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4.5" thickTop="1">
      <c r="A107" s="409"/>
      <c r="B107" s="469" t="s">
        <v>1739</v>
      </c>
      <c r="C107" s="513"/>
      <c r="D107" s="513"/>
      <c r="E107" s="513"/>
      <c r="F107" s="513"/>
      <c r="G107" s="513"/>
      <c r="H107" s="513"/>
      <c r="I107" s="513"/>
      <c r="J107" s="513"/>
      <c r="K107" s="514"/>
      <c r="L107" s="515"/>
      <c r="M107" s="516"/>
      <c r="N107" s="878"/>
      <c r="O107" s="878"/>
      <c r="P107" s="1774"/>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4.5" thickTop="1">
      <c r="A109" s="409"/>
      <c r="B109" s="469" t="s">
        <v>1740</v>
      </c>
      <c r="C109" s="485"/>
      <c r="D109" s="485"/>
      <c r="E109" s="485"/>
      <c r="F109" s="513"/>
      <c r="G109" s="513"/>
      <c r="H109" s="513"/>
      <c r="I109" s="513"/>
      <c r="J109" s="513"/>
      <c r="K109" s="514"/>
      <c r="L109" s="515"/>
      <c r="M109" s="516"/>
      <c r="N109" s="878"/>
      <c r="O109" s="878"/>
      <c r="P109" s="1774"/>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4.5" thickTop="1">
      <c r="A114" s="409"/>
      <c r="B114" s="469" t="s">
        <v>1741</v>
      </c>
      <c r="C114" s="485"/>
      <c r="D114" s="485"/>
      <c r="E114" s="513"/>
      <c r="F114" s="513"/>
      <c r="G114" s="513"/>
      <c r="H114" s="513"/>
      <c r="I114" s="513"/>
      <c r="J114" s="513"/>
      <c r="K114" s="514"/>
      <c r="L114" s="515"/>
      <c r="M114" s="516"/>
      <c r="N114" s="878"/>
      <c r="O114" s="878"/>
      <c r="P114" s="1774"/>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4.5" thickTop="1">
      <c r="A116" s="409"/>
      <c r="B116" s="469" t="s">
        <v>1742</v>
      </c>
      <c r="C116" s="485"/>
      <c r="D116" s="485"/>
      <c r="E116" s="485"/>
      <c r="F116" s="485"/>
      <c r="G116" s="485"/>
      <c r="H116" s="513"/>
      <c r="I116" s="513"/>
      <c r="J116" s="513"/>
      <c r="K116" s="514"/>
      <c r="L116" s="515"/>
      <c r="M116" s="516"/>
      <c r="N116" s="878"/>
      <c r="O116" s="878"/>
      <c r="P116" s="1774"/>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4.5" thickTop="1">
      <c r="A118" s="409"/>
      <c r="B118" s="469" t="s">
        <v>1743</v>
      </c>
      <c r="C118" s="513"/>
      <c r="D118" s="513"/>
      <c r="E118" s="513"/>
      <c r="F118" s="513"/>
      <c r="G118" s="513"/>
      <c r="H118" s="513"/>
      <c r="I118" s="513"/>
      <c r="J118" s="513"/>
      <c r="K118" s="514"/>
      <c r="L118" s="515"/>
      <c r="M118" s="516"/>
      <c r="N118" s="878"/>
      <c r="O118" s="878"/>
      <c r="P118" s="1774"/>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5" thickBot="1">
      <c r="A121" s="484"/>
      <c r="B121" s="466"/>
      <c r="C121" s="491"/>
      <c r="D121" s="467"/>
      <c r="E121" s="467"/>
      <c r="F121" s="467"/>
      <c r="G121" s="467"/>
      <c r="H121" s="467"/>
      <c r="I121" s="467"/>
      <c r="J121" s="467"/>
      <c r="K121" s="467"/>
      <c r="L121" s="467"/>
      <c r="M121" s="467"/>
      <c r="N121" s="880"/>
      <c r="O121" s="880"/>
      <c r="P121" s="1775"/>
      <c r="Q121" s="490"/>
    </row>
    <row r="122" spans="1:17" ht="14.5" thickTop="1">
      <c r="A122" s="409"/>
      <c r="B122" s="469" t="s">
        <v>1744</v>
      </c>
      <c r="C122" s="485"/>
      <c r="D122" s="485"/>
      <c r="E122" s="485"/>
      <c r="F122" s="513"/>
      <c r="G122" s="513"/>
      <c r="H122" s="513"/>
      <c r="I122" s="513"/>
      <c r="J122" s="513"/>
      <c r="K122" s="514"/>
      <c r="L122" s="515"/>
      <c r="M122" s="516"/>
      <c r="N122" s="878"/>
      <c r="O122" s="878"/>
      <c r="P122" s="1774"/>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5" thickBot="1">
      <c r="A127" s="484"/>
      <c r="B127" s="474"/>
      <c r="C127" s="491"/>
      <c r="D127" s="467"/>
      <c r="E127" s="467"/>
      <c r="F127" s="467"/>
      <c r="G127" s="491"/>
      <c r="H127" s="493"/>
      <c r="I127" s="493"/>
      <c r="J127" s="493"/>
      <c r="K127" s="493"/>
      <c r="L127" s="493"/>
      <c r="M127" s="494"/>
      <c r="N127" s="880"/>
      <c r="O127" s="880"/>
      <c r="P127" s="1775"/>
      <c r="Q127" s="490"/>
    </row>
    <row r="128" spans="1:17" ht="14.5" thickTop="1">
      <c r="A128" s="409"/>
      <c r="B128" s="469">
        <f>B45</f>
        <v>111</v>
      </c>
      <c r="C128" s="485"/>
      <c r="D128" s="485"/>
      <c r="E128" s="485"/>
      <c r="F128" s="485"/>
      <c r="G128" s="513"/>
      <c r="H128" s="513"/>
      <c r="I128" s="513"/>
      <c r="J128" s="513"/>
      <c r="K128" s="514"/>
      <c r="L128" s="515"/>
      <c r="M128" s="516"/>
      <c r="N128" s="878"/>
      <c r="O128" s="878"/>
      <c r="P128" s="1774"/>
      <c r="Q128" s="439"/>
    </row>
    <row r="129" spans="1:17" ht="14.5" thickBot="1">
      <c r="A129" s="367"/>
      <c r="B129" s="474"/>
      <c r="C129" s="491"/>
      <c r="D129" s="491"/>
      <c r="E129" s="491"/>
      <c r="F129" s="491"/>
      <c r="G129" s="467"/>
      <c r="H129" s="467"/>
      <c r="I129" s="467"/>
      <c r="J129" s="467"/>
      <c r="K129" s="467"/>
      <c r="L129" s="467"/>
      <c r="M129" s="468"/>
      <c r="N129" s="879"/>
      <c r="O129" s="879"/>
      <c r="P129" s="1774"/>
      <c r="Q129" s="439"/>
    </row>
    <row r="130" spans="1:17" ht="14.5" thickTop="1">
      <c r="A130" s="409"/>
      <c r="B130" s="477">
        <f>B46</f>
        <v>111</v>
      </c>
      <c r="C130" s="485"/>
      <c r="D130" s="485"/>
      <c r="E130" s="485"/>
      <c r="F130" s="485"/>
      <c r="G130" s="517"/>
      <c r="H130" s="517"/>
      <c r="I130" s="517"/>
      <c r="J130" s="517"/>
      <c r="K130" s="31"/>
      <c r="L130" s="457"/>
      <c r="M130" s="520"/>
      <c r="N130" s="878"/>
      <c r="O130" s="878"/>
      <c r="P130" s="1774"/>
      <c r="Q130" s="439"/>
    </row>
    <row r="131" spans="1:17" ht="14.5" thickBot="1">
      <c r="A131" s="375"/>
      <c r="B131" s="500"/>
      <c r="C131" s="501"/>
      <c r="D131" s="501"/>
      <c r="E131" s="501"/>
      <c r="F131" s="501"/>
      <c r="G131" s="521"/>
      <c r="H131" s="521"/>
      <c r="I131" s="521"/>
      <c r="J131" s="521"/>
      <c r="K131" s="521"/>
      <c r="L131" s="521"/>
      <c r="M131" s="522"/>
      <c r="N131" s="879"/>
      <c r="O131" s="879"/>
      <c r="P131" s="1774"/>
      <c r="Q131" s="439"/>
    </row>
    <row r="136" spans="1:17" ht="14.5" thickBot="1">
      <c r="B136" s="1780" t="s">
        <v>1746</v>
      </c>
    </row>
    <row r="137" spans="1:17" ht="15.5">
      <c r="B137" s="1781" t="s">
        <v>1747</v>
      </c>
      <c r="C137" s="1782"/>
      <c r="D137" s="1782"/>
      <c r="E137" s="1782"/>
      <c r="F137" s="1782"/>
      <c r="G137" s="1783"/>
      <c r="H137" s="1784"/>
      <c r="I137" s="1785" t="s">
        <v>1748</v>
      </c>
      <c r="J137" s="1782"/>
      <c r="K137" s="1786"/>
    </row>
    <row r="138" spans="1:17" ht="15.5">
      <c r="B138" s="1787"/>
      <c r="C138" s="129" t="s">
        <v>1749</v>
      </c>
      <c r="D138" s="129" t="s">
        <v>1750</v>
      </c>
      <c r="E138" s="1788" t="s">
        <v>1751</v>
      </c>
      <c r="F138" s="1789" t="s">
        <v>1752</v>
      </c>
      <c r="G138" s="129" t="s">
        <v>1750</v>
      </c>
      <c r="H138" s="130" t="s">
        <v>1751</v>
      </c>
      <c r="I138" s="1790"/>
      <c r="J138" s="129" t="s">
        <v>1753</v>
      </c>
      <c r="K138" s="130" t="s">
        <v>1754</v>
      </c>
    </row>
    <row r="139" spans="1:17" ht="15.5">
      <c r="B139" s="813">
        <v>6</v>
      </c>
      <c r="C139" s="814">
        <v>96</v>
      </c>
      <c r="D139" s="1791" t="s">
        <v>1755</v>
      </c>
      <c r="E139" s="815">
        <v>100</v>
      </c>
      <c r="F139" s="816">
        <v>102.5</v>
      </c>
      <c r="G139" s="1791" t="s">
        <v>1755</v>
      </c>
      <c r="H139" s="817">
        <v>105</v>
      </c>
      <c r="I139" s="1792" t="s">
        <v>1756</v>
      </c>
      <c r="J139" s="814">
        <v>20</v>
      </c>
      <c r="K139" s="818">
        <f>C145/(J139-2)</f>
        <v>4.0555555555555553E-3</v>
      </c>
    </row>
    <row r="140" spans="1:17" ht="15.5">
      <c r="B140" s="819">
        <v>5</v>
      </c>
      <c r="C140" s="820">
        <v>100</v>
      </c>
      <c r="D140" s="820"/>
      <c r="E140" s="821"/>
      <c r="F140" s="822">
        <v>102</v>
      </c>
      <c r="G140" s="820"/>
      <c r="H140" s="823"/>
      <c r="I140" s="1793" t="s">
        <v>1757</v>
      </c>
      <c r="J140" s="263">
        <f>ROUNDUP((J139-1)/2,0)</f>
        <v>10</v>
      </c>
      <c r="K140" s="824">
        <v>100</v>
      </c>
    </row>
    <row r="141" spans="1:17" ht="15.5">
      <c r="B141" s="819">
        <v>4</v>
      </c>
      <c r="C141" s="820">
        <v>102</v>
      </c>
      <c r="D141" s="820"/>
      <c r="E141" s="821"/>
      <c r="F141" s="822">
        <v>101.5</v>
      </c>
      <c r="G141" s="820"/>
      <c r="H141" s="823"/>
      <c r="I141" s="1793" t="s">
        <v>1758</v>
      </c>
      <c r="J141" s="263">
        <v>1</v>
      </c>
      <c r="K141" s="825">
        <f>ROUND(100+(J141-J140)*K139*100,1)</f>
        <v>96.4</v>
      </c>
    </row>
    <row r="142" spans="1:17" ht="15.5">
      <c r="B142" s="819">
        <v>3</v>
      </c>
      <c r="C142" s="820">
        <v>103</v>
      </c>
      <c r="D142" s="820"/>
      <c r="E142" s="821"/>
      <c r="F142" s="822">
        <v>101</v>
      </c>
      <c r="G142" s="820"/>
      <c r="H142" s="823"/>
      <c r="I142" s="1793" t="s">
        <v>1759</v>
      </c>
      <c r="J142" s="263">
        <f>J139</f>
        <v>20</v>
      </c>
      <c r="K142" s="826">
        <v>95</v>
      </c>
    </row>
    <row r="143" spans="1:17" ht="15.5">
      <c r="B143" s="819">
        <v>2</v>
      </c>
      <c r="C143" s="820">
        <v>100</v>
      </c>
      <c r="D143" s="820"/>
      <c r="E143" s="821"/>
      <c r="F143" s="822">
        <v>100.5</v>
      </c>
      <c r="G143" s="820"/>
      <c r="H143" s="823"/>
      <c r="I143" s="1793" t="s">
        <v>1760</v>
      </c>
      <c r="J143" s="820">
        <v>15</v>
      </c>
      <c r="K143" s="825">
        <f>ROUND(100+(J143-J140)*K139*100,1)</f>
        <v>102</v>
      </c>
    </row>
    <row r="144" spans="1:17" ht="15.5">
      <c r="B144" s="819">
        <v>1</v>
      </c>
      <c r="C144" s="820">
        <v>98</v>
      </c>
      <c r="D144" s="1794" t="s">
        <v>1761</v>
      </c>
      <c r="E144" s="821">
        <v>102</v>
      </c>
      <c r="F144" s="827">
        <v>100</v>
      </c>
      <c r="G144" s="1794" t="s">
        <v>1761</v>
      </c>
      <c r="H144" s="823">
        <v>105</v>
      </c>
      <c r="I144" s="1793" t="s">
        <v>1760</v>
      </c>
      <c r="J144" s="820">
        <v>18</v>
      </c>
      <c r="K144" s="825">
        <f>ROUND(100+(J144-J140)*K139*100,1)</f>
        <v>103.2</v>
      </c>
    </row>
    <row r="145" spans="2:11" ht="16"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20244.170000000002</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410" t="s">
        <v>1772</v>
      </c>
      <c r="AC4" s="3380" t="s">
        <v>1773</v>
      </c>
    </row>
    <row r="5" spans="1:29">
      <c r="A5" s="348"/>
      <c r="B5" s="349"/>
      <c r="C5" s="3391" t="s">
        <v>1673</v>
      </c>
      <c r="D5" s="3392"/>
      <c r="E5" s="3389" t="s">
        <v>1674</v>
      </c>
      <c r="F5" s="3390"/>
      <c r="G5" s="3391" t="s">
        <v>1675</v>
      </c>
      <c r="H5" s="3392"/>
      <c r="I5" s="3391" t="s">
        <v>1676</v>
      </c>
      <c r="J5" s="3392"/>
      <c r="K5" s="537"/>
      <c r="L5" s="2484"/>
      <c r="M5" s="2485"/>
      <c r="N5" s="2485"/>
      <c r="O5" s="2485"/>
      <c r="P5" s="3404"/>
      <c r="Q5" s="3405"/>
      <c r="R5" s="3387"/>
      <c r="S5" s="3388"/>
      <c r="T5" s="3387"/>
      <c r="U5" s="3388"/>
      <c r="V5" s="3410"/>
      <c r="W5" s="3410"/>
      <c r="X5" s="1264"/>
      <c r="Y5" s="3387"/>
      <c r="Z5" s="3388"/>
      <c r="AA5" s="3381"/>
      <c r="AB5" s="3410"/>
      <c r="AC5" s="3381"/>
    </row>
    <row r="6" spans="1:29" ht="1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410"/>
      <c r="AC6" s="3382"/>
    </row>
    <row r="7" spans="1:29" s="102" customFormat="1" ht="14.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38"/>
      <c r="L7" s="2486"/>
      <c r="M7" s="2438"/>
      <c r="N7" s="2438"/>
      <c r="O7" s="2438"/>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83" t="s">
        <v>1683</v>
      </c>
      <c r="Q8" s="3384"/>
      <c r="R8" s="664" t="s">
        <v>14</v>
      </c>
      <c r="S8" s="665">
        <f t="shared" si="0"/>
        <v>100</v>
      </c>
      <c r="T8" s="664" t="s">
        <v>14</v>
      </c>
      <c r="U8" s="665">
        <f t="shared" si="1"/>
        <v>100</v>
      </c>
      <c r="V8" s="664" t="s">
        <v>14</v>
      </c>
      <c r="W8" s="665">
        <f t="shared" si="2"/>
        <v>100</v>
      </c>
      <c r="X8" s="666"/>
      <c r="Y8" s="3383" t="s">
        <v>1683</v>
      </c>
      <c r="Z8" s="338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7"/>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70">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3" t="s">
        <v>1691</v>
      </c>
      <c r="Q15" s="1262" t="str">
        <f t="shared" si="6"/>
        <v>商业繁华度</v>
      </c>
      <c r="R15" s="667" t="s">
        <v>14</v>
      </c>
      <c r="S15" s="668">
        <f t="shared" si="0"/>
        <v>100</v>
      </c>
      <c r="T15" s="667" t="s">
        <v>14</v>
      </c>
      <c r="U15" s="668">
        <f t="shared" si="1"/>
        <v>100</v>
      </c>
      <c r="V15" s="667" t="s">
        <v>14</v>
      </c>
      <c r="W15" s="668">
        <f t="shared" si="2"/>
        <v>100</v>
      </c>
      <c r="X15" s="1264"/>
      <c r="Y15" s="3416" t="s">
        <v>1691</v>
      </c>
      <c r="Z15" s="1263" t="str">
        <f t="shared" si="7"/>
        <v>商业繁华度</v>
      </c>
      <c r="AA15" s="1263">
        <f t="shared" si="3"/>
        <v>1</v>
      </c>
      <c r="AB15" s="1263">
        <f t="shared" si="4"/>
        <v>1</v>
      </c>
      <c r="AC15" s="1263">
        <f t="shared" si="5"/>
        <v>1</v>
      </c>
    </row>
    <row r="16" spans="1:29" ht="15.5">
      <c r="A16" s="367"/>
      <c r="B16" s="385"/>
      <c r="C16" s="386"/>
      <c r="D16" s="387"/>
      <c r="E16" s="386"/>
      <c r="F16" s="388"/>
      <c r="G16" s="386"/>
      <c r="H16" s="389"/>
      <c r="I16" s="386"/>
      <c r="J16" s="387"/>
      <c r="K16" s="541"/>
      <c r="L16" s="2490"/>
      <c r="M16" s="2485"/>
      <c r="N16" s="2485"/>
      <c r="O16" s="2485"/>
      <c r="P16" s="3424"/>
      <c r="Q16" s="1262"/>
      <c r="R16" s="667"/>
      <c r="S16" s="668"/>
      <c r="T16" s="667"/>
      <c r="U16" s="668"/>
      <c r="V16" s="667"/>
      <c r="W16" s="668"/>
      <c r="X16" s="1264"/>
      <c r="Y16" s="3417"/>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4"/>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2490"/>
      <c r="M18" s="2485"/>
      <c r="N18" s="2485"/>
      <c r="O18" s="2485"/>
      <c r="P18" s="3424"/>
      <c r="Q18" s="1262"/>
      <c r="R18" s="667"/>
      <c r="S18" s="668"/>
      <c r="T18" s="667"/>
      <c r="U18" s="668"/>
      <c r="V18" s="667"/>
      <c r="W18" s="668"/>
      <c r="X18" s="1264"/>
      <c r="Y18" s="3417"/>
      <c r="Z18" s="1263"/>
      <c r="AA18" s="1263">
        <v>1</v>
      </c>
      <c r="AB18" s="1263">
        <v>1</v>
      </c>
      <c r="AC18" s="1263">
        <v>1</v>
      </c>
    </row>
    <row r="19" spans="1:29" ht="42">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4"/>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2490"/>
      <c r="M20" s="2485"/>
      <c r="N20" s="2485"/>
      <c r="O20" s="2485"/>
      <c r="P20" s="3424"/>
      <c r="Q20" s="1262"/>
      <c r="R20" s="667"/>
      <c r="S20" s="668"/>
      <c r="T20" s="667"/>
      <c r="U20" s="668"/>
      <c r="V20" s="667"/>
      <c r="W20" s="668"/>
      <c r="X20" s="1264"/>
      <c r="Y20" s="3417"/>
      <c r="Z20" s="1263"/>
      <c r="AA20" s="1263">
        <v>1</v>
      </c>
      <c r="AB20" s="1263">
        <v>1</v>
      </c>
      <c r="AC20" s="1263">
        <v>1</v>
      </c>
    </row>
    <row r="21" spans="1:29" ht="28">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3"/>
      <c r="L22" s="2490"/>
      <c r="M22" s="2485"/>
      <c r="N22" s="2485"/>
      <c r="O22" s="2485"/>
      <c r="P22" s="3424"/>
      <c r="Q22" s="1262"/>
      <c r="R22" s="667"/>
      <c r="S22" s="668"/>
      <c r="T22" s="667"/>
      <c r="U22" s="668"/>
      <c r="V22" s="667"/>
      <c r="W22" s="668"/>
      <c r="X22" s="1264"/>
      <c r="Y22" s="3417"/>
      <c r="Z22" s="1263"/>
      <c r="AA22" s="1263">
        <v>1</v>
      </c>
      <c r="AB22" s="1263">
        <v>1</v>
      </c>
      <c r="AC22" s="1263">
        <v>1</v>
      </c>
    </row>
    <row r="23" spans="1:29" ht="56">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4"/>
      <c r="Q23" s="1262" t="str">
        <f>B23</f>
        <v>自然及人文环境</v>
      </c>
      <c r="R23" s="667" t="s">
        <v>14</v>
      </c>
      <c r="S23" s="668">
        <f>F23</f>
        <v>100</v>
      </c>
      <c r="T23" s="667" t="s">
        <v>14</v>
      </c>
      <c r="U23" s="668">
        <f>H23</f>
        <v>100</v>
      </c>
      <c r="V23" s="667" t="s">
        <v>14</v>
      </c>
      <c r="W23" s="668">
        <f>J23</f>
        <v>100</v>
      </c>
      <c r="X23" s="1264"/>
      <c r="Y23" s="3417"/>
      <c r="Z23" s="1263" t="str">
        <f>Q23</f>
        <v>自然及人文环境</v>
      </c>
      <c r="AA23" s="1263">
        <f t="shared" si="3"/>
        <v>1</v>
      </c>
      <c r="AB23" s="1263">
        <f t="shared" si="4"/>
        <v>1</v>
      </c>
      <c r="AC23" s="1263">
        <f t="shared" si="5"/>
        <v>1</v>
      </c>
    </row>
    <row r="24" spans="1:29" ht="15.5">
      <c r="A24" s="367"/>
      <c r="B24" s="395"/>
      <c r="C24" s="386"/>
      <c r="D24" s="387"/>
      <c r="E24" s="1751"/>
      <c r="F24" s="388"/>
      <c r="G24" s="1750"/>
      <c r="H24" s="387"/>
      <c r="I24" s="1751"/>
      <c r="J24" s="387"/>
      <c r="K24" s="541"/>
      <c r="L24" s="2490"/>
      <c r="M24" s="2485"/>
      <c r="N24" s="2485"/>
      <c r="O24" s="2485"/>
      <c r="P24" s="3424"/>
      <c r="Q24" s="1262"/>
      <c r="R24" s="667"/>
      <c r="S24" s="668"/>
      <c r="T24" s="667"/>
      <c r="U24" s="668"/>
      <c r="V24" s="667"/>
      <c r="W24" s="668"/>
      <c r="X24" s="1264"/>
      <c r="Y24" s="3417"/>
      <c r="Z24" s="1263"/>
      <c r="AA24" s="1263">
        <v>1</v>
      </c>
      <c r="AB24" s="1263">
        <v>1</v>
      </c>
      <c r="AC24" s="1263">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4"/>
      <c r="Q25" s="1262" t="str">
        <f t="shared" ref="Q25:Q46" si="11">B25</f>
        <v>临街状况</v>
      </c>
      <c r="R25" s="667" t="s">
        <v>14</v>
      </c>
      <c r="S25" s="668">
        <f>F25</f>
        <v>100</v>
      </c>
      <c r="T25" s="667" t="s">
        <v>14</v>
      </c>
      <c r="U25" s="668">
        <f>H25</f>
        <v>100</v>
      </c>
      <c r="V25" s="667" t="s">
        <v>14</v>
      </c>
      <c r="W25" s="668">
        <f>J25</f>
        <v>100</v>
      </c>
      <c r="X25" s="1264"/>
      <c r="Y25" s="3417"/>
      <c r="Z25" s="1263" t="str">
        <f>Q25</f>
        <v>临街状况</v>
      </c>
      <c r="AA25" s="1263">
        <f t="shared" si="3"/>
        <v>1</v>
      </c>
      <c r="AB25" s="1263">
        <f t="shared" si="4"/>
        <v>1</v>
      </c>
      <c r="AC25" s="1263">
        <f t="shared" si="5"/>
        <v>1</v>
      </c>
    </row>
    <row r="26" spans="1:29" ht="15.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4"/>
      <c r="Q26" s="1262" t="str">
        <f t="shared" si="11"/>
        <v>平面位置/可视性</v>
      </c>
      <c r="R26" s="667" t="s">
        <v>14</v>
      </c>
      <c r="S26" s="668">
        <f>F26</f>
        <v>100</v>
      </c>
      <c r="T26" s="667" t="s">
        <v>14</v>
      </c>
      <c r="U26" s="668">
        <f>H26</f>
        <v>100</v>
      </c>
      <c r="V26" s="667" t="s">
        <v>14</v>
      </c>
      <c r="W26" s="668">
        <f>J26</f>
        <v>100</v>
      </c>
      <c r="X26" s="1264"/>
      <c r="Y26" s="3417"/>
      <c r="Z26" s="1263" t="str">
        <f>Q26</f>
        <v>平面位置/可视性</v>
      </c>
      <c r="AA26" s="1263">
        <f t="shared" si="3"/>
        <v>1</v>
      </c>
      <c r="AB26" s="1263">
        <f t="shared" si="4"/>
        <v>1</v>
      </c>
      <c r="AC26" s="1263">
        <f t="shared" si="5"/>
        <v>1</v>
      </c>
    </row>
    <row r="27" spans="1:29" s="102" customFormat="1" ht="15.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24"/>
      <c r="Q27" s="530" t="str">
        <f t="shared" si="11"/>
        <v>人流量</v>
      </c>
      <c r="R27" s="664" t="s">
        <v>14</v>
      </c>
      <c r="S27" s="665">
        <f>F27</f>
        <v>100</v>
      </c>
      <c r="T27" s="664" t="s">
        <v>14</v>
      </c>
      <c r="U27" s="665">
        <f>H27</f>
        <v>100</v>
      </c>
      <c r="V27" s="664" t="s">
        <v>14</v>
      </c>
      <c r="W27" s="665">
        <f>J27</f>
        <v>100</v>
      </c>
      <c r="X27" s="666"/>
      <c r="Y27" s="3417"/>
      <c r="Z27" s="50" t="str">
        <f>Q27</f>
        <v>人流量</v>
      </c>
      <c r="AA27" s="1263">
        <f>D27/F27</f>
        <v>1</v>
      </c>
      <c r="AB27" s="1263">
        <f>D27/H27</f>
        <v>1</v>
      </c>
      <c r="AC27" s="1263">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7"/>
      <c r="Z28" s="1263" t="str">
        <f t="shared" ref="Z28:Z46" si="15">Q28</f>
        <v>楼层</v>
      </c>
      <c r="AA28" s="1263">
        <f t="shared" si="3"/>
        <v>1</v>
      </c>
      <c r="AB28" s="1263">
        <f t="shared" si="4"/>
        <v>1</v>
      </c>
      <c r="AC28" s="1263">
        <f t="shared" si="5"/>
        <v>1</v>
      </c>
    </row>
    <row r="29" spans="1:29" ht="15.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4"/>
      <c r="Q29" s="1262">
        <f t="shared" si="11"/>
        <v>111</v>
      </c>
      <c r="R29" s="667" t="s">
        <v>14</v>
      </c>
      <c r="S29" s="668">
        <f t="shared" si="12"/>
        <v>100</v>
      </c>
      <c r="T29" s="667" t="s">
        <v>14</v>
      </c>
      <c r="U29" s="668">
        <f t="shared" si="13"/>
        <v>100</v>
      </c>
      <c r="V29" s="667" t="s">
        <v>14</v>
      </c>
      <c r="W29" s="668">
        <f t="shared" si="14"/>
        <v>100</v>
      </c>
      <c r="X29" s="1264"/>
      <c r="Y29" s="3417"/>
      <c r="Z29" s="1263">
        <f t="shared" si="15"/>
        <v>111</v>
      </c>
      <c r="AA29" s="1263">
        <f t="shared" si="3"/>
        <v>1</v>
      </c>
      <c r="AB29" s="1263">
        <f t="shared" si="4"/>
        <v>1</v>
      </c>
      <c r="AC29" s="1263">
        <f t="shared" si="5"/>
        <v>1</v>
      </c>
    </row>
    <row r="30" spans="1:29" ht="15.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4"/>
      <c r="Q30" s="1262">
        <f t="shared" si="11"/>
        <v>111</v>
      </c>
      <c r="R30" s="667" t="s">
        <v>14</v>
      </c>
      <c r="S30" s="668">
        <f t="shared" si="12"/>
        <v>100</v>
      </c>
      <c r="T30" s="667" t="s">
        <v>14</v>
      </c>
      <c r="U30" s="668">
        <f t="shared" si="13"/>
        <v>100</v>
      </c>
      <c r="V30" s="667" t="s">
        <v>14</v>
      </c>
      <c r="W30" s="668">
        <f t="shared" si="14"/>
        <v>100</v>
      </c>
      <c r="X30" s="1264"/>
      <c r="Y30" s="3417"/>
      <c r="Z30" s="1263">
        <f t="shared" si="15"/>
        <v>111</v>
      </c>
      <c r="AA30" s="1263">
        <f t="shared" si="3"/>
        <v>1</v>
      </c>
      <c r="AB30" s="1263">
        <f t="shared" si="4"/>
        <v>1</v>
      </c>
      <c r="AC30" s="1263">
        <f t="shared" si="5"/>
        <v>1</v>
      </c>
    </row>
    <row r="31" spans="1:29" ht="1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4"/>
      <c r="Q31" s="1262">
        <f t="shared" si="11"/>
        <v>111</v>
      </c>
      <c r="R31" s="667" t="s">
        <v>14</v>
      </c>
      <c r="S31" s="668">
        <f t="shared" si="12"/>
        <v>100</v>
      </c>
      <c r="T31" s="667" t="s">
        <v>14</v>
      </c>
      <c r="U31" s="668">
        <f t="shared" si="13"/>
        <v>100</v>
      </c>
      <c r="V31" s="667" t="s">
        <v>14</v>
      </c>
      <c r="W31" s="668">
        <f t="shared" si="14"/>
        <v>100</v>
      </c>
      <c r="X31" s="1264"/>
      <c r="Y31" s="3417"/>
      <c r="Z31" s="1263">
        <f t="shared" si="15"/>
        <v>111</v>
      </c>
      <c r="AA31" s="1263">
        <f t="shared" si="3"/>
        <v>1</v>
      </c>
      <c r="AB31" s="1263">
        <f t="shared" si="4"/>
        <v>1</v>
      </c>
      <c r="AC31" s="1263">
        <f t="shared" si="5"/>
        <v>1</v>
      </c>
    </row>
    <row r="32" spans="1:29" ht="15.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18" t="s">
        <v>1696</v>
      </c>
      <c r="Q32" s="1262" t="str">
        <f t="shared" si="11"/>
        <v>商业类型</v>
      </c>
      <c r="R32" s="667" t="s">
        <v>14</v>
      </c>
      <c r="S32" s="668">
        <f t="shared" si="12"/>
        <v>100</v>
      </c>
      <c r="T32" s="667" t="s">
        <v>14</v>
      </c>
      <c r="U32" s="668">
        <f t="shared" si="13"/>
        <v>100</v>
      </c>
      <c r="V32" s="667" t="s">
        <v>14</v>
      </c>
      <c r="W32" s="668">
        <f t="shared" si="14"/>
        <v>100</v>
      </c>
      <c r="X32" s="1264"/>
      <c r="Y32" s="3421" t="s">
        <v>1696</v>
      </c>
      <c r="Z32" s="1263" t="str">
        <f t="shared" si="15"/>
        <v>商业类型</v>
      </c>
      <c r="AA32" s="1263">
        <f t="shared" si="3"/>
        <v>1</v>
      </c>
      <c r="AB32" s="1263">
        <f t="shared" si="4"/>
        <v>1</v>
      </c>
      <c r="AC32" s="1263">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9"/>
      <c r="Q33" s="531" t="str">
        <f t="shared" si="11"/>
        <v>项目建筑规模</v>
      </c>
      <c r="R33" s="669" t="s">
        <v>14</v>
      </c>
      <c r="S33" s="670" t="e">
        <f t="shared" si="12"/>
        <v>#N/A</v>
      </c>
      <c r="T33" s="669" t="s">
        <v>14</v>
      </c>
      <c r="U33" s="670" t="e">
        <f t="shared" si="13"/>
        <v>#N/A</v>
      </c>
      <c r="V33" s="669" t="s">
        <v>14</v>
      </c>
      <c r="W33" s="670" t="e">
        <f t="shared" si="14"/>
        <v>#N/A</v>
      </c>
      <c r="X33" s="671"/>
      <c r="Y33" s="3421"/>
      <c r="Z33" s="672" t="str">
        <f t="shared" si="15"/>
        <v>项目建筑规模</v>
      </c>
      <c r="AA33" s="1263" t="e">
        <f t="shared" si="3"/>
        <v>#N/A</v>
      </c>
      <c r="AB33" s="1263" t="e">
        <f t="shared" si="4"/>
        <v>#N/A</v>
      </c>
      <c r="AC33" s="1263"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9"/>
      <c r="Q34" s="1262" t="str">
        <f t="shared" si="11"/>
        <v>建筑结构</v>
      </c>
      <c r="R34" s="667" t="s">
        <v>14</v>
      </c>
      <c r="S34" s="668">
        <f t="shared" si="12"/>
        <v>100</v>
      </c>
      <c r="T34" s="667" t="s">
        <v>14</v>
      </c>
      <c r="U34" s="668">
        <f t="shared" si="13"/>
        <v>100</v>
      </c>
      <c r="V34" s="667" t="s">
        <v>14</v>
      </c>
      <c r="W34" s="668">
        <f t="shared" si="14"/>
        <v>100</v>
      </c>
      <c r="X34" s="1264"/>
      <c r="Y34" s="3421"/>
      <c r="Z34" s="1263" t="str">
        <f t="shared" si="15"/>
        <v>建筑结构</v>
      </c>
      <c r="AA34" s="1263">
        <f t="shared" si="3"/>
        <v>1</v>
      </c>
      <c r="AB34" s="1263">
        <f t="shared" si="4"/>
        <v>1</v>
      </c>
      <c r="AC34" s="1263">
        <f t="shared" si="5"/>
        <v>1</v>
      </c>
    </row>
    <row r="35" spans="1:29" ht="15.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19"/>
      <c r="Q35" s="1262" t="str">
        <f t="shared" si="11"/>
        <v>公共部分装修</v>
      </c>
      <c r="R35" s="667" t="s">
        <v>14</v>
      </c>
      <c r="S35" s="668">
        <f t="shared" si="12"/>
        <v>100</v>
      </c>
      <c r="T35" s="667" t="s">
        <v>14</v>
      </c>
      <c r="U35" s="668">
        <f t="shared" si="13"/>
        <v>100</v>
      </c>
      <c r="V35" s="667" t="s">
        <v>14</v>
      </c>
      <c r="W35" s="668">
        <f t="shared" si="14"/>
        <v>100</v>
      </c>
      <c r="X35" s="1264"/>
      <c r="Y35" s="3421"/>
      <c r="Z35" s="1263" t="str">
        <f t="shared" si="15"/>
        <v>公共部分装修</v>
      </c>
      <c r="AA35" s="1263">
        <f t="shared" si="3"/>
        <v>1</v>
      </c>
      <c r="AB35" s="1263">
        <f t="shared" si="4"/>
        <v>1</v>
      </c>
      <c r="AC35" s="1263">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9"/>
      <c r="Q36" s="1262" t="str">
        <f t="shared" si="11"/>
        <v>成新度</v>
      </c>
      <c r="R36" s="667" t="s">
        <v>14</v>
      </c>
      <c r="S36" s="668" t="e">
        <f t="shared" si="12"/>
        <v>#N/A</v>
      </c>
      <c r="T36" s="667" t="s">
        <v>14</v>
      </c>
      <c r="U36" s="668" t="e">
        <f t="shared" si="13"/>
        <v>#N/A</v>
      </c>
      <c r="V36" s="667" t="s">
        <v>14</v>
      </c>
      <c r="W36" s="668" t="e">
        <f t="shared" si="14"/>
        <v>#N/A</v>
      </c>
      <c r="X36" s="1264"/>
      <c r="Y36" s="3421"/>
      <c r="Z36" s="1263" t="str">
        <f t="shared" si="15"/>
        <v>成新度</v>
      </c>
      <c r="AA36" s="1263" t="e">
        <f t="shared" si="3"/>
        <v>#N/A</v>
      </c>
      <c r="AB36" s="1263" t="e">
        <f t="shared" si="4"/>
        <v>#N/A</v>
      </c>
      <c r="AC36" s="1263" t="e">
        <f t="shared" si="5"/>
        <v>#N/A</v>
      </c>
    </row>
    <row r="37" spans="1:29" s="102" customFormat="1" ht="15.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19" t="s">
        <v>1696</v>
      </c>
      <c r="Q38" s="1262" t="str">
        <f t="shared" si="11"/>
        <v>业态</v>
      </c>
      <c r="R38" s="667" t="s">
        <v>14</v>
      </c>
      <c r="S38" s="668">
        <f t="shared" si="12"/>
        <v>100</v>
      </c>
      <c r="T38" s="667" t="s">
        <v>14</v>
      </c>
      <c r="U38" s="668">
        <f t="shared" si="13"/>
        <v>100</v>
      </c>
      <c r="V38" s="667" t="s">
        <v>14</v>
      </c>
      <c r="W38" s="668">
        <f t="shared" si="14"/>
        <v>100</v>
      </c>
      <c r="X38" s="1264"/>
      <c r="Y38" s="3421" t="s">
        <v>1696</v>
      </c>
      <c r="Z38" s="1263" t="str">
        <f t="shared" si="15"/>
        <v>业态</v>
      </c>
      <c r="AA38" s="1263">
        <f t="shared" si="3"/>
        <v>1</v>
      </c>
      <c r="AB38" s="1263">
        <f t="shared" si="4"/>
        <v>1</v>
      </c>
      <c r="AC38" s="1263">
        <f t="shared" si="5"/>
        <v>1</v>
      </c>
    </row>
    <row r="39" spans="1:29" ht="15.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19"/>
      <c r="Q39" s="1262" t="str">
        <f t="shared" si="11"/>
        <v>层高</v>
      </c>
      <c r="R39" s="667" t="s">
        <v>14</v>
      </c>
      <c r="S39" s="668">
        <f t="shared" si="12"/>
        <v>100</v>
      </c>
      <c r="T39" s="667" t="s">
        <v>14</v>
      </c>
      <c r="U39" s="668">
        <f t="shared" si="13"/>
        <v>100</v>
      </c>
      <c r="V39" s="667" t="s">
        <v>14</v>
      </c>
      <c r="W39" s="668">
        <f t="shared" si="14"/>
        <v>100</v>
      </c>
      <c r="X39" s="1264"/>
      <c r="Y39" s="3421"/>
      <c r="Z39" s="1263" t="str">
        <f t="shared" si="15"/>
        <v>层高</v>
      </c>
      <c r="AA39" s="1263">
        <f t="shared" si="3"/>
        <v>1</v>
      </c>
      <c r="AB39" s="1263">
        <f t="shared" si="4"/>
        <v>1</v>
      </c>
      <c r="AC39" s="1263">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9"/>
      <c r="Q40" s="1262" t="str">
        <f t="shared" si="11"/>
        <v>单套建筑面积</v>
      </c>
      <c r="R40" s="667" t="s">
        <v>14</v>
      </c>
      <c r="S40" s="668">
        <f t="shared" si="12"/>
        <v>100</v>
      </c>
      <c r="T40" s="667" t="s">
        <v>14</v>
      </c>
      <c r="U40" s="668">
        <f t="shared" si="13"/>
        <v>100</v>
      </c>
      <c r="V40" s="667" t="s">
        <v>14</v>
      </c>
      <c r="W40" s="668">
        <f t="shared" si="14"/>
        <v>100</v>
      </c>
      <c r="X40" s="1264"/>
      <c r="Y40" s="3421"/>
      <c r="Z40" s="1263" t="str">
        <f t="shared" si="15"/>
        <v>单套建筑面积</v>
      </c>
      <c r="AA40" s="1263">
        <f t="shared" si="3"/>
        <v>1</v>
      </c>
      <c r="AB40" s="1263">
        <f t="shared" si="4"/>
        <v>1</v>
      </c>
      <c r="AC40" s="1263">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3">
        <f t="shared" si="3"/>
        <v>1</v>
      </c>
      <c r="AB41" s="1263">
        <f t="shared" si="4"/>
        <v>1</v>
      </c>
      <c r="AC41" s="1263">
        <f t="shared" si="5"/>
        <v>1</v>
      </c>
    </row>
    <row r="42" spans="1:29" ht="15.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19"/>
      <c r="Q42" s="1262" t="str">
        <f t="shared" si="11"/>
        <v>内部装修</v>
      </c>
      <c r="R42" s="667" t="s">
        <v>14</v>
      </c>
      <c r="S42" s="668">
        <f t="shared" si="12"/>
        <v>100</v>
      </c>
      <c r="T42" s="667" t="s">
        <v>14</v>
      </c>
      <c r="U42" s="668">
        <f t="shared" si="13"/>
        <v>100</v>
      </c>
      <c r="V42" s="667" t="s">
        <v>14</v>
      </c>
      <c r="W42" s="668">
        <f t="shared" si="14"/>
        <v>100</v>
      </c>
      <c r="X42" s="1264"/>
      <c r="Y42" s="3421"/>
      <c r="Z42" s="1263" t="str">
        <f t="shared" si="15"/>
        <v>内部装修</v>
      </c>
      <c r="AA42" s="1263">
        <f t="shared" si="3"/>
        <v>1</v>
      </c>
      <c r="AB42" s="1263">
        <f t="shared" si="4"/>
        <v>1</v>
      </c>
      <c r="AC42" s="1263">
        <f t="shared" si="5"/>
        <v>1</v>
      </c>
    </row>
    <row r="43" spans="1:29" ht="2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19"/>
      <c r="Q43" s="1262" t="str">
        <f t="shared" si="11"/>
        <v>内部装修维护情况</v>
      </c>
      <c r="R43" s="667" t="s">
        <v>14</v>
      </c>
      <c r="S43" s="668">
        <f t="shared" si="12"/>
        <v>100</v>
      </c>
      <c r="T43" s="667" t="s">
        <v>14</v>
      </c>
      <c r="U43" s="668">
        <f t="shared" si="13"/>
        <v>100</v>
      </c>
      <c r="V43" s="667" t="s">
        <v>14</v>
      </c>
      <c r="W43" s="668">
        <f t="shared" si="14"/>
        <v>100</v>
      </c>
      <c r="X43" s="1264"/>
      <c r="Y43" s="3421"/>
      <c r="Z43" s="1263" t="str">
        <f t="shared" si="15"/>
        <v>内部装修维护情况</v>
      </c>
      <c r="AA43" s="1263">
        <f t="shared" si="3"/>
        <v>1</v>
      </c>
      <c r="AB43" s="1263">
        <f t="shared" si="4"/>
        <v>1</v>
      </c>
      <c r="AC43" s="1263">
        <f t="shared" si="5"/>
        <v>1</v>
      </c>
    </row>
    <row r="44" spans="1:29" s="102" customFormat="1" ht="15.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9"/>
      <c r="Q45" s="1262">
        <f t="shared" si="11"/>
        <v>111</v>
      </c>
      <c r="R45" s="667" t="s">
        <v>14</v>
      </c>
      <c r="S45" s="668">
        <f t="shared" si="12"/>
        <v>100</v>
      </c>
      <c r="T45" s="667" t="s">
        <v>14</v>
      </c>
      <c r="U45" s="668">
        <f t="shared" si="13"/>
        <v>100</v>
      </c>
      <c r="V45" s="667" t="s">
        <v>14</v>
      </c>
      <c r="W45" s="668">
        <f t="shared" si="14"/>
        <v>100</v>
      </c>
      <c r="X45" s="1264"/>
      <c r="Y45" s="3421"/>
      <c r="Z45" s="1263">
        <f t="shared" si="15"/>
        <v>111</v>
      </c>
      <c r="AA45" s="1263">
        <f t="shared" si="3"/>
        <v>1</v>
      </c>
      <c r="AB45" s="1263">
        <f t="shared" si="4"/>
        <v>1</v>
      </c>
      <c r="AC45" s="1263">
        <f t="shared" si="5"/>
        <v>1</v>
      </c>
    </row>
    <row r="46" spans="1:29" ht="1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0"/>
      <c r="Q46" s="1262">
        <f t="shared" si="11"/>
        <v>111</v>
      </c>
      <c r="R46" s="667" t="s">
        <v>14</v>
      </c>
      <c r="S46" s="668">
        <f t="shared" si="12"/>
        <v>100</v>
      </c>
      <c r="T46" s="667" t="s">
        <v>14</v>
      </c>
      <c r="U46" s="668">
        <f t="shared" si="13"/>
        <v>100</v>
      </c>
      <c r="V46" s="667" t="s">
        <v>14</v>
      </c>
      <c r="W46" s="668">
        <f t="shared" si="14"/>
        <v>100</v>
      </c>
      <c r="X46" s="1264"/>
      <c r="Y46" s="3422"/>
      <c r="Z46" s="1263">
        <f t="shared" si="15"/>
        <v>111</v>
      </c>
      <c r="AA46" s="1263">
        <f t="shared" si="3"/>
        <v>1</v>
      </c>
      <c r="AB46" s="1263">
        <f t="shared" si="4"/>
        <v>1</v>
      </c>
      <c r="AC46" s="1263">
        <f t="shared" si="5"/>
        <v>1</v>
      </c>
    </row>
    <row r="47" spans="1:29">
      <c r="A47" s="416" t="s">
        <v>1708</v>
      </c>
      <c r="B47" s="417"/>
      <c r="C47" s="1080" t="s">
        <v>0</v>
      </c>
      <c r="D47" s="418"/>
      <c r="E47" s="419"/>
      <c r="F47" s="420"/>
      <c r="G47" s="421"/>
      <c r="H47" s="422"/>
      <c r="I47" s="419"/>
      <c r="J47" s="422"/>
      <c r="K47" s="674"/>
      <c r="L47" s="2492"/>
      <c r="M47" s="2485"/>
      <c r="N47" s="2485"/>
      <c r="O47" s="2485"/>
      <c r="P47" s="3415" t="str">
        <f>A47</f>
        <v>成交单价（元/平方米）</v>
      </c>
      <c r="Q47" s="3415"/>
      <c r="R47" s="3410">
        <f>E47</f>
        <v>0</v>
      </c>
      <c r="S47" s="3410"/>
      <c r="T47" s="3410">
        <f>G47</f>
        <v>0</v>
      </c>
      <c r="U47" s="3410"/>
      <c r="V47" s="3410">
        <f>I47</f>
        <v>0</v>
      </c>
      <c r="W47" s="3410"/>
      <c r="X47" s="385"/>
      <c r="Y47" s="673"/>
      <c r="Z47" s="385"/>
      <c r="AA47" s="385"/>
      <c r="AB47" s="385"/>
      <c r="AC47" s="385"/>
    </row>
    <row r="48" spans="1:29" ht="14.5" thickBot="1">
      <c r="A48" s="423" t="s">
        <v>1793</v>
      </c>
      <c r="B48" s="424"/>
      <c r="C48" s="1081" t="e">
        <f>R49</f>
        <v>#DIV/0!</v>
      </c>
      <c r="D48" s="2139" t="s">
        <v>2138</v>
      </c>
      <c r="E48" s="1082" t="e">
        <f>R48</f>
        <v>#DIV/0!</v>
      </c>
      <c r="F48" s="2140"/>
      <c r="G48" s="1081" t="e">
        <f>T48</f>
        <v>#DIV/0!</v>
      </c>
      <c r="H48" s="2140"/>
      <c r="I48" s="1082" t="e">
        <f>V48</f>
        <v>#DIV/0!</v>
      </c>
      <c r="J48" s="2140"/>
      <c r="K48" s="2142">
        <f>F48+H48+J48</f>
        <v>0</v>
      </c>
      <c r="L48" s="2492"/>
      <c r="M48" s="2485"/>
      <c r="N48" s="2485"/>
      <c r="O48" s="2485"/>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7"/>
      <c r="M57" s="885"/>
      <c r="N57" s="885"/>
      <c r="O57" s="885"/>
      <c r="P57" s="2505"/>
      <c r="Q57" s="2506"/>
      <c r="R57" s="2485"/>
      <c r="S57" s="2485"/>
      <c r="T57" s="2485"/>
      <c r="U57" s="2485"/>
      <c r="V57" s="2485"/>
      <c r="W57" s="2485"/>
      <c r="X57" s="2485"/>
      <c r="Y57" s="2485"/>
      <c r="Z57" s="2485"/>
      <c r="AA57" s="2485"/>
      <c r="AB57" s="2485"/>
      <c r="AC57" s="2485"/>
    </row>
    <row r="58" spans="1:29" s="442" customFormat="1">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cfRule type="containsText" dxfId="124" priority="17" stopIfTrue="1" operator="containsText" text="超过">
      <formula>NOT(ISERROR(SEARCH("超过",F52)))</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G54">
    <cfRule type="expression" dxfId="121" priority="13"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conditionalFormatting sqref="J52:J54">
    <cfRule type="containsText" dxfId="11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2"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20244.170000000002</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3"/>
    </row>
    <row r="4" spans="1:29">
      <c r="A4" s="345" t="s">
        <v>1769</v>
      </c>
      <c r="B4" s="346"/>
      <c r="C4" s="3398" t="s">
        <v>1770</v>
      </c>
      <c r="D4" s="3399"/>
      <c r="E4" s="3400" t="s">
        <v>1771</v>
      </c>
      <c r="F4" s="3401"/>
      <c r="G4" s="3398" t="s">
        <v>1772</v>
      </c>
      <c r="H4" s="3399"/>
      <c r="I4" s="3398" t="s">
        <v>1773</v>
      </c>
      <c r="J4" s="3399"/>
      <c r="K4" s="537" t="s">
        <v>1774</v>
      </c>
      <c r="L4" s="2484"/>
      <c r="M4" s="2485"/>
      <c r="N4" s="2485"/>
      <c r="O4" s="2485"/>
      <c r="P4" s="3431" t="s">
        <v>1775</v>
      </c>
      <c r="Q4" s="3432"/>
      <c r="R4" s="3426" t="s">
        <v>1771</v>
      </c>
      <c r="S4" s="3427"/>
      <c r="T4" s="3426" t="s">
        <v>1772</v>
      </c>
      <c r="U4" s="3427"/>
      <c r="V4" s="3435" t="s">
        <v>1773</v>
      </c>
      <c r="W4" s="3435"/>
      <c r="X4" s="1808"/>
      <c r="Y4" s="3426" t="s">
        <v>1775</v>
      </c>
      <c r="Z4" s="3427"/>
      <c r="AA4" s="3425" t="s">
        <v>1771</v>
      </c>
      <c r="AB4" s="3425" t="s">
        <v>1772</v>
      </c>
      <c r="AC4" s="3428" t="s">
        <v>1773</v>
      </c>
    </row>
    <row r="5" spans="1:29">
      <c r="A5" s="348"/>
      <c r="B5" s="349"/>
      <c r="C5" s="3391" t="s">
        <v>1673</v>
      </c>
      <c r="D5" s="3392"/>
      <c r="E5" s="3389" t="s">
        <v>1674</v>
      </c>
      <c r="F5" s="3390"/>
      <c r="G5" s="3391" t="s">
        <v>1675</v>
      </c>
      <c r="H5" s="3392"/>
      <c r="I5" s="3391" t="s">
        <v>1676</v>
      </c>
      <c r="J5" s="3392"/>
      <c r="K5" s="537"/>
      <c r="L5" s="2484"/>
      <c r="M5" s="2485"/>
      <c r="N5" s="2485"/>
      <c r="O5" s="2485"/>
      <c r="P5" s="3433"/>
      <c r="Q5" s="3405"/>
      <c r="R5" s="3387"/>
      <c r="S5" s="3388"/>
      <c r="T5" s="3387"/>
      <c r="U5" s="3388"/>
      <c r="V5" s="3410"/>
      <c r="W5" s="3410"/>
      <c r="X5" s="1264"/>
      <c r="Y5" s="3387"/>
      <c r="Z5" s="3388"/>
      <c r="AA5" s="3381"/>
      <c r="AB5" s="3381"/>
      <c r="AC5" s="3429"/>
    </row>
    <row r="6" spans="1:29" ht="15" thickBot="1">
      <c r="A6" s="350"/>
      <c r="B6" s="351"/>
      <c r="C6" s="3393" t="s">
        <v>1677</v>
      </c>
      <c r="D6" s="3394"/>
      <c r="E6" s="3395" t="s">
        <v>1677</v>
      </c>
      <c r="F6" s="3396"/>
      <c r="G6" s="3393" t="s">
        <v>1677</v>
      </c>
      <c r="H6" s="3394"/>
      <c r="I6" s="3393" t="s">
        <v>1677</v>
      </c>
      <c r="J6" s="3394"/>
      <c r="K6" s="537" t="s">
        <v>1678</v>
      </c>
      <c r="L6" s="2484"/>
      <c r="M6" s="2485"/>
      <c r="N6" s="2485"/>
      <c r="O6" s="2485"/>
      <c r="P6" s="3434"/>
      <c r="Q6" s="3407"/>
      <c r="R6" s="3387"/>
      <c r="S6" s="3388"/>
      <c r="T6" s="3408"/>
      <c r="U6" s="3409"/>
      <c r="V6" s="3410"/>
      <c r="W6" s="3410"/>
      <c r="X6" s="1264"/>
      <c r="Y6" s="3408"/>
      <c r="Z6" s="3409"/>
      <c r="AA6" s="3382"/>
      <c r="AB6" s="3382"/>
      <c r="AC6" s="3430"/>
    </row>
    <row r="7" spans="1:29" s="102" customFormat="1" ht="14.5" thickBot="1">
      <c r="A7" s="352" t="s">
        <v>1679</v>
      </c>
      <c r="B7" s="353"/>
      <c r="C7" s="354">
        <f>'数据-取费表'!B2</f>
        <v>45974</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6"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801"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6" t="s">
        <v>1683</v>
      </c>
      <c r="Q8" s="3384"/>
      <c r="R8" s="664" t="s">
        <v>14</v>
      </c>
      <c r="S8" s="665">
        <f t="shared" si="0"/>
        <v>100</v>
      </c>
      <c r="T8" s="664" t="s">
        <v>14</v>
      </c>
      <c r="U8" s="665">
        <f t="shared" si="1"/>
        <v>100</v>
      </c>
      <c r="V8" s="664" t="s">
        <v>14</v>
      </c>
      <c r="W8" s="665">
        <f t="shared" si="2"/>
        <v>100</v>
      </c>
      <c r="X8" s="666"/>
      <c r="Y8" s="3383" t="s">
        <v>1683</v>
      </c>
      <c r="Z8" s="338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1">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1">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1">
        <f t="shared" si="5"/>
        <v>1</v>
      </c>
    </row>
    <row r="12" spans="1:29" s="102" customFormat="1" ht="15.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1">
        <f>D12/J12</f>
        <v>1</v>
      </c>
    </row>
    <row r="13" spans="1:29" ht="15.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1">
        <f t="shared" si="5"/>
        <v>1</v>
      </c>
    </row>
    <row r="14" spans="1:29" ht="1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1">
        <f t="shared" si="5"/>
        <v>1</v>
      </c>
    </row>
    <row r="15" spans="1:29" ht="70">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3" t="s">
        <v>1691</v>
      </c>
      <c r="Q15" s="1262" t="str">
        <f t="shared" si="6"/>
        <v>办公集聚程度</v>
      </c>
      <c r="R15" s="667" t="s">
        <v>14</v>
      </c>
      <c r="S15" s="668">
        <f t="shared" si="0"/>
        <v>100</v>
      </c>
      <c r="T15" s="667" t="s">
        <v>14</v>
      </c>
      <c r="U15" s="668">
        <f t="shared" si="1"/>
        <v>100</v>
      </c>
      <c r="V15" s="667" t="s">
        <v>14</v>
      </c>
      <c r="W15" s="668">
        <f t="shared" si="2"/>
        <v>100</v>
      </c>
      <c r="X15" s="1264"/>
      <c r="Y15" s="3416" t="s">
        <v>1691</v>
      </c>
      <c r="Z15" s="1263" t="str">
        <f t="shared" si="7"/>
        <v>办公集聚程度</v>
      </c>
      <c r="AA15" s="1263">
        <f t="shared" si="3"/>
        <v>1</v>
      </c>
      <c r="AB15" s="1263">
        <f t="shared" si="4"/>
        <v>1</v>
      </c>
      <c r="AC15" s="1811">
        <f t="shared" si="5"/>
        <v>1</v>
      </c>
    </row>
    <row r="16" spans="1:29" ht="15.5">
      <c r="A16" s="367"/>
      <c r="B16" s="555"/>
      <c r="C16" s="1757"/>
      <c r="D16" s="387"/>
      <c r="E16" s="386"/>
      <c r="F16" s="387"/>
      <c r="G16" s="1757"/>
      <c r="H16" s="389"/>
      <c r="I16" s="386"/>
      <c r="J16" s="387"/>
      <c r="K16" s="541"/>
      <c r="L16" s="2490"/>
      <c r="M16" s="2485"/>
      <c r="N16" s="2485"/>
      <c r="O16" s="2485"/>
      <c r="P16" s="3424"/>
      <c r="Q16" s="1262"/>
      <c r="R16" s="667"/>
      <c r="S16" s="668"/>
      <c r="T16" s="667"/>
      <c r="U16" s="668"/>
      <c r="V16" s="667"/>
      <c r="W16" s="668"/>
      <c r="X16" s="1264"/>
      <c r="Y16" s="3417"/>
      <c r="Z16" s="1263"/>
      <c r="AA16" s="1263">
        <v>1</v>
      </c>
      <c r="AB16" s="1263">
        <v>1</v>
      </c>
      <c r="AC16" s="1811">
        <v>1</v>
      </c>
    </row>
    <row r="17" spans="1:29" ht="84">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4"/>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811">
        <f t="shared" si="5"/>
        <v>1</v>
      </c>
    </row>
    <row r="18" spans="1:29" ht="15.5">
      <c r="A18" s="367"/>
      <c r="B18" s="401"/>
      <c r="C18" s="1813"/>
      <c r="D18" s="389"/>
      <c r="E18" s="1755"/>
      <c r="F18" s="389"/>
      <c r="G18" s="1756"/>
      <c r="H18" s="387"/>
      <c r="I18" s="1756"/>
      <c r="J18" s="387"/>
      <c r="K18" s="541"/>
      <c r="L18" s="2490"/>
      <c r="M18" s="2485"/>
      <c r="N18" s="2485"/>
      <c r="O18" s="2485"/>
      <c r="P18" s="3424"/>
      <c r="Q18" s="1262"/>
      <c r="R18" s="667"/>
      <c r="S18" s="668"/>
      <c r="T18" s="667"/>
      <c r="U18" s="668"/>
      <c r="V18" s="667"/>
      <c r="W18" s="668"/>
      <c r="X18" s="1264"/>
      <c r="Y18" s="3417"/>
      <c r="Z18" s="1263"/>
      <c r="AA18" s="1263">
        <v>1</v>
      </c>
      <c r="AB18" s="1263">
        <v>1</v>
      </c>
      <c r="AC18" s="1811">
        <v>1</v>
      </c>
    </row>
    <row r="19" spans="1:29" ht="42">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4"/>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811">
        <f t="shared" si="5"/>
        <v>1</v>
      </c>
    </row>
    <row r="20" spans="1:29" ht="15.5">
      <c r="A20" s="367"/>
      <c r="B20" s="401"/>
      <c r="C20" s="1757"/>
      <c r="D20" s="387"/>
      <c r="E20" s="1750"/>
      <c r="F20" s="387"/>
      <c r="G20" s="1751"/>
      <c r="H20" s="387"/>
      <c r="I20" s="1751"/>
      <c r="J20" s="387"/>
      <c r="K20" s="541"/>
      <c r="L20" s="2490"/>
      <c r="M20" s="2485"/>
      <c r="N20" s="2485"/>
      <c r="O20" s="2485"/>
      <c r="P20" s="3424"/>
      <c r="Q20" s="1262"/>
      <c r="R20" s="667"/>
      <c r="S20" s="668"/>
      <c r="T20" s="667"/>
      <c r="U20" s="668"/>
      <c r="V20" s="667"/>
      <c r="W20" s="668"/>
      <c r="X20" s="1264"/>
      <c r="Y20" s="3417"/>
      <c r="Z20" s="1263"/>
      <c r="AA20" s="1263">
        <v>1</v>
      </c>
      <c r="AB20" s="1263">
        <v>1</v>
      </c>
      <c r="AC20" s="1811">
        <v>1</v>
      </c>
    </row>
    <row r="21" spans="1:29" ht="28">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811">
        <f t="shared" ref="AC21" si="10">D21/J21</f>
        <v>1</v>
      </c>
    </row>
    <row r="22" spans="1:29" ht="15.5">
      <c r="A22" s="367"/>
      <c r="B22" s="557"/>
      <c r="C22" s="1813"/>
      <c r="D22" s="387"/>
      <c r="E22" s="386"/>
      <c r="F22" s="387"/>
      <c r="G22" s="1757"/>
      <c r="H22" s="387"/>
      <c r="I22" s="1757"/>
      <c r="J22" s="387"/>
      <c r="K22" s="1063"/>
      <c r="L22" s="2490"/>
      <c r="M22" s="2485"/>
      <c r="N22" s="2485"/>
      <c r="O22" s="2485"/>
      <c r="P22" s="3424"/>
      <c r="Q22" s="1262"/>
      <c r="R22" s="667"/>
      <c r="S22" s="668"/>
      <c r="T22" s="667"/>
      <c r="U22" s="668"/>
      <c r="V22" s="667"/>
      <c r="W22" s="668"/>
      <c r="X22" s="1264"/>
      <c r="Y22" s="3417"/>
      <c r="Z22" s="1263"/>
      <c r="AA22" s="1263">
        <v>1</v>
      </c>
      <c r="AB22" s="1263">
        <v>1</v>
      </c>
      <c r="AC22" s="1811">
        <v>1</v>
      </c>
    </row>
    <row r="23" spans="1:29" ht="56">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4"/>
      <c r="Q23" s="1262" t="str">
        <f>B23</f>
        <v>环境质量</v>
      </c>
      <c r="R23" s="667" t="s">
        <v>14</v>
      </c>
      <c r="S23" s="668">
        <f>F23</f>
        <v>100</v>
      </c>
      <c r="T23" s="667" t="s">
        <v>14</v>
      </c>
      <c r="U23" s="668">
        <f>H23</f>
        <v>100</v>
      </c>
      <c r="V23" s="667" t="s">
        <v>14</v>
      </c>
      <c r="W23" s="668">
        <f>J23</f>
        <v>100</v>
      </c>
      <c r="X23" s="1264"/>
      <c r="Y23" s="3417"/>
      <c r="Z23" s="1263" t="str">
        <f>Q23</f>
        <v>环境质量</v>
      </c>
      <c r="AA23" s="1263">
        <f t="shared" si="3"/>
        <v>1</v>
      </c>
      <c r="AB23" s="1263">
        <f t="shared" si="4"/>
        <v>1</v>
      </c>
      <c r="AC23" s="1811">
        <f t="shared" si="5"/>
        <v>1</v>
      </c>
    </row>
    <row r="24" spans="1:29" ht="15.5">
      <c r="A24" s="367"/>
      <c r="B24" s="557"/>
      <c r="C24" s="1757"/>
      <c r="D24" s="387"/>
      <c r="E24" s="1750"/>
      <c r="F24" s="387"/>
      <c r="G24" s="1751"/>
      <c r="H24" s="387"/>
      <c r="I24" s="1751"/>
      <c r="J24" s="387"/>
      <c r="K24" s="541"/>
      <c r="L24" s="2490"/>
      <c r="M24" s="2485"/>
      <c r="N24" s="2485"/>
      <c r="O24" s="2485"/>
      <c r="P24" s="3424"/>
      <c r="Q24" s="1262"/>
      <c r="R24" s="667"/>
      <c r="S24" s="668"/>
      <c r="T24" s="667"/>
      <c r="U24" s="668"/>
      <c r="V24" s="667"/>
      <c r="W24" s="668"/>
      <c r="X24" s="1264"/>
      <c r="Y24" s="3417"/>
      <c r="Z24" s="1263"/>
      <c r="AA24" s="1263">
        <v>1</v>
      </c>
      <c r="AB24" s="1263">
        <v>1</v>
      </c>
      <c r="AC24" s="1811">
        <v>1</v>
      </c>
    </row>
    <row r="25" spans="1:29" ht="2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4"/>
      <c r="Q25" s="1262" t="str">
        <f>B25</f>
        <v>毗邻道路的类型与等级</v>
      </c>
      <c r="R25" s="667" t="s">
        <v>14</v>
      </c>
      <c r="S25" s="668">
        <f>F25</f>
        <v>100</v>
      </c>
      <c r="T25" s="667" t="s">
        <v>14</v>
      </c>
      <c r="U25" s="668">
        <f>H25</f>
        <v>100</v>
      </c>
      <c r="V25" s="667" t="s">
        <v>14</v>
      </c>
      <c r="W25" s="668">
        <f>J25</f>
        <v>100</v>
      </c>
      <c r="X25" s="1264"/>
      <c r="Y25" s="3417"/>
      <c r="Z25" s="1263" t="str">
        <f>Q25</f>
        <v>毗邻道路的类型与等级</v>
      </c>
      <c r="AA25" s="1263">
        <f t="shared" si="3"/>
        <v>1</v>
      </c>
      <c r="AB25" s="1263">
        <f t="shared" si="4"/>
        <v>1</v>
      </c>
      <c r="AC25" s="1811">
        <f t="shared" si="5"/>
        <v>1</v>
      </c>
    </row>
    <row r="26" spans="1:29" ht="15.5">
      <c r="A26" s="348"/>
      <c r="B26" s="401"/>
      <c r="C26" s="558"/>
      <c r="D26" s="374"/>
      <c r="E26" s="542"/>
      <c r="F26" s="374"/>
      <c r="G26" s="558"/>
      <c r="H26" s="374"/>
      <c r="I26" s="542"/>
      <c r="J26" s="374"/>
      <c r="K26" s="541"/>
      <c r="L26" s="2490"/>
      <c r="M26" s="2485"/>
      <c r="N26" s="2485"/>
      <c r="O26" s="2485"/>
      <c r="P26" s="3424"/>
      <c r="Q26" s="1262"/>
      <c r="R26" s="667"/>
      <c r="S26" s="668"/>
      <c r="T26" s="667"/>
      <c r="U26" s="668"/>
      <c r="V26" s="667"/>
      <c r="W26" s="668"/>
      <c r="X26" s="1264"/>
      <c r="Y26" s="3417"/>
      <c r="Z26" s="1263"/>
      <c r="AA26" s="1263">
        <v>1</v>
      </c>
      <c r="AB26" s="1263">
        <v>1</v>
      </c>
      <c r="AC26" s="1811">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4"/>
      <c r="Q27" s="1262" t="str">
        <f t="shared" ref="Q27:Q47" si="11">B27</f>
        <v>楼层</v>
      </c>
      <c r="R27" s="667" t="s">
        <v>14</v>
      </c>
      <c r="S27" s="668">
        <f>F27</f>
        <v>100</v>
      </c>
      <c r="T27" s="667" t="s">
        <v>14</v>
      </c>
      <c r="U27" s="668">
        <f>H27</f>
        <v>100</v>
      </c>
      <c r="V27" s="667" t="s">
        <v>14</v>
      </c>
      <c r="W27" s="668">
        <f>J27</f>
        <v>100</v>
      </c>
      <c r="X27" s="1264"/>
      <c r="Y27" s="3417"/>
      <c r="Z27" s="1263" t="str">
        <f>Q27</f>
        <v>楼层</v>
      </c>
      <c r="AA27" s="1263">
        <f t="shared" si="3"/>
        <v>1</v>
      </c>
      <c r="AB27" s="1263">
        <f t="shared" si="4"/>
        <v>1</v>
      </c>
      <c r="AC27" s="1811">
        <f t="shared" si="5"/>
        <v>1</v>
      </c>
    </row>
    <row r="28" spans="1:29" s="102" customFormat="1" ht="15.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24"/>
      <c r="Q28" s="530" t="str">
        <f t="shared" si="11"/>
        <v>朝向</v>
      </c>
      <c r="R28" s="664" t="s">
        <v>14</v>
      </c>
      <c r="S28" s="665">
        <f>F28</f>
        <v>100</v>
      </c>
      <c r="T28" s="664" t="s">
        <v>14</v>
      </c>
      <c r="U28" s="665">
        <f>H28</f>
        <v>100</v>
      </c>
      <c r="V28" s="664" t="s">
        <v>14</v>
      </c>
      <c r="W28" s="665">
        <f>J28</f>
        <v>100</v>
      </c>
      <c r="X28" s="666"/>
      <c r="Y28" s="3417"/>
      <c r="Z28" s="50" t="str">
        <f>Q28</f>
        <v>朝向</v>
      </c>
      <c r="AA28" s="1263">
        <f>D28/F28</f>
        <v>1</v>
      </c>
      <c r="AB28" s="1263">
        <f>D28/H28</f>
        <v>1</v>
      </c>
      <c r="AC28" s="1811">
        <f>D28/J28</f>
        <v>1</v>
      </c>
    </row>
    <row r="29" spans="1:29" ht="15.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24"/>
      <c r="Q29" s="1262">
        <f t="shared" si="11"/>
        <v>111</v>
      </c>
      <c r="R29" s="667" t="s">
        <v>14</v>
      </c>
      <c r="S29" s="668">
        <f t="shared" ref="S29:S47" si="12">F29</f>
        <v>100</v>
      </c>
      <c r="T29" s="667" t="s">
        <v>14</v>
      </c>
      <c r="U29" s="668">
        <f t="shared" ref="U29:U47" si="13">H29</f>
        <v>100</v>
      </c>
      <c r="V29" s="667" t="s">
        <v>14</v>
      </c>
      <c r="W29" s="668">
        <f t="shared" ref="W29:W47" si="14">J29</f>
        <v>100</v>
      </c>
      <c r="X29" s="1264"/>
      <c r="Y29" s="3417"/>
      <c r="Z29" s="1263">
        <f t="shared" ref="Z29:Z47" si="15">Q29</f>
        <v>111</v>
      </c>
      <c r="AA29" s="1263">
        <f t="shared" si="3"/>
        <v>1</v>
      </c>
      <c r="AB29" s="1263">
        <f t="shared" si="4"/>
        <v>1</v>
      </c>
      <c r="AC29" s="1811">
        <f t="shared" si="5"/>
        <v>1</v>
      </c>
    </row>
    <row r="30" spans="1:29" ht="15.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24"/>
      <c r="Q30" s="1262">
        <f t="shared" si="11"/>
        <v>111</v>
      </c>
      <c r="R30" s="667" t="s">
        <v>14</v>
      </c>
      <c r="S30" s="668">
        <f t="shared" si="12"/>
        <v>100</v>
      </c>
      <c r="T30" s="667" t="s">
        <v>14</v>
      </c>
      <c r="U30" s="668">
        <f t="shared" si="13"/>
        <v>100</v>
      </c>
      <c r="V30" s="667" t="s">
        <v>14</v>
      </c>
      <c r="W30" s="668">
        <f t="shared" si="14"/>
        <v>100</v>
      </c>
      <c r="X30" s="1264"/>
      <c r="Y30" s="3417"/>
      <c r="Z30" s="1263">
        <f t="shared" si="15"/>
        <v>111</v>
      </c>
      <c r="AA30" s="1263">
        <f t="shared" si="3"/>
        <v>1</v>
      </c>
      <c r="AB30" s="1263">
        <f t="shared" si="4"/>
        <v>1</v>
      </c>
      <c r="AC30" s="1811">
        <f t="shared" si="5"/>
        <v>1</v>
      </c>
    </row>
    <row r="31" spans="1:29" ht="15.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24"/>
      <c r="Q31" s="1262">
        <f t="shared" si="11"/>
        <v>111</v>
      </c>
      <c r="R31" s="667" t="s">
        <v>14</v>
      </c>
      <c r="S31" s="668">
        <f t="shared" si="12"/>
        <v>100</v>
      </c>
      <c r="T31" s="667" t="s">
        <v>14</v>
      </c>
      <c r="U31" s="668">
        <f t="shared" si="13"/>
        <v>100</v>
      </c>
      <c r="V31" s="667" t="s">
        <v>14</v>
      </c>
      <c r="W31" s="668">
        <f t="shared" si="14"/>
        <v>100</v>
      </c>
      <c r="X31" s="1264"/>
      <c r="Y31" s="3417"/>
      <c r="Z31" s="1263">
        <f t="shared" si="15"/>
        <v>111</v>
      </c>
      <c r="AA31" s="1263">
        <f t="shared" si="3"/>
        <v>1</v>
      </c>
      <c r="AB31" s="1263">
        <f t="shared" si="4"/>
        <v>1</v>
      </c>
      <c r="AC31" s="1811">
        <f t="shared" si="5"/>
        <v>1</v>
      </c>
    </row>
    <row r="32" spans="1:29" ht="1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24"/>
      <c r="Q32" s="1262">
        <f t="shared" si="11"/>
        <v>111</v>
      </c>
      <c r="R32" s="667" t="s">
        <v>14</v>
      </c>
      <c r="S32" s="668">
        <f t="shared" si="12"/>
        <v>100</v>
      </c>
      <c r="T32" s="667" t="s">
        <v>14</v>
      </c>
      <c r="U32" s="668">
        <f t="shared" si="13"/>
        <v>100</v>
      </c>
      <c r="V32" s="667" t="s">
        <v>14</v>
      </c>
      <c r="W32" s="668">
        <f t="shared" si="14"/>
        <v>100</v>
      </c>
      <c r="X32" s="1264"/>
      <c r="Y32" s="3417"/>
      <c r="Z32" s="1263">
        <f t="shared" si="15"/>
        <v>111</v>
      </c>
      <c r="AA32" s="1263">
        <f t="shared" si="3"/>
        <v>1</v>
      </c>
      <c r="AB32" s="1263">
        <f t="shared" si="4"/>
        <v>1</v>
      </c>
      <c r="AC32" s="1811">
        <f t="shared" si="5"/>
        <v>1</v>
      </c>
    </row>
    <row r="33" spans="1:29" ht="15.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18" t="s">
        <v>1696</v>
      </c>
      <c r="Q33" s="1262" t="str">
        <f t="shared" si="11"/>
        <v>建筑类型</v>
      </c>
      <c r="R33" s="667" t="s">
        <v>14</v>
      </c>
      <c r="S33" s="668">
        <f t="shared" si="12"/>
        <v>100</v>
      </c>
      <c r="T33" s="667" t="s">
        <v>14</v>
      </c>
      <c r="U33" s="668">
        <f t="shared" si="13"/>
        <v>100</v>
      </c>
      <c r="V33" s="667" t="s">
        <v>14</v>
      </c>
      <c r="W33" s="668">
        <f t="shared" si="14"/>
        <v>100</v>
      </c>
      <c r="X33" s="1264"/>
      <c r="Y33" s="3421" t="s">
        <v>1696</v>
      </c>
      <c r="Z33" s="1263" t="str">
        <f t="shared" si="15"/>
        <v>建筑类型</v>
      </c>
      <c r="AA33" s="1263">
        <f t="shared" si="3"/>
        <v>1</v>
      </c>
      <c r="AB33" s="1263">
        <f t="shared" si="4"/>
        <v>1</v>
      </c>
      <c r="AC33" s="1811">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9"/>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3" t="e">
        <f t="shared" si="3"/>
        <v>#N/A</v>
      </c>
      <c r="AB34" s="1263" t="e">
        <f t="shared" si="4"/>
        <v>#N/A</v>
      </c>
      <c r="AC34" s="1811"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9"/>
      <c r="Q35" s="1262" t="str">
        <f t="shared" si="11"/>
        <v>建筑结构</v>
      </c>
      <c r="R35" s="667" t="s">
        <v>14</v>
      </c>
      <c r="S35" s="668">
        <f t="shared" si="12"/>
        <v>100</v>
      </c>
      <c r="T35" s="667" t="s">
        <v>14</v>
      </c>
      <c r="U35" s="668">
        <f t="shared" si="13"/>
        <v>100</v>
      </c>
      <c r="V35" s="667" t="s">
        <v>14</v>
      </c>
      <c r="W35" s="668">
        <f t="shared" si="14"/>
        <v>100</v>
      </c>
      <c r="X35" s="1264"/>
      <c r="Y35" s="3421"/>
      <c r="Z35" s="1263" t="str">
        <f t="shared" si="15"/>
        <v>建筑结构</v>
      </c>
      <c r="AA35" s="1263">
        <f t="shared" si="3"/>
        <v>1</v>
      </c>
      <c r="AB35" s="1263">
        <f t="shared" si="4"/>
        <v>1</v>
      </c>
      <c r="AC35" s="1811">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9"/>
      <c r="Q36" s="1262" t="str">
        <f t="shared" si="11"/>
        <v>公共部分装修</v>
      </c>
      <c r="R36" s="667" t="s">
        <v>14</v>
      </c>
      <c r="S36" s="668">
        <f t="shared" si="12"/>
        <v>100</v>
      </c>
      <c r="T36" s="667" t="s">
        <v>14</v>
      </c>
      <c r="U36" s="668">
        <f t="shared" si="13"/>
        <v>100</v>
      </c>
      <c r="V36" s="667" t="s">
        <v>14</v>
      </c>
      <c r="W36" s="668">
        <f t="shared" si="14"/>
        <v>100</v>
      </c>
      <c r="X36" s="1264"/>
      <c r="Y36" s="3421"/>
      <c r="Z36" s="1263" t="str">
        <f t="shared" si="15"/>
        <v>公共部分装修</v>
      </c>
      <c r="AA36" s="1263">
        <f t="shared" si="3"/>
        <v>1</v>
      </c>
      <c r="AB36" s="1263">
        <f t="shared" si="4"/>
        <v>1</v>
      </c>
      <c r="AC36" s="1811">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9"/>
      <c r="Q37" s="1262" t="str">
        <f t="shared" si="11"/>
        <v>成新度</v>
      </c>
      <c r="R37" s="667" t="s">
        <v>14</v>
      </c>
      <c r="S37" s="668" t="e">
        <f t="shared" si="12"/>
        <v>#N/A</v>
      </c>
      <c r="T37" s="667" t="s">
        <v>14</v>
      </c>
      <c r="U37" s="668" t="e">
        <f t="shared" si="13"/>
        <v>#N/A</v>
      </c>
      <c r="V37" s="667" t="s">
        <v>14</v>
      </c>
      <c r="W37" s="668" t="e">
        <f t="shared" si="14"/>
        <v>#N/A</v>
      </c>
      <c r="X37" s="1264"/>
      <c r="Y37" s="3421"/>
      <c r="Z37" s="1263" t="str">
        <f t="shared" si="15"/>
        <v>成新度</v>
      </c>
      <c r="AA37" s="1263" t="e">
        <f t="shared" si="3"/>
        <v>#N/A</v>
      </c>
      <c r="AB37" s="1263" t="e">
        <f t="shared" si="4"/>
        <v>#N/A</v>
      </c>
      <c r="AC37" s="1811"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9"/>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1">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9" t="s">
        <v>1696</v>
      </c>
      <c r="Q39" s="1262" t="str">
        <f t="shared" si="11"/>
        <v>物业管理</v>
      </c>
      <c r="R39" s="667" t="s">
        <v>14</v>
      </c>
      <c r="S39" s="668">
        <f t="shared" si="12"/>
        <v>100</v>
      </c>
      <c r="T39" s="667" t="s">
        <v>14</v>
      </c>
      <c r="U39" s="668">
        <f t="shared" si="13"/>
        <v>100</v>
      </c>
      <c r="V39" s="667" t="s">
        <v>14</v>
      </c>
      <c r="W39" s="668">
        <f t="shared" si="14"/>
        <v>100</v>
      </c>
      <c r="X39" s="1264"/>
      <c r="Y39" s="3421" t="s">
        <v>1696</v>
      </c>
      <c r="Z39" s="1263" t="str">
        <f t="shared" si="15"/>
        <v>物业管理</v>
      </c>
      <c r="AA39" s="1263">
        <f t="shared" si="3"/>
        <v>1</v>
      </c>
      <c r="AB39" s="1263">
        <f t="shared" si="4"/>
        <v>1</v>
      </c>
      <c r="AC39" s="1811">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9"/>
      <c r="Q40" s="1262" t="str">
        <f t="shared" si="11"/>
        <v>市政基础设施</v>
      </c>
      <c r="R40" s="667" t="s">
        <v>14</v>
      </c>
      <c r="S40" s="668">
        <f t="shared" si="12"/>
        <v>100</v>
      </c>
      <c r="T40" s="667" t="s">
        <v>14</v>
      </c>
      <c r="U40" s="668">
        <f t="shared" si="13"/>
        <v>100</v>
      </c>
      <c r="V40" s="667" t="s">
        <v>14</v>
      </c>
      <c r="W40" s="668">
        <f t="shared" si="14"/>
        <v>100</v>
      </c>
      <c r="X40" s="1264"/>
      <c r="Y40" s="3421"/>
      <c r="Z40" s="1263" t="str">
        <f t="shared" si="15"/>
        <v>市政基础设施</v>
      </c>
      <c r="AA40" s="1263">
        <f t="shared" si="3"/>
        <v>1</v>
      </c>
      <c r="AB40" s="1263">
        <f t="shared" si="4"/>
        <v>1</v>
      </c>
      <c r="AC40" s="1811">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9"/>
      <c r="Q41" s="1262" t="str">
        <f t="shared" si="11"/>
        <v>层高</v>
      </c>
      <c r="R41" s="667" t="s">
        <v>14</v>
      </c>
      <c r="S41" s="668">
        <f t="shared" si="12"/>
        <v>100</v>
      </c>
      <c r="T41" s="667" t="s">
        <v>14</v>
      </c>
      <c r="U41" s="668">
        <f t="shared" si="13"/>
        <v>100</v>
      </c>
      <c r="V41" s="667" t="s">
        <v>14</v>
      </c>
      <c r="W41" s="668">
        <f t="shared" si="14"/>
        <v>100</v>
      </c>
      <c r="X41" s="1264"/>
      <c r="Y41" s="3421"/>
      <c r="Z41" s="1263" t="str">
        <f t="shared" si="15"/>
        <v>层高</v>
      </c>
      <c r="AA41" s="1263">
        <f t="shared" si="3"/>
        <v>1</v>
      </c>
      <c r="AB41" s="1263">
        <f t="shared" si="4"/>
        <v>1</v>
      </c>
      <c r="AC41" s="1811">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9"/>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3">
        <f t="shared" si="3"/>
        <v>1</v>
      </c>
      <c r="AB42" s="1263">
        <f t="shared" si="4"/>
        <v>1</v>
      </c>
      <c r="AC42" s="1811">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9"/>
      <c r="Q43" s="1262" t="str">
        <f t="shared" si="11"/>
        <v>内部装修</v>
      </c>
      <c r="R43" s="667" t="s">
        <v>14</v>
      </c>
      <c r="S43" s="668">
        <f t="shared" si="12"/>
        <v>100</v>
      </c>
      <c r="T43" s="667" t="s">
        <v>14</v>
      </c>
      <c r="U43" s="668">
        <f t="shared" si="13"/>
        <v>100</v>
      </c>
      <c r="V43" s="667" t="s">
        <v>14</v>
      </c>
      <c r="W43" s="668">
        <f t="shared" si="14"/>
        <v>100</v>
      </c>
      <c r="X43" s="1264"/>
      <c r="Y43" s="3421"/>
      <c r="Z43" s="1263" t="str">
        <f t="shared" si="15"/>
        <v>内部装修</v>
      </c>
      <c r="AA43" s="1263">
        <f t="shared" si="3"/>
        <v>1</v>
      </c>
      <c r="AB43" s="1263">
        <f t="shared" si="4"/>
        <v>1</v>
      </c>
      <c r="AC43" s="1811">
        <f t="shared" si="5"/>
        <v>1</v>
      </c>
    </row>
    <row r="44" spans="1:29" ht="2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19"/>
      <c r="Q44" s="1262" t="str">
        <f t="shared" si="11"/>
        <v>内部装修维护情况</v>
      </c>
      <c r="R44" s="667" t="s">
        <v>14</v>
      </c>
      <c r="S44" s="668">
        <f t="shared" si="12"/>
        <v>100</v>
      </c>
      <c r="T44" s="667" t="s">
        <v>14</v>
      </c>
      <c r="U44" s="668">
        <f t="shared" si="13"/>
        <v>100</v>
      </c>
      <c r="V44" s="667" t="s">
        <v>14</v>
      </c>
      <c r="W44" s="668">
        <f t="shared" si="14"/>
        <v>100</v>
      </c>
      <c r="X44" s="1264"/>
      <c r="Y44" s="3421"/>
      <c r="Z44" s="1263" t="str">
        <f t="shared" si="15"/>
        <v>内部装修维护情况</v>
      </c>
      <c r="AA44" s="1263">
        <f t="shared" si="3"/>
        <v>1</v>
      </c>
      <c r="AB44" s="1263">
        <f t="shared" si="4"/>
        <v>1</v>
      </c>
      <c r="AC44" s="1811">
        <f t="shared" si="5"/>
        <v>1</v>
      </c>
    </row>
    <row r="45" spans="1:29" s="102" customFormat="1" ht="15.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9"/>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1">
        <f t="shared" si="5"/>
        <v>1</v>
      </c>
    </row>
    <row r="46" spans="1:29" ht="15.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9"/>
      <c r="Q46" s="1262">
        <f t="shared" si="11"/>
        <v>111</v>
      </c>
      <c r="R46" s="667" t="s">
        <v>14</v>
      </c>
      <c r="S46" s="668">
        <f t="shared" si="12"/>
        <v>100</v>
      </c>
      <c r="T46" s="667" t="s">
        <v>14</v>
      </c>
      <c r="U46" s="668">
        <f t="shared" si="13"/>
        <v>100</v>
      </c>
      <c r="V46" s="667" t="s">
        <v>14</v>
      </c>
      <c r="W46" s="668">
        <f t="shared" si="14"/>
        <v>100</v>
      </c>
      <c r="X46" s="1264"/>
      <c r="Y46" s="3421"/>
      <c r="Z46" s="1263">
        <f t="shared" si="15"/>
        <v>111</v>
      </c>
      <c r="AA46" s="1263">
        <f t="shared" si="3"/>
        <v>1</v>
      </c>
      <c r="AB46" s="1263">
        <f t="shared" si="4"/>
        <v>1</v>
      </c>
      <c r="AC46" s="1811">
        <f t="shared" si="5"/>
        <v>1</v>
      </c>
    </row>
    <row r="47" spans="1:29" ht="1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0"/>
      <c r="Q47" s="1262">
        <f t="shared" si="11"/>
        <v>111</v>
      </c>
      <c r="R47" s="667" t="s">
        <v>14</v>
      </c>
      <c r="S47" s="668">
        <f t="shared" si="12"/>
        <v>100</v>
      </c>
      <c r="T47" s="667" t="s">
        <v>14</v>
      </c>
      <c r="U47" s="668">
        <f t="shared" si="13"/>
        <v>100</v>
      </c>
      <c r="V47" s="667" t="s">
        <v>14</v>
      </c>
      <c r="W47" s="668">
        <f t="shared" si="14"/>
        <v>100</v>
      </c>
      <c r="X47" s="1264"/>
      <c r="Y47" s="3422"/>
      <c r="Z47" s="1263">
        <f t="shared" si="15"/>
        <v>111</v>
      </c>
      <c r="AA47" s="1263">
        <f t="shared" si="3"/>
        <v>1</v>
      </c>
      <c r="AB47" s="1263">
        <f t="shared" si="4"/>
        <v>1</v>
      </c>
      <c r="AC47" s="1811">
        <f t="shared" si="5"/>
        <v>1</v>
      </c>
    </row>
    <row r="48" spans="1:29">
      <c r="A48" s="416" t="s">
        <v>1708</v>
      </c>
      <c r="B48" s="417"/>
      <c r="C48" s="1080" t="s">
        <v>0</v>
      </c>
      <c r="D48" s="418"/>
      <c r="E48" s="419"/>
      <c r="F48" s="420"/>
      <c r="G48" s="421"/>
      <c r="H48" s="422"/>
      <c r="I48" s="419"/>
      <c r="J48" s="422"/>
      <c r="K48" s="674"/>
      <c r="L48" s="2492"/>
      <c r="M48" s="2485"/>
      <c r="N48" s="2485"/>
      <c r="O48" s="2485"/>
      <c r="P48" s="3397" t="str">
        <f>A48</f>
        <v>成交单价（元/平方米）</v>
      </c>
      <c r="Q48" s="3415"/>
      <c r="R48" s="3410">
        <f>E48</f>
        <v>0</v>
      </c>
      <c r="S48" s="3410"/>
      <c r="T48" s="3410">
        <f>G48</f>
        <v>0</v>
      </c>
      <c r="U48" s="3410"/>
      <c r="V48" s="3410">
        <f>I48</f>
        <v>0</v>
      </c>
      <c r="W48" s="3410"/>
      <c r="X48" s="385"/>
      <c r="Y48" s="673"/>
      <c r="Z48" s="385"/>
      <c r="AA48" s="385"/>
      <c r="AB48" s="385"/>
      <c r="AC48" s="555"/>
    </row>
    <row r="49" spans="1:29" ht="14.5" thickBot="1">
      <c r="A49" s="423" t="s">
        <v>1793</v>
      </c>
      <c r="B49" s="424"/>
      <c r="C49" s="1081" t="e">
        <f>R50</f>
        <v>#DIV/0!</v>
      </c>
      <c r="D49" s="2139" t="s">
        <v>2138</v>
      </c>
      <c r="E49" s="1082" t="e">
        <f>R49</f>
        <v>#DIV/0!</v>
      </c>
      <c r="F49" s="2140"/>
      <c r="G49" s="1081" t="e">
        <f>T49</f>
        <v>#DIV/0!</v>
      </c>
      <c r="H49" s="2140"/>
      <c r="I49" s="1082" t="e">
        <f>V49</f>
        <v>#DIV/0!</v>
      </c>
      <c r="J49" s="2140"/>
      <c r="K49" s="2142">
        <f>F49+H49+J49</f>
        <v>0</v>
      </c>
      <c r="L49" s="2492"/>
      <c r="M49" s="2485"/>
      <c r="N49" s="2485"/>
      <c r="O49" s="2485"/>
      <c r="P49" s="3397" t="str">
        <f>A49</f>
        <v>比较价值（元/平方米）</v>
      </c>
      <c r="Q49" s="3415"/>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7"/>
      <c r="M58" s="885"/>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F7:F47 H7:H47 J7:J47">
    <cfRule type="cellIs" dxfId="111" priority="1" operator="notEqual">
      <formula>100</formula>
    </cfRule>
  </conditionalFormatting>
  <conditionalFormatting sqref="F49">
    <cfRule type="expression" dxfId="110" priority="4">
      <formula>$D$49="简单平均"</formula>
    </cfRule>
  </conditionalFormatting>
  <conditionalFormatting sqref="F53:F55 H53:H55">
    <cfRule type="containsText" dxfId="109" priority="17" stopIfTrue="1" operator="containsText" text="超过">
      <formula>NOT(ISERROR(SEARCH("超过",F53)))</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G55">
    <cfRule type="expression" dxfId="106" priority="13"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conditionalFormatting sqref="J53:J55">
    <cfRule type="containsText" dxfId="10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20244.170000000002</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859"/>
      <c r="M4" s="860"/>
      <c r="N4" s="860"/>
      <c r="O4" s="860"/>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859"/>
      <c r="M5" s="860"/>
      <c r="N5" s="860"/>
      <c r="O5" s="860"/>
      <c r="P5" s="3404"/>
      <c r="Q5" s="3405"/>
      <c r="R5" s="3387"/>
      <c r="S5" s="3388"/>
      <c r="T5" s="3387"/>
      <c r="U5" s="3388"/>
      <c r="V5" s="3410"/>
      <c r="W5" s="3410"/>
      <c r="X5" s="1264"/>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859"/>
      <c r="M6" s="860"/>
      <c r="N6" s="860"/>
      <c r="O6" s="860"/>
      <c r="P6" s="3406"/>
      <c r="Q6" s="3407"/>
      <c r="R6" s="3387"/>
      <c r="S6" s="3388"/>
      <c r="T6" s="3408"/>
      <c r="U6" s="3409"/>
      <c r="V6" s="3410"/>
      <c r="W6" s="3410"/>
      <c r="X6" s="1264"/>
      <c r="Y6" s="3408"/>
      <c r="Z6" s="3409"/>
      <c r="AA6" s="3382"/>
      <c r="AB6" s="3382"/>
      <c r="AC6" s="3382"/>
    </row>
    <row r="7" spans="1:29" s="102" customFormat="1" ht="14.5" thickBot="1">
      <c r="A7" s="352" t="s">
        <v>1679</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1"/>
      <c r="M7" s="862"/>
      <c r="N7" s="862"/>
      <c r="O7" s="862"/>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3" t="s">
        <v>1683</v>
      </c>
      <c r="Q8" s="3384"/>
      <c r="R8" s="664" t="s">
        <v>14</v>
      </c>
      <c r="S8" s="665">
        <f t="shared" si="0"/>
        <v>100</v>
      </c>
      <c r="T8" s="664" t="s">
        <v>14</v>
      </c>
      <c r="U8" s="665">
        <f t="shared" si="1"/>
        <v>100</v>
      </c>
      <c r="V8" s="664" t="s">
        <v>14</v>
      </c>
      <c r="W8" s="665">
        <f t="shared" si="2"/>
        <v>100</v>
      </c>
      <c r="X8" s="666"/>
      <c r="Y8" s="3383" t="s">
        <v>1683</v>
      </c>
      <c r="Z8" s="33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5"/>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70">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6" t="s">
        <v>1691</v>
      </c>
      <c r="Q15" s="1262" t="str">
        <f t="shared" si="6"/>
        <v>产业集聚程度</v>
      </c>
      <c r="R15" s="667" t="s">
        <v>14</v>
      </c>
      <c r="S15" s="668">
        <f t="shared" si="0"/>
        <v>100</v>
      </c>
      <c r="T15" s="667" t="s">
        <v>14</v>
      </c>
      <c r="U15" s="668">
        <f t="shared" si="1"/>
        <v>100</v>
      </c>
      <c r="V15" s="667" t="s">
        <v>14</v>
      </c>
      <c r="W15" s="668">
        <f t="shared" si="2"/>
        <v>100</v>
      </c>
      <c r="X15" s="1264"/>
      <c r="Y15" s="3416" t="s">
        <v>1691</v>
      </c>
      <c r="Z15" s="1263" t="str">
        <f t="shared" si="7"/>
        <v>产业集聚程度</v>
      </c>
      <c r="AA15" s="1263">
        <f t="shared" si="3"/>
        <v>1</v>
      </c>
      <c r="AB15" s="1263">
        <f t="shared" si="4"/>
        <v>1</v>
      </c>
      <c r="AC15" s="1263">
        <f t="shared" si="5"/>
        <v>1</v>
      </c>
    </row>
    <row r="16" spans="1:29" ht="15.5">
      <c r="A16" s="367"/>
      <c r="B16" s="385"/>
      <c r="C16" s="386"/>
      <c r="D16" s="387"/>
      <c r="E16" s="386"/>
      <c r="F16" s="388"/>
      <c r="G16" s="386"/>
      <c r="H16" s="389"/>
      <c r="I16" s="386"/>
      <c r="J16" s="387"/>
      <c r="K16" s="541"/>
      <c r="L16" s="869"/>
      <c r="M16" s="860"/>
      <c r="N16" s="860"/>
      <c r="O16" s="868"/>
      <c r="P16" s="3417"/>
      <c r="Q16" s="1262"/>
      <c r="R16" s="667"/>
      <c r="S16" s="668"/>
      <c r="T16" s="667"/>
      <c r="U16" s="668"/>
      <c r="V16" s="667"/>
      <c r="W16" s="668"/>
      <c r="X16" s="1264"/>
      <c r="Y16" s="3417"/>
      <c r="Z16" s="1263"/>
      <c r="AA16" s="1263">
        <v>1</v>
      </c>
      <c r="AB16" s="1263">
        <v>1</v>
      </c>
      <c r="AC16" s="1263">
        <v>1</v>
      </c>
    </row>
    <row r="17" spans="1:29" ht="98">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7"/>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869"/>
      <c r="M18" s="860"/>
      <c r="N18" s="860"/>
      <c r="O18" s="868"/>
      <c r="P18" s="3417"/>
      <c r="Q18" s="1262"/>
      <c r="R18" s="667"/>
      <c r="S18" s="668"/>
      <c r="T18" s="667"/>
      <c r="U18" s="668"/>
      <c r="V18" s="667"/>
      <c r="W18" s="668"/>
      <c r="X18" s="1264"/>
      <c r="Y18" s="3417"/>
      <c r="Z18" s="1263"/>
      <c r="AA18" s="1263">
        <v>1</v>
      </c>
      <c r="AB18" s="1263">
        <v>1</v>
      </c>
      <c r="AC18" s="1263">
        <v>1</v>
      </c>
    </row>
    <row r="19" spans="1:29" ht="42">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7"/>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869"/>
      <c r="M20" s="860"/>
      <c r="N20" s="860"/>
      <c r="O20" s="868"/>
      <c r="P20" s="3417"/>
      <c r="Q20" s="1262"/>
      <c r="R20" s="667"/>
      <c r="S20" s="668"/>
      <c r="T20" s="667"/>
      <c r="U20" s="668"/>
      <c r="V20" s="667"/>
      <c r="W20" s="668"/>
      <c r="X20" s="1264"/>
      <c r="Y20" s="3417"/>
      <c r="Z20" s="1263"/>
      <c r="AA20" s="1263">
        <v>1</v>
      </c>
      <c r="AB20" s="1263">
        <v>1</v>
      </c>
      <c r="AC20" s="1263">
        <v>1</v>
      </c>
    </row>
    <row r="21" spans="1:29" ht="42">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7"/>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3"/>
      <c r="L22" s="869"/>
      <c r="M22" s="860"/>
      <c r="N22" s="860"/>
      <c r="O22" s="868"/>
      <c r="P22" s="3417"/>
      <c r="Q22" s="1262"/>
      <c r="R22" s="667"/>
      <c r="S22" s="668"/>
      <c r="T22" s="667"/>
      <c r="U22" s="668"/>
      <c r="V22" s="667"/>
      <c r="W22" s="668"/>
      <c r="X22" s="1264"/>
      <c r="Y22" s="3417"/>
      <c r="Z22" s="1263"/>
      <c r="AA22" s="1263">
        <v>1</v>
      </c>
      <c r="AB22" s="1263">
        <v>1</v>
      </c>
      <c r="AC22" s="1263">
        <v>1</v>
      </c>
    </row>
    <row r="23" spans="1:29" ht="84">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7"/>
      <c r="Q23" s="1262" t="str">
        <f>B23</f>
        <v>环境质量</v>
      </c>
      <c r="R23" s="667" t="s">
        <v>14</v>
      </c>
      <c r="S23" s="668">
        <f>F23</f>
        <v>100</v>
      </c>
      <c r="T23" s="667" t="s">
        <v>14</v>
      </c>
      <c r="U23" s="668">
        <f>H23</f>
        <v>100</v>
      </c>
      <c r="V23" s="667" t="s">
        <v>14</v>
      </c>
      <c r="W23" s="668">
        <f>J23</f>
        <v>100</v>
      </c>
      <c r="X23" s="1264"/>
      <c r="Y23" s="3417"/>
      <c r="Z23" s="1263" t="str">
        <f>Q23</f>
        <v>环境质量</v>
      </c>
      <c r="AA23" s="1263">
        <f t="shared" si="3"/>
        <v>1</v>
      </c>
      <c r="AB23" s="1263">
        <f t="shared" si="4"/>
        <v>1</v>
      </c>
      <c r="AC23" s="1263">
        <f t="shared" si="5"/>
        <v>1</v>
      </c>
    </row>
    <row r="24" spans="1:29" ht="15.5">
      <c r="A24" s="367"/>
      <c r="B24" s="586"/>
      <c r="C24" s="386"/>
      <c r="D24" s="387"/>
      <c r="E24" s="1751"/>
      <c r="F24" s="388"/>
      <c r="G24" s="1750"/>
      <c r="H24" s="387"/>
      <c r="I24" s="1751"/>
      <c r="J24" s="387"/>
      <c r="K24" s="541"/>
      <c r="L24" s="869"/>
      <c r="M24" s="860"/>
      <c r="N24" s="860"/>
      <c r="O24" s="868"/>
      <c r="P24" s="3417"/>
      <c r="Q24" s="1262"/>
      <c r="R24" s="667"/>
      <c r="S24" s="668"/>
      <c r="T24" s="667"/>
      <c r="U24" s="668"/>
      <c r="V24" s="667"/>
      <c r="W24" s="668"/>
      <c r="X24" s="1264"/>
      <c r="Y24" s="3417"/>
      <c r="Z24" s="1263"/>
      <c r="AA24" s="1263">
        <v>1</v>
      </c>
      <c r="AB24" s="1263">
        <v>1</v>
      </c>
      <c r="AC24" s="1263">
        <v>1</v>
      </c>
    </row>
    <row r="25" spans="1:29" ht="15.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7"/>
      <c r="Q25" s="1262">
        <f>B25</f>
        <v>111</v>
      </c>
      <c r="R25" s="667" t="s">
        <v>14</v>
      </c>
      <c r="S25" s="668">
        <f>F25</f>
        <v>100</v>
      </c>
      <c r="T25" s="667" t="s">
        <v>14</v>
      </c>
      <c r="U25" s="668">
        <f>H25</f>
        <v>100</v>
      </c>
      <c r="V25" s="667" t="s">
        <v>14</v>
      </c>
      <c r="W25" s="668">
        <f>J25</f>
        <v>100</v>
      </c>
      <c r="X25" s="1264"/>
      <c r="Y25" s="3417"/>
      <c r="Z25" s="1263">
        <f>Q25</f>
        <v>111</v>
      </c>
      <c r="AA25" s="1263">
        <f t="shared" si="3"/>
        <v>1</v>
      </c>
      <c r="AB25" s="1263">
        <f t="shared" si="4"/>
        <v>1</v>
      </c>
      <c r="AC25" s="1263">
        <f t="shared" si="5"/>
        <v>1</v>
      </c>
    </row>
    <row r="26" spans="1:29" ht="15.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7"/>
      <c r="Q26" s="1262">
        <f t="shared" ref="Q26:Q40" si="11">B26</f>
        <v>111</v>
      </c>
      <c r="R26" s="667" t="s">
        <v>14</v>
      </c>
      <c r="S26" s="668">
        <f>F26</f>
        <v>100</v>
      </c>
      <c r="T26" s="667" t="s">
        <v>14</v>
      </c>
      <c r="U26" s="668">
        <f>H26</f>
        <v>100</v>
      </c>
      <c r="V26" s="667" t="s">
        <v>14</v>
      </c>
      <c r="W26" s="668">
        <f>J26</f>
        <v>100</v>
      </c>
      <c r="X26" s="1264"/>
      <c r="Y26" s="3417"/>
      <c r="Z26" s="1263">
        <f>Q26</f>
        <v>111</v>
      </c>
      <c r="AA26" s="1263">
        <f t="shared" si="3"/>
        <v>1</v>
      </c>
      <c r="AB26" s="1263">
        <f t="shared" si="4"/>
        <v>1</v>
      </c>
      <c r="AC26" s="1263">
        <f t="shared" si="5"/>
        <v>1</v>
      </c>
    </row>
    <row r="27" spans="1:29" s="102" customFormat="1" ht="15.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7"/>
      <c r="Q27" s="530">
        <f t="shared" si="11"/>
        <v>111</v>
      </c>
      <c r="R27" s="664" t="s">
        <v>14</v>
      </c>
      <c r="S27" s="665">
        <f>F27</f>
        <v>100</v>
      </c>
      <c r="T27" s="664" t="s">
        <v>14</v>
      </c>
      <c r="U27" s="665">
        <f>H27</f>
        <v>100</v>
      </c>
      <c r="V27" s="664" t="s">
        <v>14</v>
      </c>
      <c r="W27" s="665">
        <f>J27</f>
        <v>100</v>
      </c>
      <c r="X27" s="666"/>
      <c r="Y27" s="3417"/>
      <c r="Z27" s="50">
        <f>Q27</f>
        <v>111</v>
      </c>
      <c r="AA27" s="1263">
        <f>D27/F27</f>
        <v>1</v>
      </c>
      <c r="AB27" s="1263">
        <f>D27/H27</f>
        <v>1</v>
      </c>
      <c r="AC27" s="1263">
        <f>D27/J27</f>
        <v>1</v>
      </c>
    </row>
    <row r="28" spans="1:29" ht="1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7"/>
      <c r="Q28" s="1262">
        <f t="shared" si="11"/>
        <v>111</v>
      </c>
      <c r="R28" s="667" t="s">
        <v>14</v>
      </c>
      <c r="S28" s="668">
        <f t="shared" ref="S28:S40" si="12">F28</f>
        <v>100</v>
      </c>
      <c r="T28" s="667" t="s">
        <v>14</v>
      </c>
      <c r="U28" s="668">
        <f t="shared" ref="U28:U40" si="13">H28</f>
        <v>100</v>
      </c>
      <c r="V28" s="667" t="s">
        <v>14</v>
      </c>
      <c r="W28" s="668">
        <f t="shared" ref="W28:W40" si="14">J28</f>
        <v>100</v>
      </c>
      <c r="X28" s="1264"/>
      <c r="Y28" s="3417"/>
      <c r="Z28" s="1263">
        <f t="shared" ref="Z28:Z40" si="15">Q28</f>
        <v>111</v>
      </c>
      <c r="AA28" s="1263">
        <f t="shared" si="3"/>
        <v>1</v>
      </c>
      <c r="AB28" s="1263">
        <f t="shared" si="4"/>
        <v>1</v>
      </c>
      <c r="AC28" s="1263">
        <f t="shared" si="5"/>
        <v>1</v>
      </c>
    </row>
    <row r="29" spans="1:29" ht="29">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0" t="s">
        <v>1696</v>
      </c>
      <c r="Q29" s="1262" t="str">
        <f t="shared" si="11"/>
        <v>建筑类型</v>
      </c>
      <c r="R29" s="667" t="s">
        <v>14</v>
      </c>
      <c r="S29" s="668">
        <f t="shared" si="12"/>
        <v>100</v>
      </c>
      <c r="T29" s="667" t="s">
        <v>14</v>
      </c>
      <c r="U29" s="668">
        <f t="shared" si="13"/>
        <v>100</v>
      </c>
      <c r="V29" s="667" t="s">
        <v>14</v>
      </c>
      <c r="W29" s="668">
        <f t="shared" si="14"/>
        <v>100</v>
      </c>
      <c r="X29" s="1264"/>
      <c r="Y29" s="3421" t="s">
        <v>1696</v>
      </c>
      <c r="Z29" s="1263" t="str">
        <f t="shared" si="15"/>
        <v>建筑类型</v>
      </c>
      <c r="AA29" s="1263">
        <f t="shared" si="3"/>
        <v>1</v>
      </c>
      <c r="AB29" s="1263">
        <f t="shared" si="4"/>
        <v>1</v>
      </c>
      <c r="AC29" s="1263">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3" t="e">
        <f t="shared" si="3"/>
        <v>#N/A</v>
      </c>
      <c r="AB30" s="1263" t="e">
        <f t="shared" si="4"/>
        <v>#N/A</v>
      </c>
      <c r="AC30" s="1263"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21"/>
      <c r="Q31" s="1262" t="str">
        <f t="shared" si="11"/>
        <v>建筑结构</v>
      </c>
      <c r="R31" s="667" t="s">
        <v>14</v>
      </c>
      <c r="S31" s="668">
        <f t="shared" si="12"/>
        <v>100</v>
      </c>
      <c r="T31" s="667" t="s">
        <v>14</v>
      </c>
      <c r="U31" s="668">
        <f t="shared" si="13"/>
        <v>100</v>
      </c>
      <c r="V31" s="667" t="s">
        <v>14</v>
      </c>
      <c r="W31" s="668">
        <f t="shared" si="14"/>
        <v>100</v>
      </c>
      <c r="X31" s="1264"/>
      <c r="Y31" s="3421"/>
      <c r="Z31" s="1263" t="str">
        <f t="shared" si="15"/>
        <v>建筑结构</v>
      </c>
      <c r="AA31" s="1263">
        <f t="shared" si="3"/>
        <v>1</v>
      </c>
      <c r="AB31" s="1263">
        <f t="shared" si="4"/>
        <v>1</v>
      </c>
      <c r="AC31" s="1263">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21"/>
      <c r="Q32" s="1262" t="str">
        <f t="shared" si="11"/>
        <v>公共部分装修</v>
      </c>
      <c r="R32" s="667" t="s">
        <v>14</v>
      </c>
      <c r="S32" s="668">
        <f t="shared" si="12"/>
        <v>100</v>
      </c>
      <c r="T32" s="667" t="s">
        <v>14</v>
      </c>
      <c r="U32" s="668">
        <f t="shared" si="13"/>
        <v>100</v>
      </c>
      <c r="V32" s="667" t="s">
        <v>14</v>
      </c>
      <c r="W32" s="668">
        <f t="shared" si="14"/>
        <v>100</v>
      </c>
      <c r="X32" s="1264"/>
      <c r="Y32" s="3421"/>
      <c r="Z32" s="1263" t="str">
        <f t="shared" si="15"/>
        <v>公共部分装修</v>
      </c>
      <c r="AA32" s="1263">
        <f t="shared" si="3"/>
        <v>1</v>
      </c>
      <c r="AB32" s="1263">
        <f t="shared" si="4"/>
        <v>1</v>
      </c>
      <c r="AC32" s="1263">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21"/>
      <c r="Q33" s="1262" t="str">
        <f t="shared" si="11"/>
        <v>成新度</v>
      </c>
      <c r="R33" s="667" t="s">
        <v>14</v>
      </c>
      <c r="S33" s="668" t="e">
        <f t="shared" si="12"/>
        <v>#N/A</v>
      </c>
      <c r="T33" s="667" t="s">
        <v>14</v>
      </c>
      <c r="U33" s="668" t="e">
        <f t="shared" si="13"/>
        <v>#N/A</v>
      </c>
      <c r="V33" s="667" t="s">
        <v>14</v>
      </c>
      <c r="W33" s="668" t="e">
        <f t="shared" si="14"/>
        <v>#N/A</v>
      </c>
      <c r="X33" s="1264"/>
      <c r="Y33" s="3421"/>
      <c r="Z33" s="1263" t="str">
        <f t="shared" si="15"/>
        <v>成新度</v>
      </c>
      <c r="AA33" s="1263" t="e">
        <f t="shared" si="3"/>
        <v>#N/A</v>
      </c>
      <c r="AB33" s="1263" t="e">
        <f t="shared" si="4"/>
        <v>#N/A</v>
      </c>
      <c r="AC33" s="1263"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21" t="s">
        <v>1696</v>
      </c>
      <c r="Q35" s="1262" t="str">
        <f t="shared" si="11"/>
        <v>市政基础设施</v>
      </c>
      <c r="R35" s="667" t="s">
        <v>14</v>
      </c>
      <c r="S35" s="668">
        <f t="shared" si="12"/>
        <v>100</v>
      </c>
      <c r="T35" s="667" t="s">
        <v>14</v>
      </c>
      <c r="U35" s="668">
        <f t="shared" si="13"/>
        <v>100</v>
      </c>
      <c r="V35" s="667" t="s">
        <v>14</v>
      </c>
      <c r="W35" s="668">
        <f t="shared" si="14"/>
        <v>100</v>
      </c>
      <c r="X35" s="1264"/>
      <c r="Y35" s="3421" t="s">
        <v>1696</v>
      </c>
      <c r="Z35" s="1263" t="str">
        <f t="shared" si="15"/>
        <v>市政基础设施</v>
      </c>
      <c r="AA35" s="1263">
        <f t="shared" si="3"/>
        <v>1</v>
      </c>
      <c r="AB35" s="1263">
        <f t="shared" si="4"/>
        <v>1</v>
      </c>
      <c r="AC35" s="1263">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21"/>
      <c r="Q36" s="1262" t="str">
        <f t="shared" si="11"/>
        <v>内部装修</v>
      </c>
      <c r="R36" s="667" t="s">
        <v>14</v>
      </c>
      <c r="S36" s="668">
        <f t="shared" si="12"/>
        <v>100</v>
      </c>
      <c r="T36" s="667" t="s">
        <v>14</v>
      </c>
      <c r="U36" s="668">
        <f t="shared" si="13"/>
        <v>100</v>
      </c>
      <c r="V36" s="667" t="s">
        <v>14</v>
      </c>
      <c r="W36" s="668">
        <f t="shared" si="14"/>
        <v>100</v>
      </c>
      <c r="X36" s="1264"/>
      <c r="Y36" s="3421"/>
      <c r="Z36" s="1263" t="str">
        <f t="shared" si="15"/>
        <v>内部装修</v>
      </c>
      <c r="AA36" s="1263">
        <f t="shared" si="3"/>
        <v>1</v>
      </c>
      <c r="AB36" s="1263">
        <f t="shared" si="4"/>
        <v>1</v>
      </c>
      <c r="AC36" s="1263">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21"/>
      <c r="Q37" s="1262" t="str">
        <f t="shared" si="11"/>
        <v>内部装修状况</v>
      </c>
      <c r="R37" s="667" t="s">
        <v>14</v>
      </c>
      <c r="S37" s="668">
        <f t="shared" si="12"/>
        <v>100</v>
      </c>
      <c r="T37" s="667" t="s">
        <v>14</v>
      </c>
      <c r="U37" s="668">
        <f t="shared" si="13"/>
        <v>100</v>
      </c>
      <c r="V37" s="667" t="s">
        <v>14</v>
      </c>
      <c r="W37" s="668">
        <f t="shared" si="14"/>
        <v>100</v>
      </c>
      <c r="X37" s="1264"/>
      <c r="Y37" s="3421"/>
      <c r="Z37" s="1263" t="str">
        <f t="shared" si="15"/>
        <v>内部装修状况</v>
      </c>
      <c r="AA37" s="1263">
        <f t="shared" si="3"/>
        <v>1</v>
      </c>
      <c r="AB37" s="1263">
        <f t="shared" si="4"/>
        <v>1</v>
      </c>
      <c r="AC37" s="1263">
        <f t="shared" si="5"/>
        <v>1</v>
      </c>
    </row>
    <row r="38" spans="1:29" s="408" customFormat="1" ht="15.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3">
        <f t="shared" si="3"/>
        <v>1</v>
      </c>
      <c r="AB38" s="1263">
        <f t="shared" si="4"/>
        <v>1</v>
      </c>
      <c r="AC38" s="1263">
        <f t="shared" si="5"/>
        <v>1</v>
      </c>
    </row>
    <row r="39" spans="1:29" ht="15.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21"/>
      <c r="Q39" s="1262">
        <f t="shared" si="11"/>
        <v>111</v>
      </c>
      <c r="R39" s="667" t="s">
        <v>14</v>
      </c>
      <c r="S39" s="668">
        <f t="shared" si="12"/>
        <v>100</v>
      </c>
      <c r="T39" s="667" t="s">
        <v>14</v>
      </c>
      <c r="U39" s="668">
        <f t="shared" si="13"/>
        <v>100</v>
      </c>
      <c r="V39" s="667" t="s">
        <v>14</v>
      </c>
      <c r="W39" s="668">
        <f t="shared" si="14"/>
        <v>100</v>
      </c>
      <c r="X39" s="1264"/>
      <c r="Y39" s="3421"/>
      <c r="Z39" s="1263">
        <f t="shared" si="15"/>
        <v>111</v>
      </c>
      <c r="AA39" s="1263">
        <f t="shared" si="3"/>
        <v>1</v>
      </c>
      <c r="AB39" s="1263">
        <f t="shared" si="4"/>
        <v>1</v>
      </c>
      <c r="AC39" s="1263">
        <f t="shared" si="5"/>
        <v>1</v>
      </c>
    </row>
    <row r="40" spans="1:29" ht="1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22"/>
      <c r="Q40" s="1262">
        <f t="shared" si="11"/>
        <v>111</v>
      </c>
      <c r="R40" s="667" t="s">
        <v>14</v>
      </c>
      <c r="S40" s="668">
        <f t="shared" si="12"/>
        <v>100</v>
      </c>
      <c r="T40" s="667" t="s">
        <v>14</v>
      </c>
      <c r="U40" s="668">
        <f t="shared" si="13"/>
        <v>100</v>
      </c>
      <c r="V40" s="667" t="s">
        <v>14</v>
      </c>
      <c r="W40" s="668">
        <f t="shared" si="14"/>
        <v>100</v>
      </c>
      <c r="X40" s="1264"/>
      <c r="Y40" s="3422"/>
      <c r="Z40" s="1263">
        <f t="shared" si="15"/>
        <v>111</v>
      </c>
      <c r="AA40" s="1263">
        <f t="shared" si="3"/>
        <v>1</v>
      </c>
      <c r="AB40" s="1263">
        <f t="shared" si="4"/>
        <v>1</v>
      </c>
      <c r="AC40" s="1263">
        <f t="shared" si="5"/>
        <v>1</v>
      </c>
    </row>
    <row r="41" spans="1:29">
      <c r="A41" s="416" t="s">
        <v>1708</v>
      </c>
      <c r="B41" s="417"/>
      <c r="C41" s="1080" t="s">
        <v>0</v>
      </c>
      <c r="D41" s="418"/>
      <c r="E41" s="419"/>
      <c r="F41" s="420"/>
      <c r="G41" s="421"/>
      <c r="H41" s="422"/>
      <c r="I41" s="419"/>
      <c r="J41" s="422"/>
      <c r="K41" s="674"/>
      <c r="L41" s="872"/>
      <c r="M41" s="860"/>
      <c r="N41" s="860"/>
      <c r="O41" s="860"/>
      <c r="P41" s="3415" t="str">
        <f>A41</f>
        <v>成交单价（元/平方米）</v>
      </c>
      <c r="Q41" s="3415"/>
      <c r="R41" s="3410">
        <f>E41</f>
        <v>0</v>
      </c>
      <c r="S41" s="3410"/>
      <c r="T41" s="3410">
        <f>G41</f>
        <v>0</v>
      </c>
      <c r="U41" s="3410"/>
      <c r="V41" s="3410">
        <f>I41</f>
        <v>0</v>
      </c>
      <c r="W41" s="3410"/>
      <c r="X41" s="385"/>
      <c r="Y41" s="673"/>
      <c r="Z41" s="385"/>
      <c r="AA41" s="385"/>
      <c r="AB41" s="385"/>
      <c r="AC41" s="385"/>
    </row>
    <row r="42" spans="1:29" ht="14.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15" t="str">
        <f>A42</f>
        <v>比较价值（元/平方米）</v>
      </c>
      <c r="Q42" s="3415"/>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2"/>
      <c r="M43" s="860"/>
      <c r="N43" s="860"/>
      <c r="O43" s="860"/>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5" thickBot="1">
      <c r="A51" s="658" t="s">
        <v>1798</v>
      </c>
      <c r="B51" s="385"/>
      <c r="C51" s="659"/>
      <c r="D51" s="659"/>
      <c r="E51" s="659"/>
      <c r="F51" s="660"/>
      <c r="G51" s="660"/>
      <c r="H51" s="659"/>
      <c r="I51" s="659"/>
      <c r="J51" s="659"/>
      <c r="K51" s="886"/>
      <c r="L51" s="887"/>
      <c r="M51" s="885"/>
      <c r="N51" s="885"/>
      <c r="O51" s="885"/>
      <c r="P51" s="438"/>
      <c r="Q51" s="439"/>
    </row>
    <row r="52" spans="1:17" s="442" customFormat="1">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7"/>
      <c r="O55" s="877"/>
      <c r="P55" s="459"/>
      <c r="Q55" s="439"/>
    </row>
    <row r="56" spans="1:17" s="102" customFormat="1" ht="14.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4.5" thickBot="1">
      <c r="A58" s="367"/>
      <c r="B58" s="466"/>
      <c r="C58" s="467">
        <v>100</v>
      </c>
      <c r="D58" s="467"/>
      <c r="E58" s="467"/>
      <c r="F58" s="467"/>
      <c r="G58" s="467"/>
      <c r="H58" s="467"/>
      <c r="I58" s="467"/>
      <c r="J58" s="467"/>
      <c r="K58" s="467"/>
      <c r="L58" s="467"/>
      <c r="M58" s="468"/>
      <c r="N58" s="879"/>
      <c r="O58" s="879"/>
      <c r="P58" s="40"/>
      <c r="Q58" s="439"/>
    </row>
    <row r="59" spans="1:17" ht="28.5" thickTop="1">
      <c r="A59" s="367"/>
      <c r="B59" s="469" t="s">
        <v>1688</v>
      </c>
      <c r="C59" s="513"/>
      <c r="D59" s="513"/>
      <c r="E59" s="513"/>
      <c r="F59" s="513"/>
      <c r="G59" s="513"/>
      <c r="H59" s="513"/>
      <c r="I59" s="513"/>
      <c r="J59" s="513"/>
      <c r="K59" s="514"/>
      <c r="L59" s="515"/>
      <c r="M59" s="516"/>
      <c r="N59" s="878"/>
      <c r="O59" s="878"/>
      <c r="P59" s="40"/>
      <c r="Q59" s="439"/>
    </row>
    <row r="60" spans="1:17" ht="14.5" thickBot="1">
      <c r="A60" s="367"/>
      <c r="B60" s="474"/>
      <c r="C60" s="467"/>
      <c r="D60" s="467"/>
      <c r="E60" s="467"/>
      <c r="F60" s="467"/>
      <c r="G60" s="467"/>
      <c r="H60" s="467"/>
      <c r="I60" s="467"/>
      <c r="J60" s="467"/>
      <c r="K60" s="467"/>
      <c r="L60" s="467"/>
      <c r="M60" s="468"/>
      <c r="N60" s="879"/>
      <c r="O60" s="879"/>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5" thickTop="1">
      <c r="A64" s="484"/>
      <c r="B64" s="469">
        <f>B12</f>
        <v>111</v>
      </c>
      <c r="C64" s="485"/>
      <c r="D64" s="485"/>
      <c r="E64" s="485"/>
      <c r="F64" s="485"/>
      <c r="G64" s="485"/>
      <c r="H64" s="486"/>
      <c r="I64" s="486"/>
      <c r="J64" s="486"/>
      <c r="K64" s="486"/>
      <c r="L64" s="487"/>
      <c r="M64" s="488"/>
      <c r="N64" s="880"/>
      <c r="O64" s="880"/>
      <c r="P64" s="489"/>
      <c r="Q64" s="490"/>
    </row>
    <row r="65" spans="1:17" s="408" customFormat="1" ht="14.5" thickBot="1">
      <c r="A65" s="484"/>
      <c r="B65" s="474"/>
      <c r="C65" s="491"/>
      <c r="D65" s="467"/>
      <c r="E65" s="467"/>
      <c r="F65" s="467"/>
      <c r="G65" s="467"/>
      <c r="H65" s="467"/>
      <c r="I65" s="467"/>
      <c r="J65" s="467"/>
      <c r="K65" s="467"/>
      <c r="L65" s="467"/>
      <c r="M65" s="468"/>
      <c r="N65" s="879"/>
      <c r="O65" s="879"/>
      <c r="P65" s="489"/>
      <c r="Q65" s="490"/>
    </row>
    <row r="66" spans="1:17" s="408" customFormat="1" ht="14.5" thickTop="1">
      <c r="A66" s="484"/>
      <c r="B66" s="469">
        <f>B13</f>
        <v>111</v>
      </c>
      <c r="C66" s="485"/>
      <c r="D66" s="485"/>
      <c r="E66" s="485"/>
      <c r="F66" s="485"/>
      <c r="G66" s="485"/>
      <c r="H66" s="486"/>
      <c r="I66" s="486"/>
      <c r="J66" s="486"/>
      <c r="K66" s="486"/>
      <c r="L66" s="487"/>
      <c r="M66" s="488"/>
      <c r="N66" s="880"/>
      <c r="O66" s="880"/>
      <c r="Q66" s="492"/>
    </row>
    <row r="67" spans="1:17" s="408" customFormat="1" ht="14.5" thickBot="1">
      <c r="A67" s="484"/>
      <c r="B67" s="474"/>
      <c r="C67" s="491"/>
      <c r="D67" s="467"/>
      <c r="E67" s="467"/>
      <c r="F67" s="467"/>
      <c r="G67" s="491"/>
      <c r="H67" s="493"/>
      <c r="I67" s="493"/>
      <c r="J67" s="493"/>
      <c r="K67" s="493"/>
      <c r="L67" s="493"/>
      <c r="M67" s="494"/>
      <c r="N67" s="880"/>
      <c r="O67" s="880"/>
      <c r="P67" s="489"/>
      <c r="Q67" s="490"/>
    </row>
    <row r="68" spans="1:17" s="408" customFormat="1" ht="14.5" thickTop="1">
      <c r="A68" s="484"/>
      <c r="B68" s="477">
        <f>B14</f>
        <v>111</v>
      </c>
      <c r="C68" s="31"/>
      <c r="D68" s="31"/>
      <c r="E68" s="31"/>
      <c r="F68" s="31"/>
      <c r="G68" s="31"/>
      <c r="H68" s="495"/>
      <c r="I68" s="495"/>
      <c r="J68" s="495"/>
      <c r="K68" s="495"/>
      <c r="L68" s="496"/>
      <c r="M68" s="497"/>
      <c r="N68" s="880"/>
      <c r="O68" s="880"/>
      <c r="P68" s="498"/>
      <c r="Q68" s="490"/>
    </row>
    <row r="69" spans="1:17" s="408" customFormat="1" ht="14.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5" thickTop="1">
      <c r="A80" s="370"/>
      <c r="B80" s="469">
        <f>B25</f>
        <v>111</v>
      </c>
      <c r="C80" s="485"/>
      <c r="D80" s="485"/>
      <c r="E80" s="485"/>
      <c r="F80" s="485"/>
      <c r="G80" s="485"/>
      <c r="H80" s="485"/>
      <c r="I80" s="485"/>
      <c r="J80" s="485"/>
      <c r="K80" s="485"/>
      <c r="L80" s="510"/>
      <c r="M80" s="511"/>
      <c r="N80" s="877"/>
      <c r="O80" s="877"/>
      <c r="P80" s="40"/>
      <c r="Q80" s="439"/>
    </row>
    <row r="81" spans="1:17" s="102" customFormat="1" ht="14.5" thickBot="1">
      <c r="A81" s="370"/>
      <c r="B81" s="474"/>
      <c r="C81" s="491"/>
      <c r="D81" s="467"/>
      <c r="E81" s="467"/>
      <c r="F81" s="467"/>
      <c r="G81" s="467"/>
      <c r="H81" s="467"/>
      <c r="I81" s="467"/>
      <c r="J81" s="467"/>
      <c r="K81" s="467"/>
      <c r="L81" s="467"/>
      <c r="M81" s="468"/>
      <c r="N81" s="879"/>
      <c r="O81" s="879"/>
      <c r="P81" s="40"/>
      <c r="Q81" s="439"/>
    </row>
    <row r="82" spans="1:17" s="102" customFormat="1" ht="14.5" thickTop="1">
      <c r="A82" s="370"/>
      <c r="B82" s="469">
        <f>B26</f>
        <v>111</v>
      </c>
      <c r="C82" s="485"/>
      <c r="D82" s="485"/>
      <c r="E82" s="485"/>
      <c r="F82" s="485"/>
      <c r="G82" s="485"/>
      <c r="H82" s="485"/>
      <c r="I82" s="485"/>
      <c r="J82" s="485"/>
      <c r="K82" s="485"/>
      <c r="L82" s="510"/>
      <c r="M82" s="511"/>
      <c r="N82" s="877"/>
      <c r="O82" s="877"/>
      <c r="P82" s="40"/>
      <c r="Q82" s="439"/>
    </row>
    <row r="83" spans="1:17" s="102" customFormat="1" ht="14.5" thickBot="1">
      <c r="A83" s="370"/>
      <c r="B83" s="474"/>
      <c r="C83" s="491"/>
      <c r="D83" s="467"/>
      <c r="E83" s="467"/>
      <c r="F83" s="467"/>
      <c r="G83" s="467"/>
      <c r="H83" s="467"/>
      <c r="I83" s="467"/>
      <c r="J83" s="467"/>
      <c r="K83" s="467"/>
      <c r="L83" s="467"/>
      <c r="M83" s="468"/>
      <c r="N83" s="879"/>
      <c r="O83" s="879"/>
      <c r="P83" s="40"/>
      <c r="Q83" s="439"/>
    </row>
    <row r="84" spans="1:17" s="408" customFormat="1" ht="14.5" thickTop="1">
      <c r="A84" s="484"/>
      <c r="B84" s="469">
        <f>B27</f>
        <v>111</v>
      </c>
      <c r="C84" s="485"/>
      <c r="D84" s="485"/>
      <c r="E84" s="485"/>
      <c r="F84" s="485"/>
      <c r="G84" s="485"/>
      <c r="H84" s="485"/>
      <c r="I84" s="485"/>
      <c r="J84" s="485"/>
      <c r="K84" s="485"/>
      <c r="L84" s="510"/>
      <c r="M84" s="511"/>
      <c r="N84" s="880"/>
      <c r="O84" s="880"/>
      <c r="P84" s="489"/>
      <c r="Q84" s="490"/>
    </row>
    <row r="85" spans="1:17" s="408" customFormat="1" ht="14.5" thickBot="1">
      <c r="A85" s="484"/>
      <c r="B85" s="474"/>
      <c r="C85" s="491"/>
      <c r="D85" s="467"/>
      <c r="E85" s="467"/>
      <c r="F85" s="467"/>
      <c r="G85" s="467"/>
      <c r="H85" s="467"/>
      <c r="I85" s="467"/>
      <c r="J85" s="467"/>
      <c r="K85" s="467"/>
      <c r="L85" s="467"/>
      <c r="M85" s="468"/>
      <c r="N85" s="880"/>
      <c r="O85" s="880"/>
      <c r="P85" s="489"/>
      <c r="Q85" s="490"/>
    </row>
    <row r="86" spans="1:17" ht="14.5" thickTop="1">
      <c r="A86" s="367"/>
      <c r="B86" s="477">
        <f>B28</f>
        <v>111</v>
      </c>
      <c r="C86" s="31"/>
      <c r="D86" s="31"/>
      <c r="E86" s="31"/>
      <c r="F86" s="31"/>
      <c r="G86" s="517"/>
      <c r="H86" s="517"/>
      <c r="I86" s="517"/>
      <c r="J86" s="517"/>
      <c r="K86" s="518"/>
      <c r="L86" s="519"/>
      <c r="M86" s="520"/>
      <c r="N86" s="878"/>
      <c r="O86" s="878"/>
      <c r="P86" s="40"/>
      <c r="Q86" s="439"/>
    </row>
    <row r="87" spans="1:17" ht="14.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5" thickBot="1">
      <c r="A92" s="484"/>
      <c r="B92" s="474"/>
      <c r="C92" s="491"/>
      <c r="D92" s="467"/>
      <c r="E92" s="467"/>
      <c r="F92" s="467"/>
      <c r="G92" s="467"/>
      <c r="H92" s="467"/>
      <c r="I92" s="467"/>
      <c r="J92" s="467"/>
      <c r="K92" s="467"/>
      <c r="L92" s="467"/>
      <c r="M92" s="468"/>
      <c r="N92" s="879"/>
      <c r="O92" s="879"/>
      <c r="P92" s="489"/>
      <c r="Q92" s="490"/>
    </row>
    <row r="93" spans="1:17" ht="14.5" thickTop="1">
      <c r="A93" s="409"/>
      <c r="B93" s="469" t="s">
        <v>1738</v>
      </c>
      <c r="C93" s="485"/>
      <c r="D93" s="485"/>
      <c r="E93" s="513"/>
      <c r="F93" s="513"/>
      <c r="G93" s="513"/>
      <c r="H93" s="513"/>
      <c r="I93" s="513"/>
      <c r="J93" s="513"/>
      <c r="K93" s="514"/>
      <c r="L93" s="515"/>
      <c r="M93" s="516"/>
      <c r="N93" s="878"/>
      <c r="O93" s="878"/>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4.5" thickTop="1">
      <c r="A95" s="409"/>
      <c r="B95" s="469" t="s">
        <v>1740</v>
      </c>
      <c r="C95" s="485"/>
      <c r="D95" s="485"/>
      <c r="E95" s="485"/>
      <c r="F95" s="513"/>
      <c r="G95" s="513"/>
      <c r="H95" s="513"/>
      <c r="I95" s="513"/>
      <c r="J95" s="513"/>
      <c r="K95" s="514"/>
      <c r="L95" s="515"/>
      <c r="M95" s="516"/>
      <c r="N95" s="878"/>
      <c r="O95" s="878"/>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4.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4.5" thickTop="1">
      <c r="A102" s="409"/>
      <c r="B102" s="469" t="s">
        <v>1742</v>
      </c>
      <c r="C102" s="485"/>
      <c r="D102" s="485"/>
      <c r="E102" s="485"/>
      <c r="F102" s="485"/>
      <c r="G102" s="485"/>
      <c r="H102" s="513"/>
      <c r="I102" s="513"/>
      <c r="J102" s="513"/>
      <c r="K102" s="514"/>
      <c r="L102" s="515"/>
      <c r="M102" s="516"/>
      <c r="N102" s="878"/>
      <c r="O102" s="878"/>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4.5" thickTop="1">
      <c r="A104" s="409"/>
      <c r="B104" s="469" t="s">
        <v>1744</v>
      </c>
      <c r="C104" s="485"/>
      <c r="D104" s="485"/>
      <c r="E104" s="485"/>
      <c r="F104" s="485"/>
      <c r="G104" s="485"/>
      <c r="H104" s="513"/>
      <c r="I104" s="513"/>
      <c r="J104" s="513"/>
      <c r="K104" s="514"/>
      <c r="L104" s="515"/>
      <c r="M104" s="516"/>
      <c r="N104" s="878"/>
      <c r="O104" s="878"/>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5" thickBot="1">
      <c r="A109" s="484"/>
      <c r="B109" s="466"/>
      <c r="C109" s="491"/>
      <c r="D109" s="467"/>
      <c r="E109" s="467"/>
      <c r="F109" s="467"/>
      <c r="G109" s="491"/>
      <c r="H109" s="493"/>
      <c r="I109" s="493"/>
      <c r="J109" s="493"/>
      <c r="K109" s="493"/>
      <c r="L109" s="493"/>
      <c r="M109" s="494"/>
      <c r="N109" s="880"/>
      <c r="O109" s="880"/>
      <c r="P109" s="489"/>
      <c r="Q109" s="490"/>
    </row>
    <row r="110" spans="1:17" ht="14.5" thickTop="1">
      <c r="A110" s="409"/>
      <c r="B110" s="469">
        <f>B39</f>
        <v>111</v>
      </c>
      <c r="C110" s="485"/>
      <c r="D110" s="485"/>
      <c r="E110" s="485"/>
      <c r="F110" s="485"/>
      <c r="G110" s="485"/>
      <c r="H110" s="486"/>
      <c r="I110" s="486"/>
      <c r="J110" s="486"/>
      <c r="K110" s="486"/>
      <c r="L110" s="487"/>
      <c r="M110" s="488"/>
      <c r="N110" s="878"/>
      <c r="O110" s="878"/>
      <c r="P110" s="40"/>
      <c r="Q110" s="439"/>
    </row>
    <row r="111" spans="1:17" ht="14.5" thickBot="1">
      <c r="A111" s="367"/>
      <c r="B111" s="474"/>
      <c r="C111" s="491"/>
      <c r="D111" s="467"/>
      <c r="E111" s="467"/>
      <c r="F111" s="467"/>
      <c r="G111" s="491"/>
      <c r="H111" s="493"/>
      <c r="I111" s="493"/>
      <c r="J111" s="493"/>
      <c r="K111" s="493"/>
      <c r="L111" s="493"/>
      <c r="M111" s="494"/>
      <c r="N111" s="879"/>
      <c r="O111" s="879"/>
      <c r="P111" s="40"/>
      <c r="Q111" s="439"/>
    </row>
    <row r="112" spans="1:17" ht="14.5" thickTop="1">
      <c r="A112" s="409"/>
      <c r="B112" s="477">
        <f>B40</f>
        <v>111</v>
      </c>
      <c r="C112" s="31"/>
      <c r="D112" s="31"/>
      <c r="E112" s="31"/>
      <c r="F112" s="31"/>
      <c r="G112" s="517"/>
      <c r="H112" s="517"/>
      <c r="I112" s="517"/>
      <c r="J112" s="517"/>
      <c r="K112" s="31"/>
      <c r="L112" s="457"/>
      <c r="M112" s="520"/>
      <c r="N112" s="878"/>
      <c r="O112" s="878"/>
      <c r="P112" s="40"/>
      <c r="Q112" s="439"/>
    </row>
    <row r="113" spans="1:17" ht="14.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F7:F40 H7:H40 J7:J40">
    <cfRule type="cellIs" dxfId="96" priority="1" operator="notEqual">
      <formula>100</formula>
    </cfRule>
  </conditionalFormatting>
  <conditionalFormatting sqref="F42">
    <cfRule type="expression" dxfId="95" priority="4">
      <formula>$D$42="简单平均"</formula>
    </cfRule>
  </conditionalFormatting>
  <conditionalFormatting sqref="F46:F48 H46:H48">
    <cfRule type="containsText" dxfId="94" priority="17" stopIfTrue="1" operator="containsText" text="超过">
      <formula>NOT(ISERROR(SEARCH("超过",F46)))</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G48">
    <cfRule type="expression" dxfId="91" priority="13" stopIfTrue="1">
      <formula>$H$48="超过30%"</formula>
    </cfRule>
  </conditionalFormatting>
  <conditionalFormatting sqref="H42">
    <cfRule type="expression" dxfId="90" priority="3">
      <formula>$D$42="简单平均"</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J42">
    <cfRule type="expression" dxfId="86" priority="2">
      <formula>$D$42="简单平均"</formula>
    </cfRule>
  </conditionalFormatting>
  <conditionalFormatting sqref="J46:J48">
    <cfRule type="containsText" dxfId="8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2"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3331</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4"/>
      <c r="M5" s="2485"/>
      <c r="N5" s="2485"/>
      <c r="O5" s="2485"/>
      <c r="P5" s="3404"/>
      <c r="Q5" s="3405"/>
      <c r="R5" s="3387"/>
      <c r="S5" s="3388"/>
      <c r="T5" s="3387"/>
      <c r="U5" s="3388"/>
      <c r="V5" s="3410"/>
      <c r="W5" s="3410"/>
      <c r="X5" s="1264"/>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4.5" thickBot="1">
      <c r="A7" s="352" t="s">
        <v>1679</v>
      </c>
      <c r="B7" s="353"/>
      <c r="C7" s="354">
        <f>'数据-取费表'!B2</f>
        <v>45974</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3" t="s">
        <v>1683</v>
      </c>
      <c r="Q8" s="3384"/>
      <c r="R8" s="664" t="s">
        <v>14</v>
      </c>
      <c r="S8" s="665">
        <f t="shared" si="0"/>
        <v>100</v>
      </c>
      <c r="T8" s="664" t="s">
        <v>14</v>
      </c>
      <c r="U8" s="665">
        <f t="shared" si="1"/>
        <v>100</v>
      </c>
      <c r="V8" s="664" t="s">
        <v>14</v>
      </c>
      <c r="W8" s="665">
        <f t="shared" si="2"/>
        <v>100</v>
      </c>
      <c r="X8" s="666"/>
      <c r="Y8" s="3383" t="s">
        <v>1683</v>
      </c>
      <c r="Z8" s="33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8">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6" t="s">
        <v>1691</v>
      </c>
      <c r="Q14" s="1262" t="str">
        <f t="shared" si="6"/>
        <v>交通便捷度</v>
      </c>
      <c r="R14" s="667" t="s">
        <v>14</v>
      </c>
      <c r="S14" s="668">
        <f t="shared" si="0"/>
        <v>100</v>
      </c>
      <c r="T14" s="667" t="s">
        <v>14</v>
      </c>
      <c r="U14" s="668">
        <f t="shared" si="1"/>
        <v>100</v>
      </c>
      <c r="V14" s="667" t="s">
        <v>14</v>
      </c>
      <c r="W14" s="668">
        <f t="shared" si="2"/>
        <v>100</v>
      </c>
      <c r="X14" s="1264"/>
      <c r="Y14" s="3416" t="s">
        <v>1691</v>
      </c>
      <c r="Z14" s="1263" t="str">
        <f t="shared" si="7"/>
        <v>交通便捷度</v>
      </c>
      <c r="AA14" s="1263">
        <f t="shared" si="3"/>
        <v>1</v>
      </c>
      <c r="AB14" s="1263">
        <f t="shared" si="4"/>
        <v>1</v>
      </c>
      <c r="AC14" s="1263">
        <f t="shared" si="5"/>
        <v>1</v>
      </c>
    </row>
    <row r="15" spans="1:29" ht="15.5">
      <c r="A15" s="348"/>
      <c r="B15" s="571"/>
      <c r="C15" s="386"/>
      <c r="D15" s="387"/>
      <c r="E15" s="386"/>
      <c r="F15" s="388"/>
      <c r="G15" s="386"/>
      <c r="H15" s="389"/>
      <c r="I15" s="386"/>
      <c r="J15" s="387"/>
      <c r="K15" s="541"/>
      <c r="L15" s="2490"/>
      <c r="M15" s="2485"/>
      <c r="N15" s="2485"/>
      <c r="O15" s="2485"/>
      <c r="P15" s="3417"/>
      <c r="Q15" s="1262"/>
      <c r="R15" s="667"/>
      <c r="S15" s="668"/>
      <c r="T15" s="667"/>
      <c r="U15" s="668"/>
      <c r="V15" s="667"/>
      <c r="W15" s="668"/>
      <c r="X15" s="1264"/>
      <c r="Y15" s="3417"/>
      <c r="Z15" s="1263"/>
      <c r="AA15" s="1263">
        <v>1</v>
      </c>
      <c r="AB15" s="1263">
        <v>1</v>
      </c>
      <c r="AC15" s="1263">
        <v>1</v>
      </c>
    </row>
    <row r="16" spans="1:29" ht="42">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7"/>
      <c r="Q16" s="1262" t="str">
        <f>B16</f>
        <v>公共配套设施</v>
      </c>
      <c r="R16" s="667" t="s">
        <v>14</v>
      </c>
      <c r="S16" s="668">
        <f>F16</f>
        <v>100</v>
      </c>
      <c r="T16" s="667" t="s">
        <v>14</v>
      </c>
      <c r="U16" s="668">
        <f>H16</f>
        <v>100</v>
      </c>
      <c r="V16" s="667" t="s">
        <v>14</v>
      </c>
      <c r="W16" s="668">
        <f>J16</f>
        <v>100</v>
      </c>
      <c r="X16" s="1264"/>
      <c r="Y16" s="3417"/>
      <c r="Z16" s="1263" t="str">
        <f>Q16</f>
        <v>公共配套设施</v>
      </c>
      <c r="AA16" s="1263">
        <f t="shared" si="3"/>
        <v>1</v>
      </c>
      <c r="AB16" s="1263">
        <f t="shared" si="4"/>
        <v>1</v>
      </c>
      <c r="AC16" s="1263">
        <f t="shared" si="5"/>
        <v>1</v>
      </c>
    </row>
    <row r="17" spans="1:29" ht="15.5">
      <c r="A17" s="348"/>
      <c r="B17" s="401"/>
      <c r="C17" s="1754"/>
      <c r="D17" s="387"/>
      <c r="E17" s="386"/>
      <c r="F17" s="388"/>
      <c r="G17" s="386"/>
      <c r="H17" s="387"/>
      <c r="I17" s="386"/>
      <c r="J17" s="387"/>
      <c r="K17" s="541"/>
      <c r="L17" s="2490"/>
      <c r="M17" s="2485"/>
      <c r="N17" s="2485"/>
      <c r="O17" s="2485"/>
      <c r="P17" s="3417"/>
      <c r="Q17" s="1262"/>
      <c r="R17" s="667"/>
      <c r="S17" s="668"/>
      <c r="T17" s="667"/>
      <c r="U17" s="668"/>
      <c r="V17" s="667"/>
      <c r="W17" s="668"/>
      <c r="X17" s="1264"/>
      <c r="Y17" s="3417"/>
      <c r="Z17" s="1263"/>
      <c r="AA17" s="1263">
        <v>1</v>
      </c>
      <c r="AB17" s="1263">
        <v>1</v>
      </c>
      <c r="AC17" s="1263">
        <v>1</v>
      </c>
    </row>
    <row r="18" spans="1:29" ht="42">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7"/>
      <c r="Q18" s="1262" t="str">
        <f>B18</f>
        <v>基础设施水平</v>
      </c>
      <c r="R18" s="667" t="s">
        <v>14</v>
      </c>
      <c r="S18" s="668">
        <f>F18</f>
        <v>100</v>
      </c>
      <c r="T18" s="667" t="s">
        <v>14</v>
      </c>
      <c r="U18" s="668">
        <f>H18</f>
        <v>100</v>
      </c>
      <c r="V18" s="667" t="s">
        <v>14</v>
      </c>
      <c r="W18" s="668">
        <f>J18</f>
        <v>100</v>
      </c>
      <c r="X18" s="1264"/>
      <c r="Y18" s="3417"/>
      <c r="Z18" s="1263" t="str">
        <f>Q18</f>
        <v>基础设施水平</v>
      </c>
      <c r="AA18" s="1263">
        <f t="shared" ref="AA18" si="8">D18/F18</f>
        <v>1</v>
      </c>
      <c r="AB18" s="1263">
        <f t="shared" ref="AB18" si="9">D18/H18</f>
        <v>1</v>
      </c>
      <c r="AC18" s="1263">
        <f t="shared" ref="AC18" si="10">D18/J18</f>
        <v>1</v>
      </c>
    </row>
    <row r="19" spans="1:29" ht="15.5">
      <c r="A19" s="348"/>
      <c r="B19" s="557"/>
      <c r="C19" s="1754"/>
      <c r="D19" s="389"/>
      <c r="E19" s="1754"/>
      <c r="F19" s="392"/>
      <c r="G19" s="1754"/>
      <c r="H19" s="387"/>
      <c r="I19" s="386"/>
      <c r="J19" s="387"/>
      <c r="K19" s="1063"/>
      <c r="L19" s="2490"/>
      <c r="M19" s="2485"/>
      <c r="N19" s="2485"/>
      <c r="O19" s="2485"/>
      <c r="P19" s="3417"/>
      <c r="Q19" s="1262"/>
      <c r="R19" s="667"/>
      <c r="S19" s="668"/>
      <c r="T19" s="667"/>
      <c r="U19" s="668"/>
      <c r="V19" s="667"/>
      <c r="W19" s="668"/>
      <c r="X19" s="1264"/>
      <c r="Y19" s="3417"/>
      <c r="Z19" s="1263"/>
      <c r="AA19" s="1263">
        <v>1</v>
      </c>
      <c r="AB19" s="1263">
        <v>1</v>
      </c>
      <c r="AC19" s="1263">
        <v>1</v>
      </c>
    </row>
    <row r="20" spans="1:29" ht="56">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7"/>
      <c r="Q20" s="1262" t="str">
        <f>B20</f>
        <v>自然及人文环境</v>
      </c>
      <c r="R20" s="667" t="s">
        <v>14</v>
      </c>
      <c r="S20" s="668">
        <f>F20</f>
        <v>100</v>
      </c>
      <c r="T20" s="667" t="s">
        <v>14</v>
      </c>
      <c r="U20" s="668">
        <f>H20</f>
        <v>100</v>
      </c>
      <c r="V20" s="667" t="s">
        <v>14</v>
      </c>
      <c r="W20" s="668">
        <f>J20</f>
        <v>100</v>
      </c>
      <c r="X20" s="1264"/>
      <c r="Y20" s="3417"/>
      <c r="Z20" s="1263" t="str">
        <f>Q20</f>
        <v>自然及人文环境</v>
      </c>
      <c r="AA20" s="1263">
        <f t="shared" si="3"/>
        <v>1</v>
      </c>
      <c r="AB20" s="1263">
        <f t="shared" si="4"/>
        <v>1</v>
      </c>
      <c r="AC20" s="1263">
        <f t="shared" si="5"/>
        <v>1</v>
      </c>
    </row>
    <row r="21" spans="1:29" ht="15.5">
      <c r="A21" s="348"/>
      <c r="B21" s="401"/>
      <c r="C21" s="386"/>
      <c r="D21" s="387"/>
      <c r="E21" s="386"/>
      <c r="F21" s="388"/>
      <c r="G21" s="386"/>
      <c r="H21" s="387"/>
      <c r="I21" s="386"/>
      <c r="J21" s="387"/>
      <c r="K21" s="541"/>
      <c r="L21" s="2490"/>
      <c r="M21" s="2485"/>
      <c r="N21" s="2485"/>
      <c r="O21" s="2485"/>
      <c r="P21" s="3417"/>
      <c r="Q21" s="1262"/>
      <c r="R21" s="667"/>
      <c r="S21" s="668"/>
      <c r="T21" s="667"/>
      <c r="U21" s="668"/>
      <c r="V21" s="667"/>
      <c r="W21" s="668"/>
      <c r="X21" s="1264"/>
      <c r="Y21" s="3417"/>
      <c r="Z21" s="1263"/>
      <c r="AA21" s="1263">
        <v>1</v>
      </c>
      <c r="AB21" s="1263">
        <v>1</v>
      </c>
      <c r="AC21" s="1263">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7"/>
      <c r="Q22" s="1262" t="str">
        <f>B22</f>
        <v>楼层</v>
      </c>
      <c r="R22" s="667" t="s">
        <v>14</v>
      </c>
      <c r="S22" s="668">
        <f>F22</f>
        <v>100</v>
      </c>
      <c r="T22" s="667" t="s">
        <v>14</v>
      </c>
      <c r="U22" s="668">
        <f>H22</f>
        <v>100</v>
      </c>
      <c r="V22" s="667" t="s">
        <v>14</v>
      </c>
      <c r="W22" s="668">
        <f>J22</f>
        <v>100</v>
      </c>
      <c r="X22" s="1264"/>
      <c r="Y22" s="3417"/>
      <c r="Z22" s="1263" t="str">
        <f>Q22</f>
        <v>楼层</v>
      </c>
      <c r="AA22" s="1263">
        <f t="shared" si="3"/>
        <v>1</v>
      </c>
      <c r="AB22" s="1263">
        <f t="shared" si="4"/>
        <v>1</v>
      </c>
      <c r="AC22" s="1263">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7"/>
      <c r="Q23" s="1262">
        <f>B23</f>
        <v>111</v>
      </c>
      <c r="R23" s="667" t="s">
        <v>14</v>
      </c>
      <c r="S23" s="668">
        <f>F23</f>
        <v>100</v>
      </c>
      <c r="T23" s="667" t="s">
        <v>14</v>
      </c>
      <c r="U23" s="668">
        <f>H23</f>
        <v>100</v>
      </c>
      <c r="V23" s="667" t="s">
        <v>14</v>
      </c>
      <c r="W23" s="668">
        <f>J23</f>
        <v>100</v>
      </c>
      <c r="X23" s="1264"/>
      <c r="Y23" s="3417"/>
      <c r="Z23" s="1263">
        <f>Q23</f>
        <v>111</v>
      </c>
      <c r="AA23" s="1263">
        <f t="shared" si="3"/>
        <v>1</v>
      </c>
      <c r="AB23" s="1263">
        <f t="shared" si="4"/>
        <v>1</v>
      </c>
      <c r="AC23" s="1263">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7"/>
      <c r="Q24" s="1262">
        <f t="shared" ref="Q24:Q36" si="11">B24</f>
        <v>111</v>
      </c>
      <c r="R24" s="667" t="s">
        <v>14</v>
      </c>
      <c r="S24" s="668">
        <f>F24</f>
        <v>100</v>
      </c>
      <c r="T24" s="667" t="s">
        <v>14</v>
      </c>
      <c r="U24" s="668">
        <f>H24</f>
        <v>100</v>
      </c>
      <c r="V24" s="667" t="s">
        <v>14</v>
      </c>
      <c r="W24" s="668">
        <f>J24</f>
        <v>100</v>
      </c>
      <c r="X24" s="1264"/>
      <c r="Y24" s="3417"/>
      <c r="Z24" s="1263">
        <f>Q24</f>
        <v>111</v>
      </c>
      <c r="AA24" s="1263">
        <f t="shared" si="3"/>
        <v>1</v>
      </c>
      <c r="AB24" s="1263">
        <f t="shared" si="4"/>
        <v>1</v>
      </c>
      <c r="AC24" s="1263">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7"/>
      <c r="Q25" s="530">
        <f t="shared" si="11"/>
        <v>111</v>
      </c>
      <c r="R25" s="664" t="s">
        <v>14</v>
      </c>
      <c r="S25" s="665">
        <f>F25</f>
        <v>100</v>
      </c>
      <c r="T25" s="664" t="s">
        <v>14</v>
      </c>
      <c r="U25" s="665">
        <f>H25</f>
        <v>100</v>
      </c>
      <c r="V25" s="664" t="s">
        <v>14</v>
      </c>
      <c r="W25" s="665">
        <f>J25</f>
        <v>100</v>
      </c>
      <c r="X25" s="666"/>
      <c r="Y25" s="3417"/>
      <c r="Z25" s="50">
        <f>Q25</f>
        <v>111</v>
      </c>
      <c r="AA25" s="1263">
        <f>D25/F25</f>
        <v>1</v>
      </c>
      <c r="AB25" s="1263">
        <f>D25/H25</f>
        <v>1</v>
      </c>
      <c r="AC25" s="1263">
        <f>D25/J25</f>
        <v>1</v>
      </c>
    </row>
    <row r="26" spans="1:29" ht="29">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1" t="s">
        <v>1696</v>
      </c>
      <c r="Z26" s="1263" t="str">
        <f t="shared" ref="Z26:Z36" si="15">Q26</f>
        <v>配套类型</v>
      </c>
      <c r="AA26" s="1263" t="e">
        <f t="shared" si="3"/>
        <v>#DIV/0!</v>
      </c>
      <c r="AB26" s="1263" t="e">
        <f t="shared" si="4"/>
        <v>#DIV/0!</v>
      </c>
      <c r="AC26" s="1263"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3">
        <f t="shared" si="3"/>
        <v>1</v>
      </c>
      <c r="AB27" s="1263">
        <f t="shared" si="4"/>
        <v>1</v>
      </c>
      <c r="AC27" s="1263">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1"/>
      <c r="Q28" s="1262" t="str">
        <f t="shared" si="11"/>
        <v>公共部分装修</v>
      </c>
      <c r="R28" s="667" t="s">
        <v>14</v>
      </c>
      <c r="S28" s="668">
        <f t="shared" si="12"/>
        <v>100</v>
      </c>
      <c r="T28" s="667" t="s">
        <v>14</v>
      </c>
      <c r="U28" s="668">
        <f t="shared" si="13"/>
        <v>100</v>
      </c>
      <c r="V28" s="667" t="s">
        <v>14</v>
      </c>
      <c r="W28" s="668">
        <f t="shared" si="14"/>
        <v>100</v>
      </c>
      <c r="X28" s="1264"/>
      <c r="Y28" s="3421"/>
      <c r="Z28" s="1263" t="str">
        <f t="shared" si="15"/>
        <v>公共部分装修</v>
      </c>
      <c r="AA28" s="1263">
        <f t="shared" si="3"/>
        <v>1</v>
      </c>
      <c r="AB28" s="1263">
        <f t="shared" si="4"/>
        <v>1</v>
      </c>
      <c r="AC28" s="1263">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1"/>
      <c r="Q29" s="1262" t="str">
        <f t="shared" si="11"/>
        <v>成新率</v>
      </c>
      <c r="R29" s="667" t="s">
        <v>14</v>
      </c>
      <c r="S29" s="668" t="e">
        <f t="shared" si="12"/>
        <v>#N/A</v>
      </c>
      <c r="T29" s="667" t="s">
        <v>14</v>
      </c>
      <c r="U29" s="668" t="e">
        <f t="shared" si="13"/>
        <v>#N/A</v>
      </c>
      <c r="V29" s="667" t="s">
        <v>14</v>
      </c>
      <c r="W29" s="668" t="e">
        <f t="shared" si="14"/>
        <v>#N/A</v>
      </c>
      <c r="X29" s="1264"/>
      <c r="Y29" s="3421"/>
      <c r="Z29" s="1263" t="str">
        <f t="shared" si="15"/>
        <v>成新率</v>
      </c>
      <c r="AA29" s="1263" t="e">
        <f t="shared" si="3"/>
        <v>#N/A</v>
      </c>
      <c r="AB29" s="1263" t="e">
        <f t="shared" si="4"/>
        <v>#N/A</v>
      </c>
      <c r="AC29" s="1263"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1"/>
      <c r="Q30" s="1262" t="str">
        <f t="shared" si="11"/>
        <v>物业等级</v>
      </c>
      <c r="R30" s="667" t="s">
        <v>14</v>
      </c>
      <c r="S30" s="668">
        <f t="shared" si="12"/>
        <v>100</v>
      </c>
      <c r="T30" s="667" t="s">
        <v>14</v>
      </c>
      <c r="U30" s="668">
        <f t="shared" si="13"/>
        <v>100</v>
      </c>
      <c r="V30" s="667" t="s">
        <v>14</v>
      </c>
      <c r="W30" s="668">
        <f t="shared" si="14"/>
        <v>100</v>
      </c>
      <c r="X30" s="1264"/>
      <c r="Y30" s="3421"/>
      <c r="Z30" s="1263" t="str">
        <f t="shared" si="15"/>
        <v>物业等级</v>
      </c>
      <c r="AA30" s="1263">
        <f t="shared" si="3"/>
        <v>1</v>
      </c>
      <c r="AB30" s="1263">
        <f t="shared" si="4"/>
        <v>1</v>
      </c>
      <c r="AC30" s="1263">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1" t="s">
        <v>1696</v>
      </c>
      <c r="Q32" s="1262" t="str">
        <f t="shared" si="11"/>
        <v>车位类型</v>
      </c>
      <c r="R32" s="667" t="s">
        <v>14</v>
      </c>
      <c r="S32" s="668">
        <f t="shared" si="12"/>
        <v>100</v>
      </c>
      <c r="T32" s="667" t="s">
        <v>14</v>
      </c>
      <c r="U32" s="668">
        <f t="shared" si="13"/>
        <v>100</v>
      </c>
      <c r="V32" s="667" t="s">
        <v>14</v>
      </c>
      <c r="W32" s="668">
        <f t="shared" si="14"/>
        <v>100</v>
      </c>
      <c r="X32" s="1264"/>
      <c r="Y32" s="3421" t="s">
        <v>1696</v>
      </c>
      <c r="Z32" s="1263" t="str">
        <f t="shared" si="15"/>
        <v>车位类型</v>
      </c>
      <c r="AA32" s="1263">
        <f t="shared" si="3"/>
        <v>1</v>
      </c>
      <c r="AB32" s="1263">
        <f t="shared" si="4"/>
        <v>1</v>
      </c>
      <c r="AC32" s="1263">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1"/>
      <c r="Q33" s="1262" t="str">
        <f t="shared" si="11"/>
        <v>是否直接入户</v>
      </c>
      <c r="R33" s="667" t="s">
        <v>14</v>
      </c>
      <c r="S33" s="668">
        <f t="shared" si="12"/>
        <v>100</v>
      </c>
      <c r="T33" s="667" t="s">
        <v>14</v>
      </c>
      <c r="U33" s="668">
        <f t="shared" si="13"/>
        <v>100</v>
      </c>
      <c r="V33" s="667" t="s">
        <v>14</v>
      </c>
      <c r="W33" s="668">
        <f t="shared" si="14"/>
        <v>100</v>
      </c>
      <c r="X33" s="1264"/>
      <c r="Y33" s="3421"/>
      <c r="Z33" s="1263" t="str">
        <f t="shared" si="15"/>
        <v>是否直接入户</v>
      </c>
      <c r="AA33" s="1263">
        <f t="shared" si="3"/>
        <v>1</v>
      </c>
      <c r="AB33" s="1263">
        <f t="shared" si="4"/>
        <v>1</v>
      </c>
      <c r="AC33" s="1263">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3">
        <f t="shared" si="3"/>
        <v>1</v>
      </c>
      <c r="AB35" s="1263">
        <f t="shared" si="4"/>
        <v>1</v>
      </c>
      <c r="AC35" s="1263">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1"/>
      <c r="Q36" s="1262">
        <f t="shared" si="11"/>
        <v>111</v>
      </c>
      <c r="R36" s="667" t="s">
        <v>14</v>
      </c>
      <c r="S36" s="668">
        <f t="shared" si="12"/>
        <v>100</v>
      </c>
      <c r="T36" s="667" t="s">
        <v>14</v>
      </c>
      <c r="U36" s="668">
        <f t="shared" si="13"/>
        <v>100</v>
      </c>
      <c r="V36" s="667" t="s">
        <v>14</v>
      </c>
      <c r="W36" s="668">
        <f t="shared" si="14"/>
        <v>100</v>
      </c>
      <c r="X36" s="1264"/>
      <c r="Y36" s="3421"/>
      <c r="Z36" s="1263">
        <f t="shared" si="15"/>
        <v>111</v>
      </c>
      <c r="AA36" s="1263">
        <f t="shared" si="3"/>
        <v>1</v>
      </c>
      <c r="AB36" s="1263">
        <f t="shared" si="4"/>
        <v>1</v>
      </c>
      <c r="AC36" s="1263">
        <f t="shared" si="5"/>
        <v>1</v>
      </c>
    </row>
    <row r="37" spans="1:29">
      <c r="A37" s="416" t="s">
        <v>1844</v>
      </c>
      <c r="B37" s="1820" t="s">
        <v>3351</v>
      </c>
      <c r="C37" s="1080" t="s">
        <v>0</v>
      </c>
      <c r="D37" s="418"/>
      <c r="E37" s="419"/>
      <c r="F37" s="420"/>
      <c r="G37" s="421"/>
      <c r="H37" s="422"/>
      <c r="I37" s="419"/>
      <c r="J37" s="422"/>
      <c r="K37" s="545"/>
      <c r="L37" s="2492"/>
      <c r="M37" s="2485"/>
      <c r="N37" s="2485"/>
      <c r="O37" s="2485"/>
      <c r="P37" s="3415" t="str">
        <f>A37</f>
        <v>成交单价</v>
      </c>
      <c r="Q37" s="3415"/>
      <c r="R37" s="3410">
        <f>E37</f>
        <v>0</v>
      </c>
      <c r="S37" s="3410"/>
      <c r="T37" s="3410">
        <f>G37</f>
        <v>0</v>
      </c>
      <c r="U37" s="3410"/>
      <c r="V37" s="3410">
        <f>I37</f>
        <v>0</v>
      </c>
      <c r="W37" s="3410"/>
      <c r="X37" s="385"/>
      <c r="Y37" s="673"/>
      <c r="Z37" s="385"/>
      <c r="AA37" s="385"/>
      <c r="AB37" s="385"/>
      <c r="AC37" s="385"/>
    </row>
    <row r="38" spans="1:29" ht="14.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2"/>
      <c r="M38" s="2485"/>
      <c r="N38" s="2485"/>
      <c r="O38" s="2485"/>
      <c r="P38" s="3415" t="str">
        <f>A38</f>
        <v>比较价值（元/平方米）</v>
      </c>
      <c r="Q38" s="3415"/>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412" t="str">
        <f>A39</f>
        <v>估价对象XX用房的比较价值（楼面单价，元/平方米）</v>
      </c>
      <c r="Q39" s="3413"/>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4" priority="13" stopIfTrue="1">
      <formula>$F$42="超过30%"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F7:F36 H7:H36 J7:J36">
    <cfRule type="cellIs" dxfId="81" priority="1" operator="notEqual">
      <formula>100</formula>
    </cfRule>
  </conditionalFormatting>
  <conditionalFormatting sqref="F38">
    <cfRule type="expression" dxfId="80" priority="4">
      <formula>$D$38="简单平均"</formula>
    </cfRule>
  </conditionalFormatting>
  <conditionalFormatting sqref="F42:F44 H42:H44 J42:J44">
    <cfRule type="containsText" dxfId="79" priority="14" stopIfTrue="1" operator="containsText" text="超过">
      <formula>NOT(ISERROR(SEARCH("超过",F42)))</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G44">
    <cfRule type="expression" dxfId="76" priority="12" stopIfTrue="1">
      <formula>$H$54+$H$44="超过30%"</formula>
    </cfRule>
  </conditionalFormatting>
  <conditionalFormatting sqref="H38">
    <cfRule type="expression" dxfId="75" priority="3">
      <formula>$D$38="简单平均"</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J38">
    <cfRule type="expression" dxfId="71"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3332</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4"/>
      <c r="M5" s="2485"/>
      <c r="N5" s="2485"/>
      <c r="O5" s="2485"/>
      <c r="P5" s="3404"/>
      <c r="Q5" s="3405"/>
      <c r="R5" s="3387"/>
      <c r="S5" s="3388"/>
      <c r="T5" s="3387"/>
      <c r="U5" s="3388"/>
      <c r="V5" s="3410"/>
      <c r="W5" s="3410"/>
      <c r="X5" s="1264"/>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4.5" thickBot="1">
      <c r="A7" s="352" t="s">
        <v>1679</v>
      </c>
      <c r="B7" s="353"/>
      <c r="C7" s="354">
        <f>'数据-取费表'!B2</f>
        <v>45974</v>
      </c>
      <c r="D7" s="355">
        <v>100</v>
      </c>
      <c r="E7" s="356"/>
      <c r="F7" s="357">
        <f>SUMIF(46:46,YEAR(E7)&amp;"-"&amp;MONTH(E7),47:47)</f>
        <v>0</v>
      </c>
      <c r="G7" s="1821"/>
      <c r="H7" s="355">
        <f>SUMIF(46:46,YEAR(G7)&amp;"-"&amp;MONTH(G7),47:47)</f>
        <v>0</v>
      </c>
      <c r="I7" s="356"/>
      <c r="J7" s="355">
        <f>SUMIF(46:46,YEAR(I7)&amp;"-"&amp;MONTH(I7),47:47)</f>
        <v>0</v>
      </c>
      <c r="K7" s="38"/>
      <c r="L7" s="2486"/>
      <c r="M7" s="2438"/>
      <c r="N7" s="2438"/>
      <c r="O7" s="2438"/>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3" t="s">
        <v>1683</v>
      </c>
      <c r="Q8" s="3384"/>
      <c r="R8" s="664" t="s">
        <v>14</v>
      </c>
      <c r="S8" s="665">
        <f t="shared" si="0"/>
        <v>100</v>
      </c>
      <c r="T8" s="664" t="s">
        <v>14</v>
      </c>
      <c r="U8" s="665">
        <f t="shared" si="1"/>
        <v>100</v>
      </c>
      <c r="V8" s="664" t="s">
        <v>14</v>
      </c>
      <c r="W8" s="665">
        <f t="shared" si="2"/>
        <v>100</v>
      </c>
      <c r="X8" s="666"/>
      <c r="Y8" s="3383" t="s">
        <v>1683</v>
      </c>
      <c r="Z8" s="33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8">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6" t="s">
        <v>1691</v>
      </c>
      <c r="Q14" s="1262" t="str">
        <f t="shared" si="6"/>
        <v>交通便捷度</v>
      </c>
      <c r="R14" s="667" t="s">
        <v>14</v>
      </c>
      <c r="S14" s="668">
        <f t="shared" si="0"/>
        <v>100</v>
      </c>
      <c r="T14" s="667" t="s">
        <v>14</v>
      </c>
      <c r="U14" s="668">
        <f t="shared" si="1"/>
        <v>100</v>
      </c>
      <c r="V14" s="667" t="s">
        <v>14</v>
      </c>
      <c r="W14" s="668">
        <f t="shared" si="2"/>
        <v>100</v>
      </c>
      <c r="X14" s="1264"/>
      <c r="Y14" s="3416" t="s">
        <v>1691</v>
      </c>
      <c r="Z14" s="1263" t="str">
        <f t="shared" si="7"/>
        <v>交通便捷度</v>
      </c>
      <c r="AA14" s="1263">
        <f t="shared" si="3"/>
        <v>1</v>
      </c>
      <c r="AB14" s="1263">
        <f t="shared" si="4"/>
        <v>1</v>
      </c>
      <c r="AC14" s="1263">
        <f t="shared" si="5"/>
        <v>1</v>
      </c>
    </row>
    <row r="15" spans="1:29" ht="15.5">
      <c r="A15" s="367"/>
      <c r="B15" s="385"/>
      <c r="C15" s="386"/>
      <c r="D15" s="387"/>
      <c r="E15" s="386"/>
      <c r="F15" s="388"/>
      <c r="G15" s="386"/>
      <c r="H15" s="389"/>
      <c r="I15" s="386"/>
      <c r="J15" s="387"/>
      <c r="K15" s="541"/>
      <c r="L15" s="2490"/>
      <c r="M15" s="2485"/>
      <c r="N15" s="2485"/>
      <c r="O15" s="2540"/>
      <c r="P15" s="3417"/>
      <c r="Q15" s="1262"/>
      <c r="R15" s="667"/>
      <c r="S15" s="668"/>
      <c r="T15" s="667"/>
      <c r="U15" s="668"/>
      <c r="V15" s="667"/>
      <c r="W15" s="668"/>
      <c r="X15" s="1264"/>
      <c r="Y15" s="3417"/>
      <c r="Z15" s="1263"/>
      <c r="AA15" s="1263">
        <v>1</v>
      </c>
      <c r="AB15" s="1263">
        <v>1</v>
      </c>
      <c r="AC15" s="1263">
        <v>1</v>
      </c>
    </row>
    <row r="16" spans="1:29" ht="42">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7"/>
      <c r="Q16" s="1262" t="str">
        <f>B16</f>
        <v>公共配套设施</v>
      </c>
      <c r="R16" s="667" t="s">
        <v>14</v>
      </c>
      <c r="S16" s="668">
        <f>F16</f>
        <v>100</v>
      </c>
      <c r="T16" s="667" t="s">
        <v>14</v>
      </c>
      <c r="U16" s="668">
        <f>H16</f>
        <v>100</v>
      </c>
      <c r="V16" s="667" t="s">
        <v>14</v>
      </c>
      <c r="W16" s="668">
        <f>J16</f>
        <v>100</v>
      </c>
      <c r="X16" s="1264"/>
      <c r="Y16" s="3417"/>
      <c r="Z16" s="1263" t="str">
        <f>Q16</f>
        <v>公共配套设施</v>
      </c>
      <c r="AA16" s="1263">
        <f t="shared" si="3"/>
        <v>1</v>
      </c>
      <c r="AB16" s="1263">
        <f t="shared" si="4"/>
        <v>1</v>
      </c>
      <c r="AC16" s="1263">
        <f t="shared" si="5"/>
        <v>1</v>
      </c>
    </row>
    <row r="17" spans="1:29" ht="15.5">
      <c r="A17" s="367"/>
      <c r="B17" s="395"/>
      <c r="C17" s="1754"/>
      <c r="D17" s="387"/>
      <c r="E17" s="386"/>
      <c r="F17" s="388"/>
      <c r="G17" s="386"/>
      <c r="H17" s="387"/>
      <c r="I17" s="386"/>
      <c r="J17" s="387"/>
      <c r="K17" s="541"/>
      <c r="L17" s="2490"/>
      <c r="M17" s="2485"/>
      <c r="N17" s="2485"/>
      <c r="O17" s="2540"/>
      <c r="P17" s="3417"/>
      <c r="Q17" s="1262"/>
      <c r="R17" s="667"/>
      <c r="S17" s="668"/>
      <c r="T17" s="667"/>
      <c r="U17" s="668"/>
      <c r="V17" s="667"/>
      <c r="W17" s="668"/>
      <c r="X17" s="1264"/>
      <c r="Y17" s="3417"/>
      <c r="Z17" s="1263"/>
      <c r="AA17" s="1263">
        <v>1</v>
      </c>
      <c r="AB17" s="1263">
        <v>1</v>
      </c>
      <c r="AC17" s="1263">
        <v>1</v>
      </c>
    </row>
    <row r="18" spans="1:29" ht="42">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7"/>
      <c r="Q18" s="1262" t="str">
        <f>B18</f>
        <v>基础设施水平</v>
      </c>
      <c r="R18" s="667" t="s">
        <v>14</v>
      </c>
      <c r="S18" s="668">
        <f>F18</f>
        <v>100</v>
      </c>
      <c r="T18" s="667" t="s">
        <v>14</v>
      </c>
      <c r="U18" s="668">
        <f>H18</f>
        <v>100</v>
      </c>
      <c r="V18" s="667" t="s">
        <v>14</v>
      </c>
      <c r="W18" s="668">
        <f>J18</f>
        <v>100</v>
      </c>
      <c r="X18" s="1264"/>
      <c r="Y18" s="3417"/>
      <c r="Z18" s="1263" t="str">
        <f>Q18</f>
        <v>基础设施水平</v>
      </c>
      <c r="AA18" s="1263">
        <f t="shared" ref="AA18" si="8">D18/F18</f>
        <v>1</v>
      </c>
      <c r="AB18" s="1263">
        <f t="shared" ref="AB18" si="9">D18/H18</f>
        <v>1</v>
      </c>
      <c r="AC18" s="1263">
        <f t="shared" ref="AC18" si="10">D18/J18</f>
        <v>1</v>
      </c>
    </row>
    <row r="19" spans="1:29" ht="15.5">
      <c r="A19" s="367"/>
      <c r="B19" s="586"/>
      <c r="C19" s="1754"/>
      <c r="D19" s="389"/>
      <c r="E19" s="1754"/>
      <c r="F19" s="392"/>
      <c r="G19" s="1754"/>
      <c r="H19" s="387"/>
      <c r="I19" s="386"/>
      <c r="J19" s="387"/>
      <c r="K19" s="1063"/>
      <c r="L19" s="2490"/>
      <c r="M19" s="2485"/>
      <c r="N19" s="2485"/>
      <c r="O19" s="2540"/>
      <c r="P19" s="3417"/>
      <c r="Q19" s="1262"/>
      <c r="R19" s="667"/>
      <c r="S19" s="668"/>
      <c r="T19" s="667"/>
      <c r="U19" s="668"/>
      <c r="V19" s="667"/>
      <c r="W19" s="668"/>
      <c r="X19" s="1264"/>
      <c r="Y19" s="3417"/>
      <c r="Z19" s="1263"/>
      <c r="AA19" s="1263">
        <v>1</v>
      </c>
      <c r="AB19" s="1263">
        <v>1</v>
      </c>
      <c r="AC19" s="1263">
        <v>1</v>
      </c>
    </row>
    <row r="20" spans="1:29" ht="56">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7"/>
      <c r="Q20" s="1262" t="str">
        <f>B20</f>
        <v>自然及人文环境</v>
      </c>
      <c r="R20" s="667" t="s">
        <v>14</v>
      </c>
      <c r="S20" s="668">
        <f>F20</f>
        <v>100</v>
      </c>
      <c r="T20" s="667" t="s">
        <v>14</v>
      </c>
      <c r="U20" s="668">
        <f>H20</f>
        <v>100</v>
      </c>
      <c r="V20" s="667" t="s">
        <v>14</v>
      </c>
      <c r="W20" s="668">
        <f>J20</f>
        <v>100</v>
      </c>
      <c r="X20" s="1264"/>
      <c r="Y20" s="3417"/>
      <c r="Z20" s="1263" t="str">
        <f>Q20</f>
        <v>自然及人文环境</v>
      </c>
      <c r="AA20" s="1263">
        <f t="shared" si="3"/>
        <v>1</v>
      </c>
      <c r="AB20" s="1263">
        <f t="shared" si="4"/>
        <v>1</v>
      </c>
      <c r="AC20" s="1263">
        <f t="shared" si="5"/>
        <v>1</v>
      </c>
    </row>
    <row r="21" spans="1:29" ht="15.5">
      <c r="A21" s="367"/>
      <c r="B21" s="395"/>
      <c r="C21" s="386"/>
      <c r="D21" s="387"/>
      <c r="E21" s="386"/>
      <c r="F21" s="388"/>
      <c r="G21" s="386"/>
      <c r="H21" s="387"/>
      <c r="I21" s="386"/>
      <c r="J21" s="387"/>
      <c r="K21" s="541"/>
      <c r="L21" s="2490"/>
      <c r="M21" s="2485"/>
      <c r="N21" s="2485"/>
      <c r="O21" s="2540"/>
      <c r="P21" s="3417"/>
      <c r="Q21" s="1262"/>
      <c r="R21" s="667"/>
      <c r="S21" s="668"/>
      <c r="T21" s="667"/>
      <c r="U21" s="668"/>
      <c r="V21" s="667"/>
      <c r="W21" s="668"/>
      <c r="X21" s="1264"/>
      <c r="Y21" s="3417"/>
      <c r="Z21" s="1263"/>
      <c r="AA21" s="1263">
        <v>1</v>
      </c>
      <c r="AB21" s="1263">
        <v>1</v>
      </c>
      <c r="AC21" s="1263">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7"/>
      <c r="Q22" s="1262" t="str">
        <f>B22</f>
        <v>楼层</v>
      </c>
      <c r="R22" s="667" t="s">
        <v>14</v>
      </c>
      <c r="S22" s="668">
        <f>F22</f>
        <v>100</v>
      </c>
      <c r="T22" s="667" t="s">
        <v>14</v>
      </c>
      <c r="U22" s="668">
        <f>H22</f>
        <v>100</v>
      </c>
      <c r="V22" s="667" t="s">
        <v>14</v>
      </c>
      <c r="W22" s="668">
        <f>J22</f>
        <v>100</v>
      </c>
      <c r="X22" s="1264"/>
      <c r="Y22" s="3417"/>
      <c r="Z22" s="1263" t="str">
        <f>Q22</f>
        <v>楼层</v>
      </c>
      <c r="AA22" s="1263">
        <f t="shared" si="3"/>
        <v>1</v>
      </c>
      <c r="AB22" s="1263">
        <f t="shared" si="4"/>
        <v>1</v>
      </c>
      <c r="AC22" s="1263">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7"/>
      <c r="Q23" s="1262">
        <f>B23</f>
        <v>111</v>
      </c>
      <c r="R23" s="667" t="s">
        <v>14</v>
      </c>
      <c r="S23" s="668">
        <f>F23</f>
        <v>100</v>
      </c>
      <c r="T23" s="667" t="s">
        <v>14</v>
      </c>
      <c r="U23" s="668">
        <f>H23</f>
        <v>100</v>
      </c>
      <c r="V23" s="667" t="s">
        <v>14</v>
      </c>
      <c r="W23" s="668">
        <f>J23</f>
        <v>100</v>
      </c>
      <c r="X23" s="1264"/>
      <c r="Y23" s="3417"/>
      <c r="Z23" s="1263">
        <f>Q23</f>
        <v>111</v>
      </c>
      <c r="AA23" s="1263">
        <f t="shared" si="3"/>
        <v>1</v>
      </c>
      <c r="AB23" s="1263">
        <f t="shared" si="4"/>
        <v>1</v>
      </c>
      <c r="AC23" s="1263">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7"/>
      <c r="Q24" s="1262">
        <f t="shared" ref="Q24:Q34" si="11">B24</f>
        <v>111</v>
      </c>
      <c r="R24" s="667" t="s">
        <v>14</v>
      </c>
      <c r="S24" s="668">
        <f>F24</f>
        <v>100</v>
      </c>
      <c r="T24" s="667" t="s">
        <v>14</v>
      </c>
      <c r="U24" s="668">
        <f>H24</f>
        <v>100</v>
      </c>
      <c r="V24" s="667" t="s">
        <v>14</v>
      </c>
      <c r="W24" s="668">
        <f>J24</f>
        <v>100</v>
      </c>
      <c r="X24" s="1264"/>
      <c r="Y24" s="3417"/>
      <c r="Z24" s="1263">
        <f>Q24</f>
        <v>111</v>
      </c>
      <c r="AA24" s="1263">
        <f t="shared" si="3"/>
        <v>1</v>
      </c>
      <c r="AB24" s="1263">
        <f t="shared" si="4"/>
        <v>1</v>
      </c>
      <c r="AC24" s="1263">
        <f t="shared" si="5"/>
        <v>1</v>
      </c>
    </row>
    <row r="25" spans="1:29" s="102" customFormat="1" ht="1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417"/>
      <c r="Q25" s="530">
        <f t="shared" si="11"/>
        <v>111</v>
      </c>
      <c r="R25" s="664" t="s">
        <v>14</v>
      </c>
      <c r="S25" s="665">
        <f>F25</f>
        <v>100</v>
      </c>
      <c r="T25" s="664" t="s">
        <v>14</v>
      </c>
      <c r="U25" s="665">
        <f>H25</f>
        <v>100</v>
      </c>
      <c r="V25" s="664" t="s">
        <v>14</v>
      </c>
      <c r="W25" s="665">
        <f>J25</f>
        <v>100</v>
      </c>
      <c r="X25" s="666"/>
      <c r="Y25" s="3417"/>
      <c r="Z25" s="50">
        <f>Q25</f>
        <v>111</v>
      </c>
      <c r="AA25" s="1263">
        <f>D25/F25</f>
        <v>1</v>
      </c>
      <c r="AB25" s="1263">
        <f>D25/H25</f>
        <v>1</v>
      </c>
      <c r="AC25" s="1263">
        <f>D25/J25</f>
        <v>1</v>
      </c>
    </row>
    <row r="26" spans="1:29" ht="29">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4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1" t="s">
        <v>1696</v>
      </c>
      <c r="Z26" s="1263" t="str">
        <f t="shared" ref="Z26:Z34" si="15">Q26</f>
        <v>公共部分装修</v>
      </c>
      <c r="AA26" s="1263">
        <f t="shared" si="3"/>
        <v>1</v>
      </c>
      <c r="AB26" s="1263">
        <f t="shared" si="4"/>
        <v>1</v>
      </c>
      <c r="AC26" s="1263">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3" t="e">
        <f t="shared" si="3"/>
        <v>#N/A</v>
      </c>
      <c r="AB27" s="1263" t="e">
        <f t="shared" si="4"/>
        <v>#N/A</v>
      </c>
      <c r="AC27" s="1263"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1"/>
      <c r="Q28" s="1262" t="str">
        <f t="shared" si="11"/>
        <v>物业等级</v>
      </c>
      <c r="R28" s="667" t="s">
        <v>14</v>
      </c>
      <c r="S28" s="668">
        <f t="shared" si="12"/>
        <v>100</v>
      </c>
      <c r="T28" s="667" t="s">
        <v>14</v>
      </c>
      <c r="U28" s="668">
        <f t="shared" si="13"/>
        <v>100</v>
      </c>
      <c r="V28" s="667" t="s">
        <v>14</v>
      </c>
      <c r="W28" s="668">
        <f t="shared" si="14"/>
        <v>100</v>
      </c>
      <c r="X28" s="1264"/>
      <c r="Y28" s="3421"/>
      <c r="Z28" s="1263" t="str">
        <f t="shared" si="15"/>
        <v>物业等级</v>
      </c>
      <c r="AA28" s="1263">
        <f t="shared" si="3"/>
        <v>1</v>
      </c>
      <c r="AB28" s="1263">
        <f t="shared" si="4"/>
        <v>1</v>
      </c>
      <c r="AC28" s="1263">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1"/>
      <c r="Q29" s="1262" t="str">
        <f t="shared" si="11"/>
        <v>有无电梯</v>
      </c>
      <c r="R29" s="667" t="s">
        <v>14</v>
      </c>
      <c r="S29" s="668">
        <f t="shared" si="12"/>
        <v>100</v>
      </c>
      <c r="T29" s="667" t="s">
        <v>14</v>
      </c>
      <c r="U29" s="668">
        <f t="shared" si="13"/>
        <v>100</v>
      </c>
      <c r="V29" s="667" t="s">
        <v>14</v>
      </c>
      <c r="W29" s="668">
        <f t="shared" si="14"/>
        <v>100</v>
      </c>
      <c r="X29" s="1264"/>
      <c r="Y29" s="3421"/>
      <c r="Z29" s="1263" t="str">
        <f t="shared" si="15"/>
        <v>有无电梯</v>
      </c>
      <c r="AA29" s="1263">
        <f t="shared" si="3"/>
        <v>1</v>
      </c>
      <c r="AB29" s="1263">
        <f t="shared" si="4"/>
        <v>1</v>
      </c>
      <c r="AC29" s="1263">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1"/>
      <c r="Q30" s="1262" t="str">
        <f t="shared" si="11"/>
        <v>建筑面积</v>
      </c>
      <c r="R30" s="667" t="s">
        <v>14</v>
      </c>
      <c r="S30" s="668" t="e">
        <f t="shared" si="12"/>
        <v>#N/A</v>
      </c>
      <c r="T30" s="667" t="s">
        <v>14</v>
      </c>
      <c r="U30" s="668" t="e">
        <f t="shared" si="13"/>
        <v>#N/A</v>
      </c>
      <c r="V30" s="667" t="s">
        <v>14</v>
      </c>
      <c r="W30" s="668" t="e">
        <f t="shared" si="14"/>
        <v>#N/A</v>
      </c>
      <c r="X30" s="1264"/>
      <c r="Y30" s="3421"/>
      <c r="Z30" s="1263" t="str">
        <f t="shared" si="15"/>
        <v>建筑面积</v>
      </c>
      <c r="AA30" s="1263" t="e">
        <f t="shared" si="3"/>
        <v>#N/A</v>
      </c>
      <c r="AB30" s="1263" t="e">
        <f t="shared" si="4"/>
        <v>#N/A</v>
      </c>
      <c r="AC30" s="1263"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1" t="s">
        <v>1696</v>
      </c>
      <c r="Q32" s="1262">
        <f t="shared" si="11"/>
        <v>111</v>
      </c>
      <c r="R32" s="667" t="s">
        <v>14</v>
      </c>
      <c r="S32" s="668">
        <f t="shared" si="12"/>
        <v>100</v>
      </c>
      <c r="T32" s="667" t="s">
        <v>14</v>
      </c>
      <c r="U32" s="668">
        <f t="shared" si="13"/>
        <v>100</v>
      </c>
      <c r="V32" s="667" t="s">
        <v>14</v>
      </c>
      <c r="W32" s="668">
        <f t="shared" si="14"/>
        <v>100</v>
      </c>
      <c r="X32" s="1264"/>
      <c r="Y32" s="3421" t="s">
        <v>1696</v>
      </c>
      <c r="Z32" s="1263">
        <f t="shared" si="15"/>
        <v>111</v>
      </c>
      <c r="AA32" s="1263">
        <f t="shared" si="3"/>
        <v>1</v>
      </c>
      <c r="AB32" s="1263">
        <f t="shared" si="4"/>
        <v>1</v>
      </c>
      <c r="AC32" s="1263">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1"/>
      <c r="Q33" s="1262">
        <f t="shared" si="11"/>
        <v>111</v>
      </c>
      <c r="R33" s="667" t="s">
        <v>14</v>
      </c>
      <c r="S33" s="668">
        <f t="shared" si="12"/>
        <v>100</v>
      </c>
      <c r="T33" s="667" t="s">
        <v>14</v>
      </c>
      <c r="U33" s="668">
        <f t="shared" si="13"/>
        <v>100</v>
      </c>
      <c r="V33" s="667" t="s">
        <v>14</v>
      </c>
      <c r="W33" s="668">
        <f t="shared" si="14"/>
        <v>100</v>
      </c>
      <c r="X33" s="1264"/>
      <c r="Y33" s="3421"/>
      <c r="Z33" s="1263">
        <f t="shared" si="15"/>
        <v>111</v>
      </c>
      <c r="AA33" s="1263">
        <f t="shared" si="3"/>
        <v>1</v>
      </c>
      <c r="AB33" s="1263">
        <f t="shared" si="4"/>
        <v>1</v>
      </c>
      <c r="AC33" s="1263">
        <f t="shared" si="5"/>
        <v>1</v>
      </c>
    </row>
    <row r="34" spans="1:30" ht="1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30">
      <c r="A35" s="416" t="s">
        <v>1708</v>
      </c>
      <c r="B35" s="417"/>
      <c r="C35" s="1080" t="s">
        <v>0</v>
      </c>
      <c r="D35" s="418"/>
      <c r="E35" s="419"/>
      <c r="F35" s="420"/>
      <c r="G35" s="421"/>
      <c r="H35" s="422"/>
      <c r="I35" s="419"/>
      <c r="J35" s="422"/>
      <c r="K35" s="674"/>
      <c r="L35" s="2492"/>
      <c r="M35" s="2485"/>
      <c r="N35" s="2485"/>
      <c r="O35" s="2485"/>
      <c r="P35" s="3415" t="str">
        <f>A35</f>
        <v>成交单价（元/平方米）</v>
      </c>
      <c r="Q35" s="3415"/>
      <c r="R35" s="3410">
        <f>E35</f>
        <v>0</v>
      </c>
      <c r="S35" s="3410"/>
      <c r="T35" s="3410">
        <f>G35</f>
        <v>0</v>
      </c>
      <c r="U35" s="3410"/>
      <c r="V35" s="3410">
        <f>I35</f>
        <v>0</v>
      </c>
      <c r="W35" s="3410"/>
      <c r="X35" s="385"/>
      <c r="Y35" s="673"/>
      <c r="Z35" s="385"/>
      <c r="AA35" s="385"/>
      <c r="AB35" s="385"/>
      <c r="AC35" s="385"/>
    </row>
    <row r="36" spans="1:30" ht="14.5" thickBot="1">
      <c r="A36" s="423" t="s">
        <v>1793</v>
      </c>
      <c r="B36" s="424"/>
      <c r="C36" s="1081" t="e">
        <f>R37</f>
        <v>#DIV/0!</v>
      </c>
      <c r="D36" s="2139" t="s">
        <v>2138</v>
      </c>
      <c r="E36" s="1082" t="e">
        <f>R36</f>
        <v>#DIV/0!</v>
      </c>
      <c r="F36" s="2140"/>
      <c r="G36" s="1081" t="e">
        <f>T36</f>
        <v>#DIV/0!</v>
      </c>
      <c r="H36" s="2140"/>
      <c r="I36" s="1082" t="e">
        <f>V36</f>
        <v>#DIV/0!</v>
      </c>
      <c r="J36" s="2140"/>
      <c r="K36" s="2142">
        <f>F36+H36+J36</f>
        <v>0</v>
      </c>
      <c r="L36" s="2492"/>
      <c r="M36" s="2485"/>
      <c r="N36" s="2485"/>
      <c r="O36" s="2485"/>
      <c r="P36" s="3415" t="str">
        <f>A36</f>
        <v>比较价值（元/平方米）</v>
      </c>
      <c r="Q36" s="3415"/>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412" t="str">
        <f>A37</f>
        <v>估价对象XX用房的比较价值（楼面单价，元/平方米）</v>
      </c>
      <c r="Q37" s="3413"/>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0" priority="13" stopIfTrue="1">
      <formula>$F$40="超过30%"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F7:F34 H7:H34 J7:J34">
    <cfRule type="cellIs" dxfId="67" priority="1" operator="notEqual">
      <formula>100</formula>
    </cfRule>
  </conditionalFormatting>
  <conditionalFormatting sqref="F36">
    <cfRule type="expression" dxfId="66" priority="4">
      <formula>$D$36="简单平均"</formula>
    </cfRule>
  </conditionalFormatting>
  <conditionalFormatting sqref="F40:F42 H40:H42 J40:J42">
    <cfRule type="containsText" dxfId="65" priority="14" stopIfTrue="1" operator="containsText" text="超过">
      <formula>NOT(ISERROR(SEARCH("超过",F40)))</formula>
    </cfRule>
  </conditionalFormatting>
  <conditionalFormatting sqref="G40">
    <cfRule type="expression" dxfId="64" priority="9" stopIfTrue="1">
      <formula>$H$52+$H$40="超过30%"</formula>
    </cfRule>
  </conditionalFormatting>
  <conditionalFormatting sqref="G41">
    <cfRule type="expression" dxfId="63" priority="8" stopIfTrue="1">
      <formula>$H$53+$H$41="超过20%"</formula>
    </cfRule>
  </conditionalFormatting>
  <conditionalFormatting sqref="G42">
    <cfRule type="expression" dxfId="62" priority="12" stopIfTrue="1">
      <formula>$H$54+$H$42="超过30%"</formula>
    </cfRule>
  </conditionalFormatting>
  <conditionalFormatting sqref="H36">
    <cfRule type="expression" dxfId="61" priority="3">
      <formula>$D$36="简单平均"</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J36">
    <cfRule type="expression" dxfId="57"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4"/>
      <c r="M5" s="2485"/>
      <c r="N5" s="2485"/>
      <c r="O5" s="2485"/>
      <c r="P5" s="3404"/>
      <c r="Q5" s="3405"/>
      <c r="R5" s="3387"/>
      <c r="S5" s="3388"/>
      <c r="T5" s="3387"/>
      <c r="U5" s="3388"/>
      <c r="V5" s="3410"/>
      <c r="W5" s="3410"/>
      <c r="X5" s="1264"/>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4.5" thickBot="1">
      <c r="A7" s="352" t="s">
        <v>1679</v>
      </c>
      <c r="B7" s="353"/>
      <c r="C7" s="354">
        <f>'数据-取费表'!B2</f>
        <v>45974</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3" t="s">
        <v>1683</v>
      </c>
      <c r="Q8" s="3384"/>
      <c r="R8" s="664" t="s">
        <v>14</v>
      </c>
      <c r="S8" s="665">
        <f t="shared" si="0"/>
        <v>0</v>
      </c>
      <c r="T8" s="664" t="s">
        <v>14</v>
      </c>
      <c r="U8" s="665">
        <f t="shared" si="1"/>
        <v>0</v>
      </c>
      <c r="V8" s="664" t="s">
        <v>14</v>
      </c>
      <c r="W8" s="665">
        <f t="shared" si="2"/>
        <v>0</v>
      </c>
      <c r="X8" s="666"/>
      <c r="Y8" s="3383" t="s">
        <v>1683</v>
      </c>
      <c r="Z8" s="338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158</v>
      </c>
      <c r="G10" s="402"/>
      <c r="H10" s="119">
        <f>ROUND(100/'数据-取费表'!G16,0)</f>
        <v>158</v>
      </c>
      <c r="I10" s="402"/>
      <c r="J10" s="119">
        <f>ROUND(100/'数据-取费表'!G16,0)</f>
        <v>158</v>
      </c>
      <c r="K10" s="592"/>
      <c r="L10" s="2487"/>
      <c r="M10" s="2488"/>
      <c r="N10" s="2488"/>
      <c r="O10" s="2539"/>
      <c r="P10" s="3415"/>
      <c r="Q10" s="530" t="str">
        <f t="shared" si="6"/>
        <v>土地使用年限（年）</v>
      </c>
      <c r="R10" s="664" t="s">
        <v>14</v>
      </c>
      <c r="S10" s="665">
        <f t="shared" si="0"/>
        <v>158</v>
      </c>
      <c r="T10" s="664" t="s">
        <v>14</v>
      </c>
      <c r="U10" s="665">
        <f t="shared" si="1"/>
        <v>158</v>
      </c>
      <c r="V10" s="664" t="s">
        <v>14</v>
      </c>
      <c r="W10" s="665">
        <f t="shared" si="2"/>
        <v>158</v>
      </c>
      <c r="X10" s="666"/>
      <c r="Y10" s="3327"/>
      <c r="Z10" s="50" t="str">
        <f t="shared" si="7"/>
        <v>土地使用年限（年）</v>
      </c>
      <c r="AA10" s="50">
        <f t="shared" si="3"/>
        <v>0.63291139240506333</v>
      </c>
      <c r="AB10" s="50">
        <f t="shared" si="4"/>
        <v>0.63291139240506333</v>
      </c>
      <c r="AC10" s="50">
        <f t="shared" si="5"/>
        <v>0.63291139240506333</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5"/>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8">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6" t="s">
        <v>1691</v>
      </c>
      <c r="Q15" s="1262" t="str">
        <f t="shared" si="6"/>
        <v>居住社区成熟度</v>
      </c>
      <c r="R15" s="667" t="s">
        <v>14</v>
      </c>
      <c r="S15" s="668">
        <f t="shared" si="0"/>
        <v>100</v>
      </c>
      <c r="T15" s="667" t="s">
        <v>14</v>
      </c>
      <c r="U15" s="668">
        <f t="shared" si="1"/>
        <v>100</v>
      </c>
      <c r="V15" s="667" t="s">
        <v>14</v>
      </c>
      <c r="W15" s="668">
        <f t="shared" si="2"/>
        <v>100</v>
      </c>
      <c r="X15" s="1264"/>
      <c r="Y15" s="3416" t="s">
        <v>1691</v>
      </c>
      <c r="Z15" s="1263" t="str">
        <f t="shared" si="7"/>
        <v>居住社区成熟度</v>
      </c>
      <c r="AA15" s="1263">
        <f t="shared" si="3"/>
        <v>1</v>
      </c>
      <c r="AB15" s="1263">
        <f t="shared" si="4"/>
        <v>1</v>
      </c>
      <c r="AC15" s="1263">
        <f t="shared" si="5"/>
        <v>1</v>
      </c>
    </row>
    <row r="16" spans="1:29" ht="15.5">
      <c r="A16" s="367"/>
      <c r="B16" s="385"/>
      <c r="C16" s="386"/>
      <c r="D16" s="387"/>
      <c r="E16" s="1751"/>
      <c r="F16" s="387"/>
      <c r="G16" s="1751"/>
      <c r="H16" s="389"/>
      <c r="I16" s="1750"/>
      <c r="J16" s="387"/>
      <c r="K16" s="592"/>
      <c r="L16" s="2490"/>
      <c r="M16" s="2485"/>
      <c r="N16" s="2485"/>
      <c r="O16" s="2540"/>
      <c r="P16" s="3417"/>
      <c r="Q16" s="1262"/>
      <c r="R16" s="667"/>
      <c r="S16" s="668"/>
      <c r="T16" s="667"/>
      <c r="U16" s="668"/>
      <c r="V16" s="667"/>
      <c r="W16" s="668"/>
      <c r="X16" s="1264"/>
      <c r="Y16" s="3417"/>
      <c r="Z16" s="1263"/>
      <c r="AA16" s="1263">
        <v>1</v>
      </c>
      <c r="AB16" s="1263">
        <v>1</v>
      </c>
      <c r="AC16" s="1263">
        <v>1</v>
      </c>
    </row>
    <row r="17" spans="1:29" ht="84">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7"/>
      <c r="Q17" s="1262" t="str">
        <f>B17</f>
        <v>商业繁华度</v>
      </c>
      <c r="R17" s="667" t="s">
        <v>14</v>
      </c>
      <c r="S17" s="668">
        <f>F17</f>
        <v>100</v>
      </c>
      <c r="T17" s="667" t="s">
        <v>14</v>
      </c>
      <c r="U17" s="668">
        <f>H17</f>
        <v>100</v>
      </c>
      <c r="V17" s="667" t="s">
        <v>14</v>
      </c>
      <c r="W17" s="668">
        <f>J17</f>
        <v>100</v>
      </c>
      <c r="X17" s="1264"/>
      <c r="Y17" s="3417"/>
      <c r="Z17" s="1263" t="str">
        <f>Q17</f>
        <v>商业繁华度</v>
      </c>
      <c r="AA17" s="1263">
        <f t="shared" si="3"/>
        <v>1</v>
      </c>
      <c r="AB17" s="1263">
        <f t="shared" si="4"/>
        <v>1</v>
      </c>
      <c r="AC17" s="1263">
        <f t="shared" si="5"/>
        <v>1</v>
      </c>
    </row>
    <row r="18" spans="1:29" ht="15.5">
      <c r="A18" s="367"/>
      <c r="B18" s="395"/>
      <c r="C18" s="1754"/>
      <c r="D18" s="389"/>
      <c r="E18" s="1756"/>
      <c r="F18" s="389"/>
      <c r="G18" s="1756"/>
      <c r="H18" s="387"/>
      <c r="I18" s="1755"/>
      <c r="J18" s="387"/>
      <c r="K18" s="592"/>
      <c r="L18" s="2490"/>
      <c r="M18" s="2485"/>
      <c r="N18" s="2485"/>
      <c r="O18" s="2540"/>
      <c r="P18" s="3417"/>
      <c r="Q18" s="1262"/>
      <c r="R18" s="667"/>
      <c r="S18" s="668"/>
      <c r="T18" s="667"/>
      <c r="U18" s="668"/>
      <c r="V18" s="667"/>
      <c r="W18" s="668"/>
      <c r="X18" s="1264"/>
      <c r="Y18" s="3417"/>
      <c r="Z18" s="1263"/>
      <c r="AA18" s="1263">
        <v>1</v>
      </c>
      <c r="AB18" s="1263">
        <v>1</v>
      </c>
      <c r="AC18" s="1263">
        <v>1</v>
      </c>
    </row>
    <row r="19" spans="1:29" ht="84">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7"/>
      <c r="Q19" s="1262" t="str">
        <f>B19</f>
        <v>办公集聚程度</v>
      </c>
      <c r="R19" s="667" t="s">
        <v>14</v>
      </c>
      <c r="S19" s="668">
        <f>F19</f>
        <v>100</v>
      </c>
      <c r="T19" s="667" t="s">
        <v>14</v>
      </c>
      <c r="U19" s="668">
        <f>H19</f>
        <v>100</v>
      </c>
      <c r="V19" s="667" t="s">
        <v>14</v>
      </c>
      <c r="W19" s="668">
        <f>J19</f>
        <v>100</v>
      </c>
      <c r="X19" s="1264"/>
      <c r="Y19" s="3417"/>
      <c r="Z19" s="1263" t="str">
        <f>Q19</f>
        <v>办公集聚程度</v>
      </c>
      <c r="AA19" s="1263">
        <f t="shared" si="3"/>
        <v>1</v>
      </c>
      <c r="AB19" s="1263">
        <f t="shared" si="4"/>
        <v>1</v>
      </c>
      <c r="AC19" s="1263">
        <f t="shared" si="5"/>
        <v>1</v>
      </c>
    </row>
    <row r="20" spans="1:29" ht="15.5">
      <c r="A20" s="367"/>
      <c r="B20" s="395"/>
      <c r="C20" s="386"/>
      <c r="D20" s="387"/>
      <c r="E20" s="1751"/>
      <c r="F20" s="387"/>
      <c r="G20" s="1751"/>
      <c r="H20" s="387"/>
      <c r="I20" s="1750"/>
      <c r="J20" s="387"/>
      <c r="K20" s="592"/>
      <c r="L20" s="2490"/>
      <c r="M20" s="2485"/>
      <c r="N20" s="2485"/>
      <c r="O20" s="2540"/>
      <c r="P20" s="3417"/>
      <c r="Q20" s="1262"/>
      <c r="R20" s="667"/>
      <c r="S20" s="668"/>
      <c r="T20" s="667"/>
      <c r="U20" s="668"/>
      <c r="V20" s="667"/>
      <c r="W20" s="668"/>
      <c r="X20" s="1264"/>
      <c r="Y20" s="3417"/>
      <c r="Z20" s="1263"/>
      <c r="AA20" s="1263">
        <v>1</v>
      </c>
      <c r="AB20" s="1263">
        <v>1</v>
      </c>
      <c r="AC20" s="1263">
        <v>1</v>
      </c>
    </row>
    <row r="21" spans="1:29" ht="98">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7"/>
      <c r="Q21" s="1262" t="str">
        <f>B21</f>
        <v>交通便捷度</v>
      </c>
      <c r="R21" s="667" t="s">
        <v>14</v>
      </c>
      <c r="S21" s="668">
        <f>F21</f>
        <v>100</v>
      </c>
      <c r="T21" s="667" t="s">
        <v>14</v>
      </c>
      <c r="U21" s="668">
        <f>H21</f>
        <v>100</v>
      </c>
      <c r="V21" s="667" t="s">
        <v>14</v>
      </c>
      <c r="W21" s="668">
        <f>J21</f>
        <v>100</v>
      </c>
      <c r="X21" s="1264"/>
      <c r="Y21" s="3417"/>
      <c r="Z21" s="1263" t="str">
        <f>Q21</f>
        <v>交通便捷度</v>
      </c>
      <c r="AA21" s="1263">
        <f t="shared" si="3"/>
        <v>1</v>
      </c>
      <c r="AB21" s="1263">
        <f t="shared" si="4"/>
        <v>1</v>
      </c>
      <c r="AC21" s="1263">
        <f t="shared" si="5"/>
        <v>1</v>
      </c>
    </row>
    <row r="22" spans="1:29" ht="15.5">
      <c r="A22" s="367"/>
      <c r="B22" s="586"/>
      <c r="C22" s="386"/>
      <c r="D22" s="389"/>
      <c r="E22" s="1751"/>
      <c r="F22" s="387"/>
      <c r="G22" s="1751"/>
      <c r="H22" s="387"/>
      <c r="I22" s="1750"/>
      <c r="J22" s="387"/>
      <c r="K22" s="592"/>
      <c r="L22" s="2490"/>
      <c r="M22" s="2485"/>
      <c r="N22" s="2485"/>
      <c r="O22" s="2540"/>
      <c r="P22" s="3417"/>
      <c r="Q22" s="1262"/>
      <c r="R22" s="667"/>
      <c r="S22" s="668"/>
      <c r="T22" s="667"/>
      <c r="U22" s="668"/>
      <c r="V22" s="667"/>
      <c r="W22" s="668"/>
      <c r="X22" s="1264"/>
      <c r="Y22" s="3417"/>
      <c r="Z22" s="1263"/>
      <c r="AA22" s="1263">
        <v>1</v>
      </c>
      <c r="AB22" s="1263">
        <v>1</v>
      </c>
      <c r="AC22" s="1263">
        <v>1</v>
      </c>
    </row>
    <row r="23" spans="1:29" ht="2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7"/>
      <c r="Q23" s="1262" t="str">
        <f t="shared" ref="Q23:Q37" si="8">B23</f>
        <v>区域土地利用方向</v>
      </c>
      <c r="R23" s="667" t="s">
        <v>14</v>
      </c>
      <c r="S23" s="668">
        <f>F23</f>
        <v>100</v>
      </c>
      <c r="T23" s="667" t="s">
        <v>14</v>
      </c>
      <c r="U23" s="668">
        <f>H23</f>
        <v>100</v>
      </c>
      <c r="V23" s="667" t="s">
        <v>14</v>
      </c>
      <c r="W23" s="668">
        <f>J23</f>
        <v>100</v>
      </c>
      <c r="X23" s="1264"/>
      <c r="Y23" s="3417"/>
      <c r="Z23" s="1263" t="str">
        <f>Q23</f>
        <v>区域土地利用方向</v>
      </c>
      <c r="AA23" s="1263">
        <f t="shared" si="3"/>
        <v>1</v>
      </c>
      <c r="AB23" s="1263">
        <f t="shared" si="4"/>
        <v>1</v>
      </c>
      <c r="AC23" s="1263">
        <f t="shared" si="5"/>
        <v>1</v>
      </c>
    </row>
    <row r="24" spans="1:29" ht="15.5">
      <c r="A24" s="348"/>
      <c r="B24" s="395"/>
      <c r="C24" s="542"/>
      <c r="D24" s="387"/>
      <c r="E24" s="1751"/>
      <c r="F24" s="387"/>
      <c r="G24" s="1750"/>
      <c r="H24" s="387"/>
      <c r="I24" s="1750"/>
      <c r="J24" s="387"/>
      <c r="K24" s="697"/>
      <c r="L24" s="2490"/>
      <c r="M24" s="2485"/>
      <c r="N24" s="2485"/>
      <c r="O24" s="2540"/>
      <c r="P24" s="3417"/>
      <c r="Q24" s="1262"/>
      <c r="R24" s="667"/>
      <c r="S24" s="668"/>
      <c r="T24" s="667"/>
      <c r="U24" s="668"/>
      <c r="V24" s="667"/>
      <c r="W24" s="668"/>
      <c r="X24" s="1264"/>
      <c r="Y24" s="3417"/>
      <c r="Z24" s="1263"/>
      <c r="AA24" s="1263"/>
      <c r="AB24" s="1263"/>
      <c r="AC24" s="1263"/>
    </row>
    <row r="25" spans="1:29" ht="56">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7"/>
      <c r="Q25" s="1262" t="str">
        <f t="shared" si="8"/>
        <v>自然及人文环境状况</v>
      </c>
      <c r="R25" s="667" t="s">
        <v>14</v>
      </c>
      <c r="S25" s="668">
        <f>F25</f>
        <v>100</v>
      </c>
      <c r="T25" s="667" t="s">
        <v>14</v>
      </c>
      <c r="U25" s="668">
        <f>H25</f>
        <v>100</v>
      </c>
      <c r="V25" s="667" t="s">
        <v>14</v>
      </c>
      <c r="W25" s="668">
        <f>J25</f>
        <v>100</v>
      </c>
      <c r="X25" s="1264"/>
      <c r="Y25" s="3417"/>
      <c r="Z25" s="1263" t="str">
        <f>Q25</f>
        <v>自然及人文环境状况</v>
      </c>
      <c r="AA25" s="1263">
        <f t="shared" si="3"/>
        <v>1</v>
      </c>
      <c r="AB25" s="1263">
        <f t="shared" si="4"/>
        <v>1</v>
      </c>
      <c r="AC25" s="1263">
        <f t="shared" si="5"/>
        <v>1</v>
      </c>
    </row>
    <row r="26" spans="1:29" ht="15.5">
      <c r="A26" s="348"/>
      <c r="B26" s="395"/>
      <c r="C26" s="386"/>
      <c r="D26" s="387"/>
      <c r="E26" s="1757"/>
      <c r="F26" s="387"/>
      <c r="G26" s="1757"/>
      <c r="H26" s="387"/>
      <c r="I26" s="386"/>
      <c r="J26" s="387"/>
      <c r="K26" s="592"/>
      <c r="L26" s="2490"/>
      <c r="M26" s="2485"/>
      <c r="N26" s="2485"/>
      <c r="O26" s="2540"/>
      <c r="P26" s="3417"/>
      <c r="Q26" s="1262"/>
      <c r="R26" s="667"/>
      <c r="S26" s="668"/>
      <c r="T26" s="667"/>
      <c r="U26" s="668"/>
      <c r="V26" s="667"/>
      <c r="W26" s="668"/>
      <c r="X26" s="1264"/>
      <c r="Y26" s="3417"/>
      <c r="Z26" s="1263"/>
      <c r="AA26" s="1263">
        <v>1</v>
      </c>
      <c r="AB26" s="1263">
        <v>1</v>
      </c>
      <c r="AC26" s="1263">
        <v>1</v>
      </c>
    </row>
    <row r="27" spans="1:29" s="102" customFormat="1" ht="42">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7"/>
      <c r="Q27" s="530" t="str">
        <f t="shared" si="8"/>
        <v>公共配套设施</v>
      </c>
      <c r="R27" s="664" t="s">
        <v>14</v>
      </c>
      <c r="S27" s="665">
        <f>F27</f>
        <v>100</v>
      </c>
      <c r="T27" s="664" t="s">
        <v>14</v>
      </c>
      <c r="U27" s="665">
        <f>H27</f>
        <v>100</v>
      </c>
      <c r="V27" s="664" t="s">
        <v>14</v>
      </c>
      <c r="W27" s="665">
        <f>J27</f>
        <v>100</v>
      </c>
      <c r="X27" s="666"/>
      <c r="Y27" s="3417"/>
      <c r="Z27" s="50" t="str">
        <f>Q27</f>
        <v>公共配套设施</v>
      </c>
      <c r="AA27" s="1263">
        <f>D27/F27</f>
        <v>1</v>
      </c>
      <c r="AB27" s="1263">
        <f>D27/H27</f>
        <v>1</v>
      </c>
      <c r="AC27" s="1263">
        <f>D27/J27</f>
        <v>1</v>
      </c>
    </row>
    <row r="28" spans="1:29" s="102" customFormat="1" ht="15.5">
      <c r="A28" s="443"/>
      <c r="B28" s="395"/>
      <c r="C28" s="1825"/>
      <c r="D28" s="387"/>
      <c r="E28" s="1757"/>
      <c r="F28" s="387"/>
      <c r="G28" s="1757"/>
      <c r="H28" s="387"/>
      <c r="I28" s="386"/>
      <c r="J28" s="387"/>
      <c r="K28" s="592"/>
      <c r="L28" s="2486"/>
      <c r="M28" s="2438"/>
      <c r="N28" s="2438"/>
      <c r="O28" s="2538"/>
      <c r="P28" s="3417"/>
      <c r="Q28" s="530"/>
      <c r="R28" s="664"/>
      <c r="S28" s="665"/>
      <c r="T28" s="664"/>
      <c r="U28" s="665"/>
      <c r="V28" s="664"/>
      <c r="W28" s="665"/>
      <c r="X28" s="666"/>
      <c r="Y28" s="3417"/>
      <c r="Z28" s="50"/>
      <c r="AA28" s="1263">
        <v>1</v>
      </c>
      <c r="AB28" s="1263">
        <v>1</v>
      </c>
      <c r="AC28" s="1263">
        <v>1</v>
      </c>
    </row>
    <row r="29" spans="1:29" s="102" customFormat="1" ht="42">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3">
        <f>D29/F29</f>
        <v>1</v>
      </c>
      <c r="AB29" s="1263">
        <f>D29/H29</f>
        <v>1</v>
      </c>
      <c r="AC29" s="1263">
        <f>D29/J29</f>
        <v>1</v>
      </c>
    </row>
    <row r="30" spans="1:29" s="102" customFormat="1" ht="15.5">
      <c r="A30" s="443"/>
      <c r="B30" s="395"/>
      <c r="C30" s="1825"/>
      <c r="D30" s="387"/>
      <c r="E30" s="1826"/>
      <c r="F30" s="387"/>
      <c r="G30" s="1826"/>
      <c r="H30" s="387"/>
      <c r="I30" s="1826"/>
      <c r="J30" s="387"/>
      <c r="K30" s="592"/>
      <c r="L30" s="2486"/>
      <c r="M30" s="2438"/>
      <c r="N30" s="2438"/>
      <c r="O30" s="2538"/>
      <c r="P30" s="3417"/>
      <c r="Q30" s="530"/>
      <c r="R30" s="664"/>
      <c r="S30" s="665"/>
      <c r="T30" s="664"/>
      <c r="U30" s="665"/>
      <c r="V30" s="664"/>
      <c r="W30" s="665"/>
      <c r="X30" s="666"/>
      <c r="Y30" s="3417"/>
      <c r="Z30" s="50"/>
      <c r="AA30" s="1263">
        <v>1</v>
      </c>
      <c r="AB30" s="1263">
        <v>1</v>
      </c>
      <c r="AC30" s="1263">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7"/>
      <c r="Z31" s="1263" t="str">
        <f t="shared" ref="Z31:Z45" si="13">Q31</f>
        <v>临街状况</v>
      </c>
      <c r="AA31" s="1263">
        <f t="shared" si="3"/>
        <v>1</v>
      </c>
      <c r="AB31" s="1263">
        <f t="shared" si="4"/>
        <v>1</v>
      </c>
      <c r="AC31" s="1263">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7"/>
      <c r="Q32" s="1262" t="str">
        <f t="shared" si="8"/>
        <v>毗邻道路的类型与等级</v>
      </c>
      <c r="R32" s="667" t="s">
        <v>14</v>
      </c>
      <c r="S32" s="668">
        <f t="shared" si="10"/>
        <v>100</v>
      </c>
      <c r="T32" s="667" t="s">
        <v>14</v>
      </c>
      <c r="U32" s="668">
        <f t="shared" si="11"/>
        <v>100</v>
      </c>
      <c r="V32" s="667" t="s">
        <v>14</v>
      </c>
      <c r="W32" s="668">
        <f t="shared" si="12"/>
        <v>100</v>
      </c>
      <c r="X32" s="1264"/>
      <c r="Y32" s="3417"/>
      <c r="Z32" s="1263" t="str">
        <f t="shared" si="13"/>
        <v>毗邻道路的类型与等级</v>
      </c>
      <c r="AA32" s="1263">
        <f t="shared" si="3"/>
        <v>1</v>
      </c>
      <c r="AB32" s="1263">
        <f t="shared" si="4"/>
        <v>1</v>
      </c>
      <c r="AC32" s="1263">
        <f t="shared" si="5"/>
        <v>1</v>
      </c>
    </row>
    <row r="33" spans="1:29" ht="15.5">
      <c r="A33" s="367"/>
      <c r="B33" s="395"/>
      <c r="C33" s="386"/>
      <c r="D33" s="387"/>
      <c r="E33" s="1757"/>
      <c r="F33" s="387"/>
      <c r="G33" s="1757"/>
      <c r="H33" s="387"/>
      <c r="I33" s="386"/>
      <c r="J33" s="387"/>
      <c r="K33" s="539"/>
      <c r="L33" s="2490"/>
      <c r="M33" s="2485"/>
      <c r="N33" s="2485"/>
      <c r="O33" s="2540"/>
      <c r="P33" s="3417"/>
      <c r="Q33" s="1262"/>
      <c r="R33" s="667"/>
      <c r="S33" s="668"/>
      <c r="T33" s="667"/>
      <c r="U33" s="668"/>
      <c r="V33" s="667"/>
      <c r="W33" s="668"/>
      <c r="X33" s="1264"/>
      <c r="Y33" s="3417"/>
      <c r="Z33" s="1263"/>
      <c r="AA33" s="1263">
        <v>1</v>
      </c>
      <c r="AB33" s="1263">
        <v>1</v>
      </c>
      <c r="AC33" s="1263">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7"/>
      <c r="Q34" s="1262" t="str">
        <f t="shared" si="8"/>
        <v>土地级别</v>
      </c>
      <c r="R34" s="667" t="s">
        <v>14</v>
      </c>
      <c r="S34" s="668">
        <f t="shared" si="10"/>
        <v>100</v>
      </c>
      <c r="T34" s="667" t="s">
        <v>14</v>
      </c>
      <c r="U34" s="668">
        <f t="shared" si="11"/>
        <v>100</v>
      </c>
      <c r="V34" s="667" t="s">
        <v>14</v>
      </c>
      <c r="W34" s="668">
        <f t="shared" si="12"/>
        <v>100</v>
      </c>
      <c r="X34" s="1264"/>
      <c r="Y34" s="3417"/>
      <c r="Z34" s="1263" t="str">
        <f t="shared" si="13"/>
        <v>土地级别</v>
      </c>
      <c r="AA34" s="1263">
        <f t="shared" si="3"/>
        <v>1</v>
      </c>
      <c r="AB34" s="1263">
        <f t="shared" si="4"/>
        <v>1</v>
      </c>
      <c r="AC34" s="1263">
        <f t="shared" si="5"/>
        <v>1</v>
      </c>
    </row>
    <row r="35" spans="1:29" ht="15.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7"/>
      <c r="Q35" s="1262">
        <f t="shared" si="8"/>
        <v>111</v>
      </c>
      <c r="R35" s="667" t="s">
        <v>14</v>
      </c>
      <c r="S35" s="668">
        <f t="shared" si="10"/>
        <v>100</v>
      </c>
      <c r="T35" s="667" t="s">
        <v>14</v>
      </c>
      <c r="U35" s="668">
        <f t="shared" si="11"/>
        <v>100</v>
      </c>
      <c r="V35" s="667" t="s">
        <v>14</v>
      </c>
      <c r="W35" s="668">
        <f t="shared" si="12"/>
        <v>100</v>
      </c>
      <c r="X35" s="1264"/>
      <c r="Y35" s="3417"/>
      <c r="Z35" s="1263">
        <f t="shared" si="13"/>
        <v>111</v>
      </c>
      <c r="AA35" s="1263">
        <f t="shared" si="3"/>
        <v>1</v>
      </c>
      <c r="AB35" s="1263">
        <f t="shared" si="4"/>
        <v>1</v>
      </c>
      <c r="AC35" s="1263">
        <f t="shared" si="5"/>
        <v>1</v>
      </c>
    </row>
    <row r="36" spans="1:29" ht="15.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0" t="s">
        <v>1696</v>
      </c>
      <c r="Q36" s="1262">
        <f t="shared" si="8"/>
        <v>111</v>
      </c>
      <c r="R36" s="667" t="s">
        <v>14</v>
      </c>
      <c r="S36" s="668">
        <f t="shared" si="10"/>
        <v>100</v>
      </c>
      <c r="T36" s="667" t="s">
        <v>14</v>
      </c>
      <c r="U36" s="668">
        <f t="shared" si="11"/>
        <v>100</v>
      </c>
      <c r="V36" s="667" t="s">
        <v>14</v>
      </c>
      <c r="W36" s="668">
        <f t="shared" si="12"/>
        <v>100</v>
      </c>
      <c r="X36" s="1264"/>
      <c r="Y36" s="3421" t="s">
        <v>1696</v>
      </c>
      <c r="Z36" s="1263">
        <f t="shared" si="13"/>
        <v>111</v>
      </c>
      <c r="AA36" s="1263">
        <f t="shared" si="3"/>
        <v>1</v>
      </c>
      <c r="AB36" s="1263">
        <f t="shared" si="4"/>
        <v>1</v>
      </c>
      <c r="AC36" s="1263">
        <f t="shared" si="5"/>
        <v>1</v>
      </c>
    </row>
    <row r="37" spans="1:29" s="408" customFormat="1" ht="1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1"/>
      <c r="Q37" s="1262">
        <f t="shared" si="8"/>
        <v>111</v>
      </c>
      <c r="R37" s="669" t="s">
        <v>14</v>
      </c>
      <c r="S37" s="670">
        <f t="shared" si="10"/>
        <v>100</v>
      </c>
      <c r="T37" s="669" t="s">
        <v>14</v>
      </c>
      <c r="U37" s="670">
        <f t="shared" si="11"/>
        <v>100</v>
      </c>
      <c r="V37" s="669" t="s">
        <v>14</v>
      </c>
      <c r="W37" s="670">
        <f t="shared" si="12"/>
        <v>100</v>
      </c>
      <c r="X37" s="671"/>
      <c r="Y37" s="3421"/>
      <c r="Z37" s="672">
        <f t="shared" si="13"/>
        <v>111</v>
      </c>
      <c r="AA37" s="1263">
        <f t="shared" si="3"/>
        <v>1</v>
      </c>
      <c r="AB37" s="1263">
        <f t="shared" si="4"/>
        <v>1</v>
      </c>
      <c r="AC37" s="1263">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1"/>
      <c r="Q38" s="1262" t="str">
        <f>B38</f>
        <v>宗地面积</v>
      </c>
      <c r="R38" s="667" t="s">
        <v>14</v>
      </c>
      <c r="S38" s="668" t="e">
        <f t="shared" si="10"/>
        <v>#N/A</v>
      </c>
      <c r="T38" s="667" t="s">
        <v>14</v>
      </c>
      <c r="U38" s="668" t="e">
        <f t="shared" si="11"/>
        <v>#N/A</v>
      </c>
      <c r="V38" s="667" t="s">
        <v>14</v>
      </c>
      <c r="W38" s="668" t="e">
        <f t="shared" si="12"/>
        <v>#N/A</v>
      </c>
      <c r="X38" s="1264"/>
      <c r="Y38" s="3421"/>
      <c r="Z38" s="1263" t="str">
        <f t="shared" si="13"/>
        <v>宗地面积</v>
      </c>
      <c r="AA38" s="1263" t="e">
        <f t="shared" si="3"/>
        <v>#N/A</v>
      </c>
      <c r="AB38" s="1263" t="e">
        <f t="shared" si="4"/>
        <v>#N/A</v>
      </c>
      <c r="AC38" s="1263" t="e">
        <f t="shared" si="5"/>
        <v>#N/A</v>
      </c>
    </row>
    <row r="39" spans="1:29" ht="15.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1"/>
      <c r="Q39" s="1262" t="str">
        <f t="shared" ref="Q39:Q45" si="14">B39</f>
        <v>宗地形状</v>
      </c>
      <c r="R39" s="667" t="s">
        <v>14</v>
      </c>
      <c r="S39" s="668">
        <f t="shared" si="10"/>
        <v>100</v>
      </c>
      <c r="T39" s="667" t="s">
        <v>14</v>
      </c>
      <c r="U39" s="668">
        <f t="shared" si="11"/>
        <v>100</v>
      </c>
      <c r="V39" s="667" t="s">
        <v>14</v>
      </c>
      <c r="W39" s="668">
        <f t="shared" si="12"/>
        <v>100</v>
      </c>
      <c r="X39" s="1264"/>
      <c r="Y39" s="3421"/>
      <c r="Z39" s="1263" t="str">
        <f t="shared" si="13"/>
        <v>宗地形状</v>
      </c>
      <c r="AA39" s="1263">
        <f t="shared" si="3"/>
        <v>1</v>
      </c>
      <c r="AB39" s="1263">
        <f t="shared" si="4"/>
        <v>1</v>
      </c>
      <c r="AC39" s="1263">
        <f t="shared" si="5"/>
        <v>1</v>
      </c>
    </row>
    <row r="40" spans="1:29" ht="15.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1"/>
      <c r="Q40" s="1262" t="str">
        <f t="shared" si="14"/>
        <v>临街宽度及深度</v>
      </c>
      <c r="R40" s="667" t="s">
        <v>14</v>
      </c>
      <c r="S40" s="668">
        <f t="shared" si="10"/>
        <v>100</v>
      </c>
      <c r="T40" s="667" t="s">
        <v>14</v>
      </c>
      <c r="U40" s="668">
        <f t="shared" si="11"/>
        <v>100</v>
      </c>
      <c r="V40" s="667" t="s">
        <v>14</v>
      </c>
      <c r="W40" s="668">
        <f t="shared" si="12"/>
        <v>100</v>
      </c>
      <c r="X40" s="1264"/>
      <c r="Y40" s="3421"/>
      <c r="Z40" s="1263" t="str">
        <f t="shared" si="13"/>
        <v>临街宽度及深度</v>
      </c>
      <c r="AA40" s="1263">
        <f t="shared" si="3"/>
        <v>1</v>
      </c>
      <c r="AB40" s="1263">
        <f t="shared" si="4"/>
        <v>1</v>
      </c>
      <c r="AC40" s="1263">
        <f t="shared" si="5"/>
        <v>1</v>
      </c>
    </row>
    <row r="41" spans="1:29" s="102" customFormat="1" ht="15.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421"/>
      <c r="Q41" s="1262"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1" t="s">
        <v>1696</v>
      </c>
      <c r="Q42" s="1262" t="str">
        <f t="shared" si="14"/>
        <v>工程地质条件</v>
      </c>
      <c r="R42" s="667" t="s">
        <v>14</v>
      </c>
      <c r="S42" s="668">
        <f t="shared" si="10"/>
        <v>100</v>
      </c>
      <c r="T42" s="667" t="s">
        <v>14</v>
      </c>
      <c r="U42" s="668">
        <f t="shared" si="11"/>
        <v>100</v>
      </c>
      <c r="V42" s="667" t="s">
        <v>14</v>
      </c>
      <c r="W42" s="668">
        <f t="shared" si="12"/>
        <v>100</v>
      </c>
      <c r="X42" s="1264"/>
      <c r="Y42" s="3421" t="s">
        <v>1696</v>
      </c>
      <c r="Z42" s="1263" t="str">
        <f t="shared" si="13"/>
        <v>工程地质条件</v>
      </c>
      <c r="AA42" s="1263">
        <f t="shared" si="3"/>
        <v>1</v>
      </c>
      <c r="AB42" s="1263">
        <f t="shared" si="4"/>
        <v>1</v>
      </c>
      <c r="AC42" s="1263">
        <f t="shared" si="5"/>
        <v>1</v>
      </c>
    </row>
    <row r="43" spans="1:29" ht="15.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1"/>
      <c r="Q43" s="1262">
        <f t="shared" si="14"/>
        <v>111</v>
      </c>
      <c r="R43" s="667" t="s">
        <v>14</v>
      </c>
      <c r="S43" s="668">
        <f t="shared" si="10"/>
        <v>100</v>
      </c>
      <c r="T43" s="667" t="s">
        <v>14</v>
      </c>
      <c r="U43" s="668">
        <f t="shared" si="11"/>
        <v>100</v>
      </c>
      <c r="V43" s="667" t="s">
        <v>14</v>
      </c>
      <c r="W43" s="668">
        <f t="shared" si="12"/>
        <v>100</v>
      </c>
      <c r="X43" s="1264"/>
      <c r="Y43" s="3421"/>
      <c r="Z43" s="1263">
        <f t="shared" si="13"/>
        <v>111</v>
      </c>
      <c r="AA43" s="1263">
        <f t="shared" si="3"/>
        <v>1</v>
      </c>
      <c r="AB43" s="1263">
        <f t="shared" si="4"/>
        <v>1</v>
      </c>
      <c r="AC43" s="1263">
        <f t="shared" si="5"/>
        <v>1</v>
      </c>
    </row>
    <row r="44" spans="1:29" ht="15.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1"/>
      <c r="Q44" s="1262">
        <f t="shared" si="14"/>
        <v>111</v>
      </c>
      <c r="R44" s="667" t="s">
        <v>14</v>
      </c>
      <c r="S44" s="668">
        <f t="shared" si="10"/>
        <v>100</v>
      </c>
      <c r="T44" s="667" t="s">
        <v>14</v>
      </c>
      <c r="U44" s="668">
        <f t="shared" si="11"/>
        <v>100</v>
      </c>
      <c r="V44" s="667" t="s">
        <v>14</v>
      </c>
      <c r="W44" s="668">
        <f t="shared" si="12"/>
        <v>100</v>
      </c>
      <c r="X44" s="1264"/>
      <c r="Y44" s="3421"/>
      <c r="Z44" s="1263">
        <f t="shared" si="13"/>
        <v>111</v>
      </c>
      <c r="AA44" s="1263">
        <f t="shared" si="3"/>
        <v>1</v>
      </c>
      <c r="AB44" s="1263">
        <f t="shared" si="4"/>
        <v>1</v>
      </c>
      <c r="AC44" s="1263">
        <f t="shared" si="5"/>
        <v>1</v>
      </c>
    </row>
    <row r="45" spans="1:29" s="408" customFormat="1" ht="1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1"/>
      <c r="Q45" s="1262">
        <f t="shared" si="14"/>
        <v>111</v>
      </c>
      <c r="R45" s="669" t="s">
        <v>14</v>
      </c>
      <c r="S45" s="670">
        <f t="shared" si="10"/>
        <v>100</v>
      </c>
      <c r="T45" s="669" t="s">
        <v>14</v>
      </c>
      <c r="U45" s="670">
        <f t="shared" si="11"/>
        <v>100</v>
      </c>
      <c r="V45" s="669" t="s">
        <v>14</v>
      </c>
      <c r="W45" s="670">
        <f t="shared" si="12"/>
        <v>100</v>
      </c>
      <c r="X45" s="671"/>
      <c r="Y45" s="3421"/>
      <c r="Z45" s="672">
        <f t="shared" si="13"/>
        <v>111</v>
      </c>
      <c r="AA45" s="1263">
        <f t="shared" si="3"/>
        <v>1</v>
      </c>
      <c r="AB45" s="1263">
        <f t="shared" si="4"/>
        <v>1</v>
      </c>
      <c r="AC45" s="1263">
        <f t="shared" si="5"/>
        <v>1</v>
      </c>
    </row>
    <row r="46" spans="1:29">
      <c r="A46" s="416" t="s">
        <v>1844</v>
      </c>
      <c r="B46" s="1829" t="s">
        <v>1879</v>
      </c>
      <c r="C46" s="602" t="s">
        <v>0</v>
      </c>
      <c r="D46" s="418"/>
      <c r="E46" s="419"/>
      <c r="F46" s="420"/>
      <c r="G46" s="421"/>
      <c r="H46" s="422"/>
      <c r="I46" s="419"/>
      <c r="J46" s="422"/>
      <c r="K46" s="674"/>
      <c r="L46" s="2492"/>
      <c r="M46" s="2485"/>
      <c r="N46" s="2485"/>
      <c r="O46" s="2485"/>
      <c r="P46" s="3415" t="str">
        <f>A46</f>
        <v>成交单价</v>
      </c>
      <c r="Q46" s="3415"/>
      <c r="R46" s="3410">
        <f>E46</f>
        <v>0</v>
      </c>
      <c r="S46" s="3410"/>
      <c r="T46" s="3410">
        <f>G46</f>
        <v>0</v>
      </c>
      <c r="U46" s="3410"/>
      <c r="V46" s="3410">
        <f>I46</f>
        <v>0</v>
      </c>
      <c r="W46" s="3410"/>
      <c r="X46" s="385"/>
      <c r="Y46" s="673"/>
      <c r="Z46" s="385"/>
      <c r="AA46" s="385"/>
      <c r="AB46" s="385"/>
      <c r="AC46" s="385"/>
    </row>
    <row r="47" spans="1:29" ht="14.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5" t="str">
        <f>A47</f>
        <v>比较价值（元/平方米）</v>
      </c>
      <c r="Q47" s="3415"/>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412" t="str">
        <f>A48</f>
        <v>估价对象XX用房的比较价值（楼面单价，元/平方米）</v>
      </c>
      <c r="Q48" s="3413"/>
      <c r="R48" s="3443" t="e">
        <f>ROUND(IF(D47="简单平均",AVERAGE(R47:W47),R47*F47+T47*H47+V47*J47),0)</f>
        <v>#DIV/0!</v>
      </c>
      <c r="S48" s="3443"/>
      <c r="T48" s="3443"/>
      <c r="U48" s="3443"/>
      <c r="V48" s="3443"/>
      <c r="W48" s="344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398" t="s">
        <v>1887</v>
      </c>
      <c r="H55" s="3444"/>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18015.920000000002</v>
      </c>
      <c r="F56" s="832" t="e">
        <f t="shared" ref="F56:F64" si="15">ROUND(B56*E56/10000,0)</f>
        <v>#DIV/0!</v>
      </c>
      <c r="G56" s="3397"/>
      <c r="H56" s="3415"/>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0">
        <v>0.25</v>
      </c>
      <c r="E57" s="614"/>
      <c r="F57" s="832" t="e">
        <f t="shared" si="15"/>
        <v>#DIV/0!</v>
      </c>
      <c r="G57" s="2748" t="s">
        <v>1892</v>
      </c>
      <c r="H57" s="833" t="str">
        <f>项目基本情况!B37</f>
        <v>五级</v>
      </c>
      <c r="I57" s="837">
        <f>SUMIF(修正!A59:A70,H57,修正!B59:B70)</f>
        <v>0.6</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0">
        <v>0.25</v>
      </c>
      <c r="E58" s="614"/>
      <c r="F58" s="832" t="e">
        <f t="shared" si="15"/>
        <v>#DIV/0!</v>
      </c>
      <c r="G58" s="2749"/>
      <c r="H58" s="833" t="str">
        <f>项目基本情况!B37</f>
        <v>五级</v>
      </c>
      <c r="I58" s="837">
        <f>SUMIF(修正!A59:A70,H58,修正!C59:C70)</f>
        <v>0.3</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0">
        <v>0.25</v>
      </c>
      <c r="E59" s="614"/>
      <c r="F59" s="832" t="e">
        <f t="shared" si="15"/>
        <v>#DIV/0!</v>
      </c>
      <c r="G59" s="2749"/>
      <c r="H59" s="833" t="str">
        <f>项目基本情况!B37</f>
        <v>五级</v>
      </c>
      <c r="I59" s="837">
        <f>SUMIF(修正!A59:A70,H59,修正!D59:D70)</f>
        <v>0.25</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0">
        <v>0.25</v>
      </c>
      <c r="E63" s="209">
        <f>'数据-汇总表'!E14</f>
        <v>0</v>
      </c>
      <c r="F63" s="832" t="e">
        <f t="shared" si="15"/>
        <v>#DIV/0!</v>
      </c>
      <c r="G63" s="1834" t="s">
        <v>1892</v>
      </c>
      <c r="H63" s="833" t="str">
        <f>项目基本情况!B37</f>
        <v>五级</v>
      </c>
      <c r="I63" s="837">
        <f>SUMIF(修正!A59:A70,H63,修正!G59:G70)</f>
        <v>0.15</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18015.920000000002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6" priority="13" stopIfTrue="1">
      <formula>$F$51="超过30%"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F7:F45 H7:H45 J7:J45">
    <cfRule type="cellIs" dxfId="53" priority="1" operator="notEqual">
      <formula>100</formula>
    </cfRule>
  </conditionalFormatting>
  <conditionalFormatting sqref="F47">
    <cfRule type="expression" dxfId="52" priority="4">
      <formula>$D$47="简单平均"</formula>
    </cfRule>
  </conditionalFormatting>
  <conditionalFormatting sqref="F51:F53 H51:H53 J51:J53">
    <cfRule type="containsText" dxfId="51" priority="14" stopIfTrue="1" operator="containsText" text="超过">
      <formula>NOT(ISERROR(SEARCH("超过",F51)))</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G53">
    <cfRule type="expression" dxfId="48" priority="12" stopIfTrue="1">
      <formula>$H$53="超过30%"</formula>
    </cfRule>
  </conditionalFormatting>
  <conditionalFormatting sqref="H47">
    <cfRule type="expression" dxfId="47" priority="3">
      <formula>$D$47="简单平均"</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J47">
    <cfRule type="expression" dxfId="4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26953125" style="1389" customWidth="1"/>
    <col min="3" max="3" width="11.36328125" style="1389" customWidth="1"/>
    <col min="4" max="4" width="31.7265625" style="1389" customWidth="1"/>
    <col min="5" max="5" width="0.453125" style="1389" customWidth="1"/>
    <col min="6" max="7" width="13" style="1389" customWidth="1"/>
    <col min="8" max="16384" width="9" style="1389"/>
  </cols>
  <sheetData>
    <row r="1" spans="1:5" ht="18">
      <c r="A1" s="1388"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5" thickBot="1">
      <c r="A4" s="1390"/>
      <c r="B4" s="3173" t="s">
        <v>917</v>
      </c>
      <c r="C4" s="3173"/>
      <c r="D4" s="3173"/>
      <c r="E4" s="1390"/>
    </row>
    <row r="5" spans="1:5" ht="16" thickTop="1">
      <c r="B5" s="3171" t="s">
        <v>909</v>
      </c>
      <c r="C5" s="1391" t="s">
        <v>910</v>
      </c>
      <c r="D5" s="796">
        <f ca="1">结果表房本1!H101</f>
        <v>11982</v>
      </c>
    </row>
    <row r="6" spans="1:5" ht="15.5">
      <c r="B6" s="3171"/>
      <c r="C6" s="1391" t="s">
        <v>911</v>
      </c>
      <c r="D6" s="796" t="str">
        <f ca="1">NUMBERSTRING(INT(D5*10000),2)&amp;"元整"</f>
        <v>壹亿壹仟玖佰捌拾贰万元整</v>
      </c>
    </row>
    <row r="7" spans="1:5" ht="15.5">
      <c r="B7" s="3176"/>
      <c r="C7" s="1392" t="s">
        <v>912</v>
      </c>
      <c r="D7" s="797">
        <f ca="1">结果表房本1!H102</f>
        <v>12041</v>
      </c>
    </row>
    <row r="8" spans="1:5" ht="15.5">
      <c r="B8" s="3177" t="str">
        <f>结果表房本1!E103</f>
        <v>2.估价师知悉的法定优先受偿款</v>
      </c>
      <c r="C8" s="1393" t="s">
        <v>913</v>
      </c>
      <c r="D8" s="797">
        <f>结果表房本1!H103</f>
        <v>0</v>
      </c>
    </row>
    <row r="9" spans="1:5" ht="15.5">
      <c r="B9" s="3179"/>
      <c r="C9" s="1391" t="s">
        <v>911</v>
      </c>
      <c r="D9" s="796" t="str">
        <f>NUMBERSTRING(INT(D8*10000),2)&amp;"元整"</f>
        <v>零元整</v>
      </c>
    </row>
    <row r="10" spans="1:5" ht="16">
      <c r="B10" s="1394" t="s">
        <v>916</v>
      </c>
      <c r="C10" s="1395" t="s">
        <v>914</v>
      </c>
      <c r="D10" s="798">
        <f>结果表房本1!H104</f>
        <v>0</v>
      </c>
    </row>
    <row r="11" spans="1:5" ht="16">
      <c r="B11" s="1394" t="s">
        <v>918</v>
      </c>
      <c r="C11" s="1395" t="s">
        <v>919</v>
      </c>
      <c r="D11" s="798">
        <f>结果表房本1!H105</f>
        <v>0</v>
      </c>
    </row>
    <row r="12" spans="1:5" ht="16">
      <c r="B12" s="1394" t="s">
        <v>920</v>
      </c>
      <c r="C12" s="1395" t="s">
        <v>919</v>
      </c>
      <c r="D12" s="798">
        <f>结果表房本1!H106</f>
        <v>0</v>
      </c>
    </row>
    <row r="13" spans="1:5" ht="15.5">
      <c r="B13" s="3170" t="str">
        <f>结果表房本1!E107</f>
        <v>3.房地产抵押价值</v>
      </c>
      <c r="C13" s="1396" t="s">
        <v>910</v>
      </c>
      <c r="D13" s="799">
        <f ca="1">结果表房本1!H107</f>
        <v>11982</v>
      </c>
    </row>
    <row r="14" spans="1:5" ht="15.5">
      <c r="B14" s="3171"/>
      <c r="C14" s="1391" t="s">
        <v>911</v>
      </c>
      <c r="D14" s="796" t="str">
        <f ca="1">NUMBERSTRING(INT(D13*10000),2)&amp;"元整"</f>
        <v>壹亿壹仟玖佰捌拾贰万元整</v>
      </c>
    </row>
    <row r="15" spans="1:5" ht="15.5">
      <c r="B15" s="3176"/>
      <c r="C15" s="1392" t="s">
        <v>921</v>
      </c>
      <c r="D15" s="805">
        <f ca="1">结果表房本1!H108</f>
        <v>12041</v>
      </c>
    </row>
    <row r="16" spans="1:5" ht="15">
      <c r="B16" s="3177" t="str">
        <f>结果表房本1!E109</f>
        <v>——</v>
      </c>
      <c r="C16" s="1396" t="s">
        <v>922</v>
      </c>
      <c r="D16" s="1397" t="str">
        <f>结果表房本1!H109</f>
        <v>——</v>
      </c>
    </row>
    <row r="17" spans="1:5" ht="15.5">
      <c r="B17" s="3178"/>
      <c r="C17" s="1391" t="s">
        <v>923</v>
      </c>
      <c r="D17" s="796" t="e">
        <f>NUMBERSTRING(INT(D16*10000),2)&amp;"元整"</f>
        <v>#VALUE!</v>
      </c>
    </row>
    <row r="18" spans="1:5" ht="15.5">
      <c r="B18" s="3179"/>
      <c r="C18" s="1392" t="s">
        <v>912</v>
      </c>
      <c r="D18" s="805" t="str">
        <f>结果表房本1!H110</f>
        <v>——</v>
      </c>
    </row>
    <row r="19" spans="1:5" ht="15.5">
      <c r="B19" s="3170" t="str">
        <f>结果表房本1!E111</f>
        <v>——</v>
      </c>
      <c r="C19" s="1396" t="s">
        <v>910</v>
      </c>
      <c r="D19" s="797" t="str">
        <f>结果表房本1!H111</f>
        <v>——</v>
      </c>
    </row>
    <row r="20" spans="1:5" ht="15.5">
      <c r="B20" s="3171"/>
      <c r="C20" s="1391" t="s">
        <v>923</v>
      </c>
      <c r="D20" s="796" t="e">
        <f>NUMBERSTRING(INT(D19*10000),2)&amp;"元整"</f>
        <v>#VALUE!</v>
      </c>
    </row>
    <row r="21" spans="1:5" ht="16" thickBot="1">
      <c r="B21" s="3172"/>
      <c r="C21" s="1398" t="s">
        <v>921</v>
      </c>
      <c r="D21" s="806" t="str">
        <f>结果表房本1!H112</f>
        <v>——</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4"/>
      <c r="M5" s="2485"/>
      <c r="N5" s="2485"/>
      <c r="O5" s="2485"/>
      <c r="P5" s="3404"/>
      <c r="Q5" s="3405"/>
      <c r="R5" s="3387"/>
      <c r="S5" s="3388"/>
      <c r="T5" s="3387"/>
      <c r="U5" s="3388"/>
      <c r="V5" s="3410"/>
      <c r="W5" s="3410"/>
      <c r="X5" s="1264"/>
      <c r="Y5" s="3387"/>
      <c r="Z5" s="3388"/>
      <c r="AA5" s="3381"/>
      <c r="AB5" s="3381"/>
      <c r="AC5" s="3381"/>
    </row>
    <row r="6" spans="1:29" ht="15" thickBot="1">
      <c r="A6" s="350"/>
      <c r="B6" s="351"/>
      <c r="C6" s="3445" t="s">
        <v>1919</v>
      </c>
      <c r="D6" s="3446"/>
      <c r="E6" s="3447" t="s">
        <v>1919</v>
      </c>
      <c r="F6" s="3448"/>
      <c r="G6" s="3445" t="s">
        <v>1919</v>
      </c>
      <c r="H6" s="3446"/>
      <c r="I6" s="3445" t="s">
        <v>1919</v>
      </c>
      <c r="J6" s="3446"/>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4.5" thickBot="1">
      <c r="A7" s="352" t="s">
        <v>1679</v>
      </c>
      <c r="B7" s="353"/>
      <c r="C7" s="354">
        <f>'数据-取费表'!B2</f>
        <v>45974</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3" t="s">
        <v>1683</v>
      </c>
      <c r="Q8" s="3384"/>
      <c r="R8" s="664" t="s">
        <v>14</v>
      </c>
      <c r="S8" s="665">
        <f t="shared" si="0"/>
        <v>0</v>
      </c>
      <c r="T8" s="664" t="s">
        <v>14</v>
      </c>
      <c r="U8" s="665">
        <f t="shared" si="1"/>
        <v>0</v>
      </c>
      <c r="V8" s="664" t="s">
        <v>14</v>
      </c>
      <c r="W8" s="665">
        <f t="shared" si="2"/>
        <v>0</v>
      </c>
      <c r="X8" s="666"/>
      <c r="Y8" s="3383" t="s">
        <v>1683</v>
      </c>
      <c r="Z8" s="338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158</v>
      </c>
      <c r="G10" s="371"/>
      <c r="H10" s="119">
        <f>ROUND(100/'数据-取费表'!G16,0)</f>
        <v>158</v>
      </c>
      <c r="I10" s="371"/>
      <c r="J10" s="119">
        <f>ROUND(100/'数据-取费表'!G16,0)</f>
        <v>158</v>
      </c>
      <c r="K10" s="592"/>
      <c r="L10" s="2487"/>
      <c r="M10" s="2488"/>
      <c r="N10" s="2488"/>
      <c r="O10" s="2539"/>
      <c r="P10" s="3415"/>
      <c r="Q10" s="530" t="str">
        <f t="shared" si="6"/>
        <v>土地使用年限（年）</v>
      </c>
      <c r="R10" s="664" t="s">
        <v>14</v>
      </c>
      <c r="S10" s="665">
        <f t="shared" si="0"/>
        <v>158</v>
      </c>
      <c r="T10" s="664" t="s">
        <v>14</v>
      </c>
      <c r="U10" s="665">
        <f t="shared" si="1"/>
        <v>158</v>
      </c>
      <c r="V10" s="664" t="s">
        <v>14</v>
      </c>
      <c r="W10" s="665">
        <f t="shared" si="2"/>
        <v>158</v>
      </c>
      <c r="X10" s="666"/>
      <c r="Y10" s="3327"/>
      <c r="Z10" s="50" t="str">
        <f t="shared" si="7"/>
        <v>土地使用年限（年）</v>
      </c>
      <c r="AA10" s="50">
        <f t="shared" si="3"/>
        <v>0.63291139240506333</v>
      </c>
      <c r="AB10" s="50">
        <f t="shared" si="4"/>
        <v>0.63291139240506333</v>
      </c>
      <c r="AC10" s="50">
        <f t="shared" si="5"/>
        <v>0.63291139240506333</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70">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6" t="s">
        <v>1691</v>
      </c>
      <c r="Q15" s="1262" t="str">
        <f t="shared" si="6"/>
        <v>产业集聚程度</v>
      </c>
      <c r="R15" s="667" t="s">
        <v>14</v>
      </c>
      <c r="S15" s="668">
        <f t="shared" si="0"/>
        <v>100</v>
      </c>
      <c r="T15" s="667" t="s">
        <v>14</v>
      </c>
      <c r="U15" s="668">
        <f t="shared" si="1"/>
        <v>100</v>
      </c>
      <c r="V15" s="667" t="s">
        <v>14</v>
      </c>
      <c r="W15" s="668">
        <f t="shared" si="2"/>
        <v>100</v>
      </c>
      <c r="X15" s="1264"/>
      <c r="Y15" s="3416" t="s">
        <v>1691</v>
      </c>
      <c r="Z15" s="1263" t="str">
        <f t="shared" si="7"/>
        <v>产业集聚程度</v>
      </c>
      <c r="AA15" s="1263">
        <f t="shared" si="3"/>
        <v>1</v>
      </c>
      <c r="AB15" s="1263">
        <f t="shared" si="4"/>
        <v>1</v>
      </c>
      <c r="AC15" s="1263">
        <f t="shared" si="5"/>
        <v>1</v>
      </c>
    </row>
    <row r="16" spans="1:29" ht="15.5">
      <c r="A16" s="367"/>
      <c r="B16" s="555"/>
      <c r="C16" s="386"/>
      <c r="D16" s="387"/>
      <c r="E16" s="1757"/>
      <c r="F16" s="387"/>
      <c r="G16" s="1757"/>
      <c r="H16" s="389"/>
      <c r="I16" s="1757"/>
      <c r="J16" s="387"/>
      <c r="K16" s="592"/>
      <c r="L16" s="2490"/>
      <c r="M16" s="2485"/>
      <c r="N16" s="2485"/>
      <c r="O16" s="2540"/>
      <c r="P16" s="3417"/>
      <c r="Q16" s="1262"/>
      <c r="R16" s="667"/>
      <c r="S16" s="668"/>
      <c r="T16" s="667"/>
      <c r="U16" s="668"/>
      <c r="V16" s="667"/>
      <c r="W16" s="668"/>
      <c r="X16" s="1264"/>
      <c r="Y16" s="3417"/>
      <c r="Z16" s="1263"/>
      <c r="AA16" s="1263">
        <v>1</v>
      </c>
      <c r="AB16" s="1263">
        <v>1</v>
      </c>
      <c r="AC16" s="1263">
        <v>1</v>
      </c>
    </row>
    <row r="17" spans="1:29" ht="98">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7"/>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5">
      <c r="A18" s="367"/>
      <c r="B18" s="401"/>
      <c r="C18" s="386"/>
      <c r="D18" s="387"/>
      <c r="E18" s="1751"/>
      <c r="F18" s="387"/>
      <c r="G18" s="1751"/>
      <c r="H18" s="387"/>
      <c r="I18" s="1750"/>
      <c r="J18" s="387"/>
      <c r="K18" s="592"/>
      <c r="L18" s="2490"/>
      <c r="M18" s="2485"/>
      <c r="N18" s="2485"/>
      <c r="O18" s="2540"/>
      <c r="P18" s="3417"/>
      <c r="Q18" s="1262"/>
      <c r="R18" s="667"/>
      <c r="S18" s="668"/>
      <c r="T18" s="667"/>
      <c r="U18" s="668"/>
      <c r="V18" s="667"/>
      <c r="W18" s="668"/>
      <c r="X18" s="1264"/>
      <c r="Y18" s="3417"/>
      <c r="Z18" s="1263"/>
      <c r="AA18" s="1263">
        <v>1</v>
      </c>
      <c r="AB18" s="1263">
        <v>1</v>
      </c>
      <c r="AC18" s="1263">
        <v>1</v>
      </c>
    </row>
    <row r="19" spans="1:29" ht="2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7"/>
      <c r="Q19" s="1262" t="str">
        <f t="shared" ref="Q19:Q33" si="8">B19</f>
        <v>区域土地利用方向</v>
      </c>
      <c r="R19" s="667" t="s">
        <v>14</v>
      </c>
      <c r="S19" s="668">
        <f>F19</f>
        <v>100</v>
      </c>
      <c r="T19" s="667" t="s">
        <v>14</v>
      </c>
      <c r="U19" s="668">
        <f>H19</f>
        <v>100</v>
      </c>
      <c r="V19" s="667" t="s">
        <v>14</v>
      </c>
      <c r="W19" s="668">
        <f>J19</f>
        <v>100</v>
      </c>
      <c r="X19" s="1264"/>
      <c r="Y19" s="3417"/>
      <c r="Z19" s="1263" t="str">
        <f>Q19</f>
        <v>区域土地利用方向</v>
      </c>
      <c r="AA19" s="1263">
        <f t="shared" si="3"/>
        <v>1</v>
      </c>
      <c r="AB19" s="1263">
        <f t="shared" si="4"/>
        <v>1</v>
      </c>
      <c r="AC19" s="1263">
        <f t="shared" si="5"/>
        <v>1</v>
      </c>
    </row>
    <row r="20" spans="1:29" ht="15.5">
      <c r="A20" s="348"/>
      <c r="B20" s="401"/>
      <c r="C20" s="386"/>
      <c r="D20" s="387"/>
      <c r="E20" s="1751"/>
      <c r="F20" s="387"/>
      <c r="G20" s="1751"/>
      <c r="H20" s="387"/>
      <c r="I20" s="1751"/>
      <c r="J20" s="387"/>
      <c r="K20" s="697"/>
      <c r="L20" s="2490"/>
      <c r="M20" s="2485"/>
      <c r="N20" s="2485"/>
      <c r="O20" s="2540"/>
      <c r="P20" s="3417"/>
      <c r="Q20" s="1262"/>
      <c r="R20" s="667"/>
      <c r="S20" s="668"/>
      <c r="T20" s="667"/>
      <c r="U20" s="668"/>
      <c r="V20" s="667"/>
      <c r="W20" s="668"/>
      <c r="X20" s="1264"/>
      <c r="Y20" s="3417"/>
      <c r="Z20" s="1263"/>
      <c r="AA20" s="1263"/>
      <c r="AB20" s="1263"/>
      <c r="AC20" s="1263"/>
    </row>
    <row r="21" spans="1:29" ht="84">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7"/>
      <c r="Q21" s="1262" t="str">
        <f t="shared" si="8"/>
        <v>环境状况</v>
      </c>
      <c r="R21" s="667" t="s">
        <v>14</v>
      </c>
      <c r="S21" s="668">
        <f>F21</f>
        <v>100</v>
      </c>
      <c r="T21" s="667" t="s">
        <v>14</v>
      </c>
      <c r="U21" s="668">
        <f>H21</f>
        <v>100</v>
      </c>
      <c r="V21" s="667" t="s">
        <v>14</v>
      </c>
      <c r="W21" s="668">
        <f>J21</f>
        <v>100</v>
      </c>
      <c r="X21" s="1264"/>
      <c r="Y21" s="3417"/>
      <c r="Z21" s="1263" t="str">
        <f>Q21</f>
        <v>环境状况</v>
      </c>
      <c r="AA21" s="1263">
        <f t="shared" si="3"/>
        <v>1</v>
      </c>
      <c r="AB21" s="1263">
        <f t="shared" si="4"/>
        <v>1</v>
      </c>
      <c r="AC21" s="1263">
        <f t="shared" si="5"/>
        <v>1</v>
      </c>
    </row>
    <row r="22" spans="1:29" ht="15.5">
      <c r="A22" s="348"/>
      <c r="B22" s="401"/>
      <c r="C22" s="386"/>
      <c r="D22" s="387"/>
      <c r="E22" s="1757"/>
      <c r="F22" s="387"/>
      <c r="G22" s="1757"/>
      <c r="H22" s="387"/>
      <c r="I22" s="386"/>
      <c r="J22" s="387"/>
      <c r="K22" s="592"/>
      <c r="L22" s="2490"/>
      <c r="M22" s="2485"/>
      <c r="N22" s="2485"/>
      <c r="O22" s="2540"/>
      <c r="P22" s="3417"/>
      <c r="Q22" s="1262"/>
      <c r="R22" s="667"/>
      <c r="S22" s="668"/>
      <c r="T22" s="667"/>
      <c r="U22" s="668"/>
      <c r="V22" s="667"/>
      <c r="W22" s="668"/>
      <c r="X22" s="1264"/>
      <c r="Y22" s="3417"/>
      <c r="Z22" s="1263"/>
      <c r="AA22" s="1263">
        <v>1</v>
      </c>
      <c r="AB22" s="1263">
        <v>1</v>
      </c>
      <c r="AC22" s="1263">
        <v>1</v>
      </c>
    </row>
    <row r="23" spans="1:29" s="102" customFormat="1" ht="42">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3">
        <f>D23/F23</f>
        <v>1</v>
      </c>
      <c r="AB23" s="1263">
        <f>D23/H23</f>
        <v>1</v>
      </c>
      <c r="AC23" s="1263">
        <f>D23/J23</f>
        <v>1</v>
      </c>
    </row>
    <row r="24" spans="1:29" s="102" customFormat="1" ht="15.5">
      <c r="A24" s="443"/>
      <c r="B24" s="401"/>
      <c r="C24" s="1825"/>
      <c r="D24" s="387"/>
      <c r="E24" s="1757"/>
      <c r="F24" s="387"/>
      <c r="G24" s="1757"/>
      <c r="H24" s="387"/>
      <c r="I24" s="386"/>
      <c r="J24" s="387"/>
      <c r="K24" s="592"/>
      <c r="L24" s="2486"/>
      <c r="M24" s="2438"/>
      <c r="N24" s="2438"/>
      <c r="O24" s="2538"/>
      <c r="P24" s="3417"/>
      <c r="Q24" s="530"/>
      <c r="R24" s="664"/>
      <c r="S24" s="665"/>
      <c r="T24" s="664"/>
      <c r="U24" s="665"/>
      <c r="V24" s="664"/>
      <c r="W24" s="665"/>
      <c r="X24" s="666"/>
      <c r="Y24" s="3417"/>
      <c r="Z24" s="50"/>
      <c r="AA24" s="50">
        <v>1</v>
      </c>
      <c r="AB24" s="50">
        <v>1</v>
      </c>
      <c r="AC24" s="50">
        <v>1</v>
      </c>
    </row>
    <row r="25" spans="1:29" s="102" customFormat="1" ht="42">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3">
        <f>D25/F25</f>
        <v>1</v>
      </c>
      <c r="AB25" s="1263">
        <f>D25/H25</f>
        <v>1</v>
      </c>
      <c r="AC25" s="1263">
        <f>D25/J25</f>
        <v>1</v>
      </c>
    </row>
    <row r="26" spans="1:29" s="102" customFormat="1" ht="15.5">
      <c r="A26" s="443"/>
      <c r="B26" s="401"/>
      <c r="C26" s="1825"/>
      <c r="D26" s="387"/>
      <c r="E26" s="1826"/>
      <c r="F26" s="387"/>
      <c r="G26" s="1826"/>
      <c r="H26" s="387"/>
      <c r="I26" s="1826"/>
      <c r="J26" s="387"/>
      <c r="K26" s="592"/>
      <c r="L26" s="2486"/>
      <c r="M26" s="2438"/>
      <c r="N26" s="2438"/>
      <c r="O26" s="2538"/>
      <c r="P26" s="3417"/>
      <c r="Q26" s="530"/>
      <c r="R26" s="664"/>
      <c r="S26" s="665"/>
      <c r="T26" s="664"/>
      <c r="U26" s="665"/>
      <c r="V26" s="664"/>
      <c r="W26" s="665"/>
      <c r="X26" s="666"/>
      <c r="Y26" s="341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7"/>
      <c r="Z27" s="1263" t="str">
        <f t="shared" ref="Z27:Z40" si="13">Q27</f>
        <v>临街状况</v>
      </c>
      <c r="AA27" s="1263">
        <f t="shared" si="3"/>
        <v>1</v>
      </c>
      <c r="AB27" s="1263">
        <f t="shared" si="4"/>
        <v>1</v>
      </c>
      <c r="AC27" s="1263">
        <f t="shared" si="5"/>
        <v>1</v>
      </c>
    </row>
    <row r="28" spans="1:29" ht="2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7"/>
      <c r="Q28" s="1262" t="str">
        <f t="shared" si="8"/>
        <v>毗邻道路的类型与等级</v>
      </c>
      <c r="R28" s="667" t="s">
        <v>14</v>
      </c>
      <c r="S28" s="668">
        <f t="shared" si="10"/>
        <v>100</v>
      </c>
      <c r="T28" s="667" t="s">
        <v>14</v>
      </c>
      <c r="U28" s="668">
        <f t="shared" si="11"/>
        <v>100</v>
      </c>
      <c r="V28" s="667" t="s">
        <v>14</v>
      </c>
      <c r="W28" s="668">
        <f t="shared" si="12"/>
        <v>100</v>
      </c>
      <c r="X28" s="1264"/>
      <c r="Y28" s="3417"/>
      <c r="Z28" s="1263" t="str">
        <f t="shared" si="13"/>
        <v>毗邻道路的类型与等级</v>
      </c>
      <c r="AA28" s="1263">
        <f t="shared" si="3"/>
        <v>1</v>
      </c>
      <c r="AB28" s="1263">
        <f t="shared" si="4"/>
        <v>1</v>
      </c>
      <c r="AC28" s="1263">
        <f t="shared" si="5"/>
        <v>1</v>
      </c>
    </row>
    <row r="29" spans="1:29" ht="15.5">
      <c r="A29" s="367"/>
      <c r="B29" s="401"/>
      <c r="C29" s="386"/>
      <c r="D29" s="387"/>
      <c r="E29" s="1757"/>
      <c r="F29" s="387"/>
      <c r="G29" s="1757"/>
      <c r="H29" s="387"/>
      <c r="I29" s="1757"/>
      <c r="J29" s="387"/>
      <c r="K29" s="539"/>
      <c r="L29" s="2490"/>
      <c r="M29" s="2485"/>
      <c r="N29" s="2485"/>
      <c r="O29" s="2540"/>
      <c r="P29" s="3417"/>
      <c r="Q29" s="1262"/>
      <c r="R29" s="667"/>
      <c r="S29" s="668"/>
      <c r="T29" s="667"/>
      <c r="U29" s="668"/>
      <c r="V29" s="667"/>
      <c r="W29" s="668"/>
      <c r="X29" s="1264"/>
      <c r="Y29" s="3417"/>
      <c r="Z29" s="1263"/>
      <c r="AA29" s="1263">
        <v>1</v>
      </c>
      <c r="AB29" s="1263">
        <v>1</v>
      </c>
      <c r="AC29" s="1263">
        <v>1</v>
      </c>
    </row>
    <row r="30" spans="1:29" ht="15.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7"/>
      <c r="Q30" s="1262" t="str">
        <f t="shared" si="8"/>
        <v>土地级别</v>
      </c>
      <c r="R30" s="667" t="s">
        <v>14</v>
      </c>
      <c r="S30" s="668">
        <f t="shared" si="10"/>
        <v>100</v>
      </c>
      <c r="T30" s="667" t="s">
        <v>14</v>
      </c>
      <c r="U30" s="668">
        <f t="shared" si="11"/>
        <v>100</v>
      </c>
      <c r="V30" s="667" t="s">
        <v>14</v>
      </c>
      <c r="W30" s="668">
        <f t="shared" si="12"/>
        <v>100</v>
      </c>
      <c r="X30" s="1264"/>
      <c r="Y30" s="3417"/>
      <c r="Z30" s="1263" t="str">
        <f t="shared" si="13"/>
        <v>土地级别</v>
      </c>
      <c r="AA30" s="1263">
        <f t="shared" si="3"/>
        <v>1</v>
      </c>
      <c r="AB30" s="1263">
        <f t="shared" si="4"/>
        <v>1</v>
      </c>
      <c r="AC30" s="1263">
        <f t="shared" si="5"/>
        <v>1</v>
      </c>
    </row>
    <row r="31" spans="1:29" ht="15.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7"/>
      <c r="Q31" s="1262">
        <f t="shared" si="8"/>
        <v>111</v>
      </c>
      <c r="R31" s="667" t="s">
        <v>14</v>
      </c>
      <c r="S31" s="668">
        <f t="shared" si="10"/>
        <v>100</v>
      </c>
      <c r="T31" s="667" t="s">
        <v>14</v>
      </c>
      <c r="U31" s="668">
        <f t="shared" si="11"/>
        <v>100</v>
      </c>
      <c r="V31" s="667" t="s">
        <v>14</v>
      </c>
      <c r="W31" s="668">
        <f t="shared" si="12"/>
        <v>100</v>
      </c>
      <c r="X31" s="1264"/>
      <c r="Y31" s="3417"/>
      <c r="Z31" s="1263">
        <f t="shared" si="13"/>
        <v>111</v>
      </c>
      <c r="AA31" s="1263">
        <f t="shared" si="3"/>
        <v>1</v>
      </c>
      <c r="AB31" s="1263">
        <f t="shared" si="4"/>
        <v>1</v>
      </c>
      <c r="AC31" s="1263">
        <f t="shared" si="5"/>
        <v>1</v>
      </c>
    </row>
    <row r="32" spans="1:29" ht="15.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0" t="s">
        <v>1696</v>
      </c>
      <c r="Q32" s="1262">
        <f t="shared" si="8"/>
        <v>111</v>
      </c>
      <c r="R32" s="667" t="s">
        <v>14</v>
      </c>
      <c r="S32" s="668">
        <f t="shared" si="10"/>
        <v>100</v>
      </c>
      <c r="T32" s="667" t="s">
        <v>14</v>
      </c>
      <c r="U32" s="668">
        <f t="shared" si="11"/>
        <v>100</v>
      </c>
      <c r="V32" s="667" t="s">
        <v>14</v>
      </c>
      <c r="W32" s="668">
        <f t="shared" si="12"/>
        <v>100</v>
      </c>
      <c r="X32" s="1264"/>
      <c r="Y32" s="3421" t="s">
        <v>1696</v>
      </c>
      <c r="Z32" s="1263">
        <f t="shared" si="13"/>
        <v>111</v>
      </c>
      <c r="AA32" s="1263">
        <f t="shared" si="3"/>
        <v>1</v>
      </c>
      <c r="AB32" s="1263">
        <f t="shared" si="4"/>
        <v>1</v>
      </c>
      <c r="AC32" s="1263">
        <f t="shared" si="5"/>
        <v>1</v>
      </c>
    </row>
    <row r="33" spans="1:31" s="408" customFormat="1" ht="1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1"/>
      <c r="Q33" s="1262">
        <f t="shared" si="8"/>
        <v>111</v>
      </c>
      <c r="R33" s="669" t="s">
        <v>14</v>
      </c>
      <c r="S33" s="670">
        <f t="shared" si="10"/>
        <v>100</v>
      </c>
      <c r="T33" s="669" t="s">
        <v>14</v>
      </c>
      <c r="U33" s="670">
        <f t="shared" si="11"/>
        <v>100</v>
      </c>
      <c r="V33" s="669" t="s">
        <v>14</v>
      </c>
      <c r="W33" s="670">
        <f t="shared" si="12"/>
        <v>100</v>
      </c>
      <c r="X33" s="671"/>
      <c r="Y33" s="3421"/>
      <c r="Z33" s="672">
        <f t="shared" si="13"/>
        <v>111</v>
      </c>
      <c r="AA33" s="1263">
        <f t="shared" si="3"/>
        <v>1</v>
      </c>
      <c r="AB33" s="1263">
        <f t="shared" si="4"/>
        <v>1</v>
      </c>
      <c r="AC33" s="1263">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1"/>
      <c r="Q34" s="1262" t="str">
        <f>B34</f>
        <v>宗地面积</v>
      </c>
      <c r="R34" s="667" t="s">
        <v>14</v>
      </c>
      <c r="S34" s="668" t="e">
        <f t="shared" si="10"/>
        <v>#N/A</v>
      </c>
      <c r="T34" s="667" t="s">
        <v>14</v>
      </c>
      <c r="U34" s="668" t="e">
        <f t="shared" si="11"/>
        <v>#N/A</v>
      </c>
      <c r="V34" s="667" t="s">
        <v>14</v>
      </c>
      <c r="W34" s="668" t="e">
        <f t="shared" si="12"/>
        <v>#N/A</v>
      </c>
      <c r="X34" s="1264"/>
      <c r="Y34" s="3421"/>
      <c r="Z34" s="1263" t="str">
        <f t="shared" si="13"/>
        <v>宗地面积</v>
      </c>
      <c r="AA34" s="1263" t="e">
        <f t="shared" si="3"/>
        <v>#N/A</v>
      </c>
      <c r="AB34" s="1263" t="e">
        <f t="shared" si="4"/>
        <v>#N/A</v>
      </c>
      <c r="AC34" s="1263" t="e">
        <f t="shared" si="5"/>
        <v>#N/A</v>
      </c>
    </row>
    <row r="35" spans="1:31" ht="15.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1"/>
      <c r="Q35" s="1262" t="str">
        <f t="shared" ref="Q35:Q40" si="14">B35</f>
        <v>宗地形状</v>
      </c>
      <c r="R35" s="667" t="s">
        <v>14</v>
      </c>
      <c r="S35" s="668">
        <f t="shared" si="10"/>
        <v>100</v>
      </c>
      <c r="T35" s="667" t="s">
        <v>14</v>
      </c>
      <c r="U35" s="668">
        <f t="shared" si="11"/>
        <v>100</v>
      </c>
      <c r="V35" s="667" t="s">
        <v>14</v>
      </c>
      <c r="W35" s="668">
        <f t="shared" si="12"/>
        <v>100</v>
      </c>
      <c r="X35" s="1264"/>
      <c r="Y35" s="3421"/>
      <c r="Z35" s="1263" t="str">
        <f t="shared" si="13"/>
        <v>宗地形状</v>
      </c>
      <c r="AA35" s="1263">
        <f t="shared" si="3"/>
        <v>1</v>
      </c>
      <c r="AB35" s="1263">
        <f t="shared" si="4"/>
        <v>1</v>
      </c>
      <c r="AC35" s="1263">
        <f t="shared" si="5"/>
        <v>1</v>
      </c>
    </row>
    <row r="36" spans="1:31" s="102" customFormat="1" ht="15.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421"/>
      <c r="Q36" s="1262"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1" t="s">
        <v>1696</v>
      </c>
      <c r="Q37" s="1262" t="str">
        <f t="shared" si="14"/>
        <v>工程地质条件</v>
      </c>
      <c r="R37" s="667" t="s">
        <v>14</v>
      </c>
      <c r="S37" s="668">
        <f t="shared" si="10"/>
        <v>100</v>
      </c>
      <c r="T37" s="667" t="s">
        <v>14</v>
      </c>
      <c r="U37" s="668">
        <f t="shared" si="11"/>
        <v>100</v>
      </c>
      <c r="V37" s="667" t="s">
        <v>14</v>
      </c>
      <c r="W37" s="668">
        <f t="shared" si="12"/>
        <v>100</v>
      </c>
      <c r="X37" s="1264"/>
      <c r="Y37" s="3421" t="s">
        <v>1696</v>
      </c>
      <c r="Z37" s="1263" t="str">
        <f t="shared" si="13"/>
        <v>工程地质条件</v>
      </c>
      <c r="AA37" s="1263">
        <f t="shared" si="3"/>
        <v>1</v>
      </c>
      <c r="AB37" s="1263">
        <f t="shared" si="4"/>
        <v>1</v>
      </c>
      <c r="AC37" s="1263">
        <f t="shared" si="5"/>
        <v>1</v>
      </c>
    </row>
    <row r="38" spans="1:31" ht="15.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1"/>
      <c r="Q38" s="1262">
        <f t="shared" si="14"/>
        <v>111</v>
      </c>
      <c r="R38" s="667" t="s">
        <v>14</v>
      </c>
      <c r="S38" s="668">
        <f t="shared" si="10"/>
        <v>100</v>
      </c>
      <c r="T38" s="667" t="s">
        <v>14</v>
      </c>
      <c r="U38" s="668">
        <f t="shared" si="11"/>
        <v>100</v>
      </c>
      <c r="V38" s="667" t="s">
        <v>14</v>
      </c>
      <c r="W38" s="668">
        <f t="shared" si="12"/>
        <v>100</v>
      </c>
      <c r="X38" s="1264"/>
      <c r="Y38" s="3421"/>
      <c r="Z38" s="1263">
        <f t="shared" si="13"/>
        <v>111</v>
      </c>
      <c r="AA38" s="1263">
        <f t="shared" si="3"/>
        <v>1</v>
      </c>
      <c r="AB38" s="1263">
        <f t="shared" si="4"/>
        <v>1</v>
      </c>
      <c r="AC38" s="1263">
        <f t="shared" si="5"/>
        <v>1</v>
      </c>
    </row>
    <row r="39" spans="1:31" ht="15.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1"/>
      <c r="Q39" s="1262">
        <f t="shared" si="14"/>
        <v>111</v>
      </c>
      <c r="R39" s="667" t="s">
        <v>14</v>
      </c>
      <c r="S39" s="668">
        <f t="shared" si="10"/>
        <v>100</v>
      </c>
      <c r="T39" s="667" t="s">
        <v>14</v>
      </c>
      <c r="U39" s="668">
        <f t="shared" si="11"/>
        <v>100</v>
      </c>
      <c r="V39" s="667" t="s">
        <v>14</v>
      </c>
      <c r="W39" s="668">
        <f t="shared" si="12"/>
        <v>100</v>
      </c>
      <c r="X39" s="1264"/>
      <c r="Y39" s="3421"/>
      <c r="Z39" s="1263">
        <f t="shared" si="13"/>
        <v>111</v>
      </c>
      <c r="AA39" s="1263">
        <f t="shared" si="3"/>
        <v>1</v>
      </c>
      <c r="AB39" s="1263">
        <f t="shared" si="4"/>
        <v>1</v>
      </c>
      <c r="AC39" s="1263">
        <f t="shared" si="5"/>
        <v>1</v>
      </c>
    </row>
    <row r="40" spans="1:31" s="408" customFormat="1" ht="1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1"/>
      <c r="Q40" s="1262">
        <f t="shared" si="14"/>
        <v>111</v>
      </c>
      <c r="R40" s="669" t="s">
        <v>14</v>
      </c>
      <c r="S40" s="670">
        <f t="shared" si="10"/>
        <v>100</v>
      </c>
      <c r="T40" s="669" t="s">
        <v>14</v>
      </c>
      <c r="U40" s="670">
        <f t="shared" si="11"/>
        <v>100</v>
      </c>
      <c r="V40" s="669" t="s">
        <v>14</v>
      </c>
      <c r="W40" s="670">
        <f t="shared" si="12"/>
        <v>100</v>
      </c>
      <c r="X40" s="671"/>
      <c r="Y40" s="3421"/>
      <c r="Z40" s="672">
        <f t="shared" si="13"/>
        <v>111</v>
      </c>
      <c r="AA40" s="1263">
        <f t="shared" si="3"/>
        <v>1</v>
      </c>
      <c r="AB40" s="1263">
        <f t="shared" si="4"/>
        <v>1</v>
      </c>
      <c r="AC40" s="1263">
        <f t="shared" si="5"/>
        <v>1</v>
      </c>
    </row>
    <row r="41" spans="1:31">
      <c r="A41" s="416" t="s">
        <v>1844</v>
      </c>
      <c r="B41" s="1829" t="s">
        <v>1922</v>
      </c>
      <c r="C41" s="602" t="s">
        <v>0</v>
      </c>
      <c r="D41" s="418"/>
      <c r="E41" s="419"/>
      <c r="F41" s="420"/>
      <c r="G41" s="421"/>
      <c r="H41" s="422"/>
      <c r="I41" s="419"/>
      <c r="J41" s="422"/>
      <c r="K41" s="674"/>
      <c r="L41" s="2492"/>
      <c r="M41" s="2485"/>
      <c r="N41" s="2485"/>
      <c r="O41" s="2485"/>
      <c r="P41" s="3415" t="str">
        <f>A41</f>
        <v>成交单价</v>
      </c>
      <c r="Q41" s="3415"/>
      <c r="R41" s="3410">
        <f>E41</f>
        <v>0</v>
      </c>
      <c r="S41" s="3410"/>
      <c r="T41" s="3410">
        <f>G41</f>
        <v>0</v>
      </c>
      <c r="U41" s="3410"/>
      <c r="V41" s="3410">
        <f>I41</f>
        <v>0</v>
      </c>
      <c r="W41" s="3410"/>
      <c r="X41" s="385"/>
      <c r="Y41" s="673"/>
      <c r="Z41" s="385"/>
      <c r="AA41" s="385"/>
      <c r="AB41" s="385"/>
      <c r="AC41" s="385"/>
    </row>
    <row r="42" spans="1:31" ht="14.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5" t="str">
        <f>A42</f>
        <v>比较价值（元/平方米）</v>
      </c>
      <c r="Q42" s="3415"/>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412" t="str">
        <f>A43</f>
        <v>估价对象XX用房的比较价值（楼面单价，元/平方米）</v>
      </c>
      <c r="Q43" s="3413"/>
      <c r="R43" s="3443" t="e">
        <f>ROUND(IF(D42="简单平均",AVERAGE(R42:W42),R42*F42+T42*H42+V42*J42),0)</f>
        <v>#DIV/0!</v>
      </c>
      <c r="S43" s="3443"/>
      <c r="T43" s="3443"/>
      <c r="U43" s="3443"/>
      <c r="V43" s="3443"/>
      <c r="W43" s="344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0" t="s">
        <v>1883</v>
      </c>
      <c r="D50" s="1831" t="s">
        <v>1884</v>
      </c>
      <c r="E50" s="606" t="s">
        <v>1885</v>
      </c>
      <c r="F50" s="607" t="s">
        <v>1886</v>
      </c>
      <c r="G50" s="3398" t="s">
        <v>1887</v>
      </c>
      <c r="H50" s="3444"/>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18015.920000000002</v>
      </c>
      <c r="F51" s="611" t="e">
        <f t="shared" ref="F51:F60" si="15">ROUND(B51*E51/10000,0)</f>
        <v>#DIV/0!</v>
      </c>
      <c r="G51" s="3397"/>
      <c r="H51" s="3415"/>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0">
        <v>0.25</v>
      </c>
      <c r="E52" s="614"/>
      <c r="F52" s="611" t="e">
        <f t="shared" si="15"/>
        <v>#DIV/0!</v>
      </c>
      <c r="G52" s="2748" t="s">
        <v>1892</v>
      </c>
      <c r="H52" s="833" t="str">
        <f>项目基本情况!B37</f>
        <v>五级</v>
      </c>
      <c r="I52" s="726">
        <f>SUMIF(修正!A59:A70,H52,修正!B59:B70)</f>
        <v>0.6</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0">
        <v>0.25</v>
      </c>
      <c r="E53" s="614"/>
      <c r="F53" s="611" t="e">
        <f t="shared" si="15"/>
        <v>#DIV/0!</v>
      </c>
      <c r="G53" s="2749"/>
      <c r="H53" s="833" t="str">
        <f>项目基本情况!B37</f>
        <v>五级</v>
      </c>
      <c r="I53" s="726">
        <f>SUMIF(修正!A59:A70,H53,修正!C59:C70)</f>
        <v>0.3</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0">
        <v>0.25</v>
      </c>
      <c r="E54" s="614"/>
      <c r="F54" s="611" t="e">
        <f t="shared" si="15"/>
        <v>#DIV/0!</v>
      </c>
      <c r="G54" s="2749"/>
      <c r="H54" s="833" t="str">
        <f>项目基本情况!B37</f>
        <v>五级</v>
      </c>
      <c r="I54" s="726">
        <f>SUMIF(修正!A59:A70,H54,修正!D59:D70)</f>
        <v>0.25</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SUMIF(修正!A59:A70,H56,修正!E59:E70)</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SUMIF(修正!A59:A70,H57,修正!F59:F70)</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SUMIF(修正!A59:A70,H58,修正!G59:G70)</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0">
        <v>0.25</v>
      </c>
      <c r="E59" s="209">
        <f>'数据-汇总表'!E14</f>
        <v>0</v>
      </c>
      <c r="F59" s="611" t="e">
        <f t="shared" si="15"/>
        <v>#DIV/0!</v>
      </c>
      <c r="G59" s="1834" t="s">
        <v>1892</v>
      </c>
      <c r="H59" s="833" t="str">
        <f>项目基本情况!B37</f>
        <v>五级</v>
      </c>
      <c r="I59" s="726">
        <f>SUMIF(修正!A59:A70,H59,修正!G59:G70)</f>
        <v>0.15</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SUMIF(修正!A59:A70,H60,修正!G59:G70)</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5"/>
      <c r="P64" s="2535"/>
      <c r="Q64" s="2506"/>
      <c r="R64" s="2485"/>
      <c r="S64" s="2485"/>
      <c r="T64" s="2485"/>
      <c r="U64" s="2485"/>
      <c r="V64" s="2485"/>
      <c r="W64" s="2485"/>
      <c r="X64" s="2485"/>
      <c r="Y64" s="2485"/>
      <c r="Z64" s="2485"/>
      <c r="AA64" s="2485"/>
      <c r="AB64" s="2485"/>
      <c r="AC64" s="2485"/>
      <c r="AD64" s="2485"/>
      <c r="AE64" s="2485"/>
    </row>
    <row r="65" spans="1:31" s="442" customFormat="1">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2" priority="13" stopIfTrue="1">
      <formula>$F$46="超过30%"</formula>
    </cfRule>
  </conditionalFormatting>
  <conditionalFormatting sqref="E47">
    <cfRule type="expression" dxfId="41" priority="53" stopIfTrue="1">
      <formula>#REF!+$F$47="超过20%"</formula>
    </cfRule>
  </conditionalFormatting>
  <conditionalFormatting sqref="E48">
    <cfRule type="expression" dxfId="40" priority="10" stopIfTrue="1">
      <formula>$F$48="超过30%"</formula>
    </cfRule>
  </conditionalFormatting>
  <conditionalFormatting sqref="F7:F40 H7:H40 J7:J40">
    <cfRule type="cellIs" dxfId="39" priority="1" operator="notEqual">
      <formula>100</formula>
    </cfRule>
  </conditionalFormatting>
  <conditionalFormatting sqref="F42">
    <cfRule type="expression" dxfId="38" priority="4">
      <formula>$D$42="简单平均"</formula>
    </cfRule>
  </conditionalFormatting>
  <conditionalFormatting sqref="F46:F48 H46:H48 J46:J48">
    <cfRule type="containsText" dxfId="37" priority="14" stopIfTrue="1" operator="containsText" text="超过">
      <formula>NOT(ISERROR(SEARCH("超过",F46)))</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G48">
    <cfRule type="expression" dxfId="34" priority="12" stopIfTrue="1">
      <formula>$H$48="超过30%"</formula>
    </cfRule>
  </conditionalFormatting>
  <conditionalFormatting sqref="H42">
    <cfRule type="expression" dxfId="33" priority="3">
      <formula>$D$42="简单平均"</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J42">
    <cfRule type="expression" dxfId="29"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52" t="s">
        <v>2084</v>
      </c>
      <c r="D1" s="3453"/>
      <c r="E1" s="3453"/>
      <c r="F1" s="3453"/>
      <c r="G1" s="3453"/>
      <c r="H1" s="3453"/>
      <c r="I1" s="3453"/>
      <c r="J1" s="3453"/>
      <c r="K1" s="3453"/>
      <c r="L1" s="3453"/>
      <c r="M1" s="3453"/>
      <c r="N1" s="3453"/>
      <c r="O1" s="3453"/>
      <c r="P1" s="3453"/>
      <c r="Q1" s="3453"/>
      <c r="R1" s="3453"/>
      <c r="S1" s="3454"/>
      <c r="T1" s="928" t="s">
        <v>2085</v>
      </c>
    </row>
    <row r="2" spans="1:45" s="625" customFormat="1" ht="13">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ht="13">
      <c r="A19" s="121"/>
      <c r="B19" s="151"/>
      <c r="C19" s="151"/>
      <c r="D19" s="1987" t="s">
        <v>2095</v>
      </c>
      <c r="E19" s="1252"/>
      <c r="F19" s="1252"/>
      <c r="G19" s="1252"/>
      <c r="H19" s="995"/>
      <c r="I19" s="151"/>
      <c r="J19" s="151"/>
      <c r="K19" s="151"/>
      <c r="L19" s="151"/>
      <c r="M19" s="151"/>
      <c r="N19" s="151"/>
      <c r="O19" s="151"/>
      <c r="P19" s="151"/>
      <c r="Q19" s="151"/>
      <c r="R19" s="151"/>
      <c r="S19" s="121"/>
    </row>
    <row r="20" spans="1:45" ht="16"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5">
      <c r="A2" s="1983" t="s">
        <v>2073</v>
      </c>
      <c r="B2" s="2386">
        <f ca="1">SUMIF(B6:B13,"&lt;&gt;#ref!",B6:B13)</f>
        <v>1253</v>
      </c>
      <c r="C2" s="1983" t="s">
        <v>2074</v>
      </c>
      <c r="D2" s="1983" t="s">
        <v>2075</v>
      </c>
      <c r="E2" s="2396">
        <f ca="1">SUMIF(E6:E13,"&lt;&gt;#ref!",E6:E13)</f>
        <v>2228.25</v>
      </c>
      <c r="F2" s="2542"/>
      <c r="G2" s="2542"/>
      <c r="H2" s="2542"/>
      <c r="I2" s="2542"/>
      <c r="J2" s="2542"/>
      <c r="K2" s="2542"/>
      <c r="L2" s="2542"/>
      <c r="M2" s="2542"/>
      <c r="N2" s="2542"/>
      <c r="O2" s="2542"/>
      <c r="P2" s="2542"/>
    </row>
    <row r="3" spans="1:16" ht="15.5">
      <c r="A3" s="1983" t="s">
        <v>2076</v>
      </c>
      <c r="B3" s="2386">
        <f ca="1">ROUND(B2*10000/E2,0)</f>
        <v>5623</v>
      </c>
      <c r="C3" s="1983"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4"/>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1253</v>
      </c>
      <c r="C6" s="1983" t="s">
        <v>2074</v>
      </c>
      <c r="D6" s="2542"/>
      <c r="E6" s="2396">
        <f ca="1">SUMIF(INDIRECT("'"&amp;A6&amp;"'"&amp;"!C:C"),"建筑面积",INDIRECT("'"&amp;A6&amp;"'"&amp;"!D:D"))</f>
        <v>2228.25</v>
      </c>
      <c r="F6" s="2542"/>
      <c r="G6" s="2542"/>
      <c r="H6" s="2542"/>
      <c r="I6" s="2542"/>
      <c r="J6" s="2542"/>
      <c r="K6" s="2542"/>
      <c r="L6" s="2542"/>
      <c r="M6" s="2542"/>
      <c r="N6" s="2542"/>
      <c r="O6" s="2542"/>
      <c r="P6" s="2542"/>
    </row>
    <row r="7" spans="1:16" ht="15.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F3A32-6503-472F-9BCD-CCF20EF07359}">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t="s">
        <v>3517</v>
      </c>
      <c r="D1" s="1270" t="s">
        <v>43</v>
      </c>
      <c r="E1" s="1271" t="s">
        <v>678</v>
      </c>
      <c r="F1" s="998">
        <f ca="1">J53</f>
        <v>16.04</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1834</v>
      </c>
      <c r="C2" s="1288" t="s">
        <v>805</v>
      </c>
      <c r="D2" s="1288"/>
      <c r="E2" s="1294"/>
      <c r="F2" s="1295"/>
      <c r="G2" s="2476"/>
      <c r="H2" s="2466"/>
      <c r="I2" s="2466"/>
      <c r="J2" s="2466"/>
      <c r="K2" s="2467"/>
      <c r="L2" s="2466"/>
      <c r="M2" s="2466"/>
    </row>
    <row r="3" spans="1:37" ht="18" customHeight="1" thickBot="1">
      <c r="A3" s="1296" t="s">
        <v>806</v>
      </c>
      <c r="B3" s="1297">
        <f ca="1">IF(ISERROR(B2*10000/F43),0,ROUND(B2*10000/F43,0))</f>
        <v>8581</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180</v>
      </c>
      <c r="D5" s="1272" t="s">
        <v>693</v>
      </c>
      <c r="E5" s="1007"/>
      <c r="F5" s="1008"/>
      <c r="G5" s="1291"/>
      <c r="H5" s="291">
        <v>1</v>
      </c>
      <c r="I5" s="292" t="s">
        <v>692</v>
      </c>
      <c r="J5" s="1006">
        <f ca="1">J6+J10+J12</f>
        <v>0</v>
      </c>
      <c r="K5" s="1272" t="s">
        <v>693</v>
      </c>
      <c r="L5" s="1007"/>
      <c r="M5" s="1008"/>
    </row>
    <row r="6" spans="1:37" ht="18" customHeight="1">
      <c r="A6" s="1005" t="s">
        <v>398</v>
      </c>
      <c r="B6" s="3356" t="s">
        <v>694</v>
      </c>
      <c r="C6" s="1010">
        <f ca="1">ROUND(F6*F8*F7*(1-F9)/10000,0)</f>
        <v>180</v>
      </c>
      <c r="D6" s="147" t="s">
        <v>2109</v>
      </c>
      <c r="E6" s="294" t="s">
        <v>696</v>
      </c>
      <c r="F6" s="295">
        <f ca="1">INDIRECT("'数据-取费表'!u"&amp;$G$1)</f>
        <v>2.56</v>
      </c>
      <c r="G6" s="1291"/>
      <c r="H6" s="1005" t="s">
        <v>398</v>
      </c>
      <c r="I6" s="3356" t="s">
        <v>694</v>
      </c>
      <c r="J6" s="293">
        <f ca="1">ROUND(M6*M8*M7*(1-M9)/10000,0)</f>
        <v>0</v>
      </c>
      <c r="K6" s="147" t="s">
        <v>2108</v>
      </c>
      <c r="L6" s="294" t="s">
        <v>696</v>
      </c>
      <c r="M6" s="295">
        <f ca="1">INDIRECT("'数据-取费表'!z"&amp;$G$1)</f>
        <v>0</v>
      </c>
    </row>
    <row r="7" spans="1:37" ht="18" customHeight="1">
      <c r="A7" s="1009"/>
      <c r="B7" s="3357"/>
      <c r="C7" s="1011"/>
      <c r="D7" s="299"/>
      <c r="E7" s="1012" t="s">
        <v>697</v>
      </c>
      <c r="F7" s="295">
        <f ca="1">IF(INDIRECT("'数据-取费表'!ah"&amp;$G$1)="",INDIRECT("'数据-取费表'!k"&amp;$G$1),INDIRECT("'数据-取费表'!ah"&amp;$G$1))</f>
        <v>2137.38</v>
      </c>
      <c r="G7" s="1291"/>
      <c r="H7" s="296"/>
      <c r="I7" s="3357"/>
      <c r="J7" s="298"/>
      <c r="K7" s="299"/>
      <c r="L7" s="294" t="s">
        <v>697</v>
      </c>
      <c r="M7" s="295">
        <f ca="1">F7</f>
        <v>2137.38</v>
      </c>
    </row>
    <row r="8" spans="1:37" ht="18" customHeight="1">
      <c r="A8" s="296"/>
      <c r="B8" s="3357"/>
      <c r="C8" s="298"/>
      <c r="D8" s="299"/>
      <c r="E8" s="294" t="s">
        <v>698</v>
      </c>
      <c r="F8" s="295">
        <f ca="1">INDIRECT("'数据-取费表'!ai"&amp;$G$1)</f>
        <v>365</v>
      </c>
      <c r="G8" s="1291"/>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1"/>
      <c r="H9" s="296"/>
      <c r="I9" s="335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3489</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815</v>
      </c>
      <c r="D13" s="1017" t="s">
        <v>705</v>
      </c>
      <c r="E13" s="1017" t="s">
        <v>706</v>
      </c>
      <c r="F13" s="1018">
        <f ca="1">INDIRECT("'数据-取费表'!y"&amp;$G$1)</f>
        <v>0.74</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748</v>
      </c>
      <c r="D14" s="1256" t="s">
        <v>708</v>
      </c>
      <c r="E14" s="1254"/>
      <c r="F14" s="311"/>
      <c r="G14" s="1291"/>
      <c r="H14" s="927" t="s">
        <v>398</v>
      </c>
      <c r="I14" s="294" t="s">
        <v>709</v>
      </c>
      <c r="J14" s="21">
        <f ca="1">C29</f>
        <v>1101</v>
      </c>
      <c r="K14" s="12"/>
      <c r="L14" s="758"/>
      <c r="M14" s="759"/>
    </row>
    <row r="15" spans="1:37" s="1303" customFormat="1" ht="18" customHeight="1" thickBot="1">
      <c r="A15" s="927" t="s">
        <v>399</v>
      </c>
      <c r="B15" s="294" t="s">
        <v>710</v>
      </c>
      <c r="C15" s="21">
        <f ca="1">ROUND(C14*F15,0)</f>
        <v>37</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6</v>
      </c>
      <c r="K16" s="1023" t="s">
        <v>715</v>
      </c>
      <c r="L16" s="1024"/>
      <c r="M16" s="1008"/>
    </row>
    <row r="17" spans="1:37" s="1303" customFormat="1" ht="18" customHeight="1">
      <c r="A17" s="927" t="s">
        <v>681</v>
      </c>
      <c r="B17" s="294" t="s">
        <v>716</v>
      </c>
      <c r="C17" s="21">
        <f ca="1">ROUND(F17*(F43+INDIRECT("'数据-取费表'!S"&amp;$G$1))/10000,0)</f>
        <v>43</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15</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843</v>
      </c>
      <c r="D19" s="123" t="s">
        <v>726</v>
      </c>
      <c r="E19" s="1268"/>
      <c r="F19" s="23"/>
      <c r="G19" s="1291"/>
      <c r="H19" s="927" t="s">
        <v>399</v>
      </c>
      <c r="I19" s="294" t="s">
        <v>727</v>
      </c>
      <c r="J19" s="21">
        <f ca="1">IF(K19="按租金收入计税",ROUND(J6*M19/(1+'数据-取费表'!C42),2),ROUND(C29*M19*0.7,2))</f>
        <v>0</v>
      </c>
      <c r="K19" s="1277" t="s">
        <v>3333</v>
      </c>
      <c r="L19" s="294" t="s">
        <v>712</v>
      </c>
      <c r="M19" s="314">
        <f>IF(K19="按租金收入计税",'数据-取费表'!B51,'数据-取费表'!B50)</f>
        <v>0.12</v>
      </c>
    </row>
    <row r="20" spans="1:37" s="1303" customFormat="1" ht="18" customHeight="1">
      <c r="A20" s="927" t="s">
        <v>402</v>
      </c>
      <c r="B20" s="294" t="s">
        <v>728</v>
      </c>
      <c r="C20" s="21">
        <f ca="1">ROUND(C19*F20,0)</f>
        <v>17</v>
      </c>
      <c r="D20" s="315" t="s">
        <v>729</v>
      </c>
      <c r="E20" s="294" t="s">
        <v>712</v>
      </c>
      <c r="F20" s="314">
        <f>'数据-取费表'!B37</f>
        <v>0.02</v>
      </c>
      <c r="G20" s="1302"/>
      <c r="H20" s="927"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5.51</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-6</v>
      </c>
      <c r="K25" s="1031" t="s">
        <v>753</v>
      </c>
      <c r="L25" s="1032"/>
      <c r="M25" s="1033"/>
    </row>
    <row r="26" spans="1:37" ht="13">
      <c r="A26" s="927" t="s">
        <v>397</v>
      </c>
      <c r="B26" s="294" t="s">
        <v>754</v>
      </c>
      <c r="C26" s="21">
        <f ca="1">ROUND((C19+C20)*F26,0)</f>
        <v>129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1101</v>
      </c>
      <c r="D29" s="1028"/>
      <c r="E29" s="1026"/>
      <c r="F29" s="1029"/>
      <c r="G29" s="1302"/>
      <c r="H29" s="325" t="s">
        <v>396</v>
      </c>
      <c r="I29" s="326" t="s">
        <v>768</v>
      </c>
      <c r="J29" s="327">
        <f ca="1">ROUND(J26/(1+F40)^F41,0)</f>
        <v>0</v>
      </c>
      <c r="K29" s="328" t="s">
        <v>769</v>
      </c>
      <c r="L29" s="329"/>
      <c r="M29" s="330">
        <f ca="1">INDIRECT("'数据-取费表'!k"&amp;$G$1)</f>
        <v>2137.38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38</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ROUND(IF(AND(项目基本情况!B11="自然人",项目基本情况!B10="北京市"),C6*F31/(1+'数据-取费表'!C42),C32+C33+C34),2)</f>
        <v>30.17</v>
      </c>
      <c r="D31" s="1256" t="s">
        <v>720</v>
      </c>
      <c r="E31" s="1255" t="s">
        <v>770</v>
      </c>
      <c r="F31" s="2137"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IF(项目基本情况!B11="自然人","——",ROUND(C6*F32/(1+'数据-取费表'!C42),2))</f>
        <v>9.6</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20.57</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1.5</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5.51</v>
      </c>
      <c r="D36" s="1255" t="s">
        <v>771</v>
      </c>
      <c r="E36" s="294" t="s">
        <v>712</v>
      </c>
      <c r="F36" s="320">
        <f ca="1">INDIRECT("'数据-取费表'!Ak"&amp;$G$1)</f>
        <v>5.0000000000000001E-3</v>
      </c>
      <c r="G36" s="1291"/>
      <c r="H36" s="2471"/>
      <c r="I36" s="1304"/>
      <c r="J36" s="1305"/>
      <c r="K36" s="2329"/>
      <c r="L36" s="2471"/>
      <c r="M36" s="2471"/>
    </row>
    <row r="37" spans="1:18" ht="18" customHeight="1">
      <c r="A37" s="927" t="s">
        <v>437</v>
      </c>
      <c r="B37" s="294" t="s">
        <v>742</v>
      </c>
      <c r="C37" s="21">
        <f ca="1">ROUND(C13*F37,2)</f>
        <v>0.82</v>
      </c>
      <c r="D37" s="1255" t="s">
        <v>743</v>
      </c>
      <c r="E37" s="294" t="s">
        <v>712</v>
      </c>
      <c r="F37" s="321">
        <f ca="1">INDIRECT("'数据-取费表'!Al"&amp;$G$1)</f>
        <v>1E-3</v>
      </c>
      <c r="G37" s="1291"/>
      <c r="H37" s="2471"/>
      <c r="I37" s="1304"/>
      <c r="J37" s="1305"/>
      <c r="K37" s="2329"/>
      <c r="L37" s="2471"/>
      <c r="M37" s="2471"/>
    </row>
    <row r="38" spans="1:18" ht="18" customHeight="1" thickBot="1">
      <c r="A38" s="1025" t="s">
        <v>683</v>
      </c>
      <c r="B38" s="1026" t="s">
        <v>728</v>
      </c>
      <c r="C38" s="1027">
        <f ca="1">ROUND(C5*F38,2)</f>
        <v>1.8</v>
      </c>
      <c r="D38" s="1028" t="s">
        <v>748</v>
      </c>
      <c r="E38" s="1026" t="s">
        <v>712</v>
      </c>
      <c r="F38" s="1022">
        <f ca="1">INDIRECT("'数据-取费表'!Am"&amp;$G$1)</f>
        <v>0.01</v>
      </c>
      <c r="G38" s="1291"/>
      <c r="H38" s="2471"/>
      <c r="I38" s="1304"/>
      <c r="J38" s="1305"/>
      <c r="K38" s="2469"/>
      <c r="L38" s="2471"/>
      <c r="M38" s="2471"/>
    </row>
    <row r="39" spans="1:18" ht="24.65" customHeight="1" thickTop="1">
      <c r="A39" s="1015" t="s">
        <v>394</v>
      </c>
      <c r="B39" s="1030" t="s">
        <v>752</v>
      </c>
      <c r="C39" s="302">
        <f ca="1">C5-C30</f>
        <v>142</v>
      </c>
      <c r="D39" s="1031" t="s">
        <v>753</v>
      </c>
      <c r="E39" s="1032"/>
      <c r="F39" s="1033"/>
      <c r="G39" s="1291"/>
      <c r="H39" s="2471"/>
      <c r="I39" s="1304"/>
      <c r="J39" s="1305"/>
      <c r="K39" s="2469"/>
      <c r="L39" s="2471"/>
      <c r="M39" s="2471"/>
    </row>
    <row r="40" spans="1:18" ht="18" customHeight="1">
      <c r="A40" s="291" t="s">
        <v>395</v>
      </c>
      <c r="B40" s="292" t="s">
        <v>774</v>
      </c>
      <c r="C40" s="293">
        <f ca="1">ROUND(C39*(1-((1+F42)/(1+F40))^F41)/(F40-F42),0)</f>
        <v>1696</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16.04</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7935</v>
      </c>
      <c r="D43" s="328" t="s">
        <v>777</v>
      </c>
      <c r="E43" s="329" t="s">
        <v>778</v>
      </c>
      <c r="F43" s="330">
        <f ca="1">INDIRECT("'数据-取费表'!k"&amp;$G$1)</f>
        <v>2137.38</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4" thickBot="1">
      <c r="A46" s="1310" t="s">
        <v>809</v>
      </c>
      <c r="C46" s="1311">
        <f ca="1">C68-C40</f>
        <v>-1759</v>
      </c>
      <c r="D46" s="1312" t="str">
        <f>C2</f>
        <v>万元</v>
      </c>
      <c r="E46" s="1306"/>
      <c r="F46" s="1306"/>
      <c r="I46" s="1313" t="s">
        <v>810</v>
      </c>
      <c r="J46" s="1314"/>
      <c r="K46" s="1315"/>
      <c r="L46" s="1316">
        <f ca="1">IF(M47="住宅",0,IF(L48&gt;J51,L60,J60))</f>
        <v>138</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t="s">
        <v>3490</v>
      </c>
      <c r="K47" s="1322" t="s">
        <v>816</v>
      </c>
      <c r="L47" s="1323">
        <f ca="1">INDIRECT("'数据-取费表'!d"&amp;$G$1)</f>
        <v>40</v>
      </c>
      <c r="M47" s="1287" t="str">
        <f>IF(ISNUMBER(FIND("住宅",C1)),"住宅","非住宅")</f>
        <v>非住宅</v>
      </c>
      <c r="O47" s="1324" t="s">
        <v>403</v>
      </c>
      <c r="P47" s="1325" t="s">
        <v>817</v>
      </c>
      <c r="Q47" s="1326">
        <f ca="1">C40+J29</f>
        <v>1696</v>
      </c>
      <c r="R47" s="1326" t="s">
        <v>818</v>
      </c>
    </row>
    <row r="48" spans="1:18" s="1291" customFormat="1" ht="43.5" thickBot="1">
      <c r="A48" s="1046" t="s">
        <v>438</v>
      </c>
      <c r="B48" s="292" t="s">
        <v>692</v>
      </c>
      <c r="C48" s="1267">
        <f ca="1">C49+C53+C55</f>
        <v>0</v>
      </c>
      <c r="D48" s="1048"/>
      <c r="E48" s="1049"/>
      <c r="F48" s="907"/>
      <c r="G48" s="681"/>
      <c r="H48" s="682"/>
      <c r="I48" s="1327" t="s">
        <v>819</v>
      </c>
      <c r="J48" s="1328" t="s">
        <v>3491</v>
      </c>
      <c r="K48" s="1329" t="s">
        <v>820</v>
      </c>
      <c r="L48" s="1330">
        <f ca="1">INDIRECT("'数据-取费表'!f"&amp;$G$1)</f>
        <v>16.04</v>
      </c>
      <c r="O48" s="1324" t="s">
        <v>404</v>
      </c>
      <c r="P48" s="1325" t="s">
        <v>821</v>
      </c>
      <c r="Q48" s="1326">
        <f ca="1">J60</f>
        <v>138</v>
      </c>
      <c r="R48" s="1326" t="s">
        <v>822</v>
      </c>
    </row>
    <row r="49" spans="1:18" s="1291" customFormat="1" ht="13.5" thickBot="1">
      <c r="A49" s="920" t="s">
        <v>439</v>
      </c>
      <c r="B49" s="1278" t="s">
        <v>779</v>
      </c>
      <c r="C49" s="1050">
        <f ca="1">ROUND(F49*F51*F50*(1-F52)/10000,0)</f>
        <v>0</v>
      </c>
      <c r="D49" s="991" t="s">
        <v>2108</v>
      </c>
      <c r="E49" s="1279" t="s">
        <v>780</v>
      </c>
      <c r="F49" s="996"/>
      <c r="H49" s="682"/>
      <c r="I49" s="1327" t="s">
        <v>823</v>
      </c>
      <c r="J49" s="1331">
        <f>'数据-取费表'!O18</f>
        <v>2005</v>
      </c>
      <c r="K49" s="1329" t="s">
        <v>824</v>
      </c>
      <c r="L49" s="1332"/>
      <c r="O49" s="1333" t="s">
        <v>405</v>
      </c>
      <c r="P49" s="1325" t="s">
        <v>825</v>
      </c>
      <c r="Q49" s="1326">
        <f ca="1">C29</f>
        <v>1101</v>
      </c>
      <c r="R49" s="1326" t="s">
        <v>818</v>
      </c>
    </row>
    <row r="50" spans="1:18" s="1291" customFormat="1" ht="13.5" thickBot="1">
      <c r="A50" s="921"/>
      <c r="B50" s="924"/>
      <c r="C50" s="1054"/>
      <c r="D50" s="898"/>
      <c r="E50" s="992" t="s">
        <v>697</v>
      </c>
      <c r="F50" s="993">
        <f ca="1">F7</f>
        <v>2137.38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1458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16.04</v>
      </c>
      <c r="R52" s="1326" t="s">
        <v>835</v>
      </c>
    </row>
    <row r="53" spans="1:18" s="1291" customFormat="1" ht="26.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16.04</v>
      </c>
      <c r="K53" s="3354" t="s">
        <v>837</v>
      </c>
      <c r="L53" s="3355"/>
      <c r="O53" s="1324" t="s">
        <v>409</v>
      </c>
      <c r="P53" s="1325" t="s">
        <v>838</v>
      </c>
      <c r="Q53" s="1326">
        <f ca="1">Q47+Q48</f>
        <v>1834</v>
      </c>
      <c r="R53" s="1326" t="s">
        <v>410</v>
      </c>
    </row>
    <row r="54" spans="1:18" s="1291" customFormat="1" ht="26.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40" thickTop="1" thickBot="1">
      <c r="A56" s="902">
        <v>2</v>
      </c>
      <c r="B56" s="903" t="s">
        <v>704</v>
      </c>
      <c r="C56" s="224">
        <f ca="1">C13</f>
        <v>815</v>
      </c>
      <c r="D56" s="1351"/>
      <c r="E56" s="1352"/>
      <c r="F56" s="1344"/>
      <c r="I56" s="1353" t="s">
        <v>842</v>
      </c>
      <c r="J56" s="1354" t="s">
        <v>3492</v>
      </c>
      <c r="K56" s="1327" t="s">
        <v>843</v>
      </c>
      <c r="L56" s="1330" t="str">
        <f ca="1">IF(L48&lt;J51,"——",L48-J53)</f>
        <v>——</v>
      </c>
      <c r="O56" s="1324" t="s">
        <v>403</v>
      </c>
      <c r="P56" s="1325" t="s">
        <v>817</v>
      </c>
      <c r="Q56" s="1326">
        <f ca="1">C40+J29</f>
        <v>1696</v>
      </c>
      <c r="R56" s="1326" t="s">
        <v>818</v>
      </c>
    </row>
    <row r="57" spans="1:18" s="1291" customFormat="1" ht="26.5" thickBot="1">
      <c r="A57" s="1355"/>
      <c r="B57" s="895" t="s">
        <v>767</v>
      </c>
      <c r="C57" s="230">
        <f ca="1">C29</f>
        <v>1101</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6.5" thickBot="1">
      <c r="A58" s="307" t="s">
        <v>393</v>
      </c>
      <c r="B58" s="903" t="s">
        <v>714</v>
      </c>
      <c r="C58" s="308">
        <f ca="1">ROUND(C59+C64+C65+C66,0)</f>
        <v>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f ca="1">IF(OR(M47="住宅",J51&lt;L48,J56="是"),"——",ROUND(C29*J58,0))</f>
        <v>440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138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3333</v>
      </c>
      <c r="E61" s="895"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0</v>
      </c>
      <c r="D62" s="910" t="s">
        <v>731</v>
      </c>
      <c r="E62" s="895" t="s">
        <v>732</v>
      </c>
      <c r="F62" s="317">
        <f t="shared" si="0"/>
        <v>1.5</v>
      </c>
      <c r="I62" s="1366" t="s">
        <v>858</v>
      </c>
      <c r="J62" s="610" t="s">
        <v>859</v>
      </c>
      <c r="K62" s="610" t="s">
        <v>860</v>
      </c>
      <c r="L62" s="610" t="s">
        <v>861</v>
      </c>
      <c r="M62" s="1367" t="s">
        <v>862</v>
      </c>
      <c r="O62" s="1324" t="s">
        <v>409</v>
      </c>
      <c r="P62" s="1325" t="s">
        <v>838</v>
      </c>
      <c r="Q62" s="1326">
        <f ca="1">Q56+Q57</f>
        <v>1696</v>
      </c>
      <c r="R62" s="1326" t="s">
        <v>410</v>
      </c>
    </row>
    <row r="63" spans="1:18" s="1291" customFormat="1" ht="13.5" thickBot="1">
      <c r="A63" s="318"/>
      <c r="B63" s="901"/>
      <c r="C63" s="26"/>
      <c r="D63" s="911"/>
      <c r="E63" s="895" t="s">
        <v>736</v>
      </c>
      <c r="F63" s="295">
        <f t="shared" ca="1" si="0"/>
        <v>0</v>
      </c>
      <c r="I63" s="1366" t="s">
        <v>864</v>
      </c>
      <c r="J63" s="610">
        <v>70</v>
      </c>
      <c r="K63" s="610">
        <v>50</v>
      </c>
      <c r="L63" s="610">
        <v>80</v>
      </c>
      <c r="M63" s="1368">
        <v>0.02</v>
      </c>
      <c r="O63" s="1309" t="s">
        <v>865</v>
      </c>
      <c r="P63" s="1288"/>
      <c r="Q63" s="1288"/>
      <c r="R63" s="1288"/>
    </row>
    <row r="64" spans="1:18" s="1291" customFormat="1" ht="13.5" thickBot="1">
      <c r="A64" s="927" t="s">
        <v>402</v>
      </c>
      <c r="B64" s="895" t="s">
        <v>738</v>
      </c>
      <c r="C64" s="21">
        <f ca="1">ROUND(C57*F64,2)</f>
        <v>5.51</v>
      </c>
      <c r="D64" s="909" t="s">
        <v>771</v>
      </c>
      <c r="E64" s="895" t="s">
        <v>712</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0.82</v>
      </c>
      <c r="D65" s="909" t="s">
        <v>743</v>
      </c>
      <c r="E65" s="895" t="s">
        <v>712</v>
      </c>
      <c r="F65" s="321">
        <f t="shared" ca="1" si="0"/>
        <v>1E-3</v>
      </c>
      <c r="I65" s="1366" t="s">
        <v>867</v>
      </c>
      <c r="J65" s="610">
        <v>40</v>
      </c>
      <c r="K65" s="610">
        <v>30</v>
      </c>
      <c r="L65" s="610">
        <v>50</v>
      </c>
      <c r="M65" s="1368">
        <v>0.02</v>
      </c>
      <c r="O65" s="1324" t="s">
        <v>403</v>
      </c>
      <c r="P65" s="1325" t="s">
        <v>817</v>
      </c>
      <c r="Q65" s="1326">
        <f ca="1">C40+J29</f>
        <v>1696</v>
      </c>
      <c r="R65" s="1326" t="s">
        <v>818</v>
      </c>
    </row>
    <row r="66" spans="1:18" s="1291" customFormat="1" ht="16" thickBot="1">
      <c r="A66" s="927" t="s">
        <v>793</v>
      </c>
      <c r="B66" s="895" t="s">
        <v>728</v>
      </c>
      <c r="C66" s="21">
        <f ca="1">ROUND(C48*F66,2)</f>
        <v>0</v>
      </c>
      <c r="D66" s="909" t="s">
        <v>748</v>
      </c>
      <c r="E66" s="895" t="s">
        <v>712</v>
      </c>
      <c r="F66" s="304">
        <f t="shared" ca="1" si="0"/>
        <v>0.01</v>
      </c>
      <c r="O66" s="1324" t="s">
        <v>404</v>
      </c>
      <c r="P66" s="1325" t="s">
        <v>846</v>
      </c>
      <c r="Q66" s="1326">
        <f ca="1">L60</f>
        <v>0</v>
      </c>
      <c r="R66" s="1326" t="s">
        <v>869</v>
      </c>
    </row>
    <row r="67" spans="1:18" s="1291" customFormat="1" ht="26.5" thickBot="1">
      <c r="A67" s="902" t="s">
        <v>394</v>
      </c>
      <c r="B67" s="912" t="s">
        <v>752</v>
      </c>
      <c r="C67" s="308">
        <f ca="1">C48-C58</f>
        <v>-6</v>
      </c>
      <c r="D67" s="908" t="s">
        <v>753</v>
      </c>
      <c r="E67" s="913"/>
      <c r="F67" s="914"/>
      <c r="O67" s="1333" t="s">
        <v>405</v>
      </c>
      <c r="P67" s="1325" t="s">
        <v>850</v>
      </c>
      <c r="Q67" s="1369">
        <f ca="1">L51</f>
        <v>1458</v>
      </c>
      <c r="R67" s="1326" t="s">
        <v>870</v>
      </c>
    </row>
    <row r="68" spans="1:18" s="1291" customFormat="1" ht="16" thickBot="1">
      <c r="A68" s="892" t="s">
        <v>395</v>
      </c>
      <c r="B68" s="893" t="s">
        <v>774</v>
      </c>
      <c r="C68" s="293">
        <f ca="1">ROUND(C67*(1-((1+F70)/(1+F68))^F69)/(F68-F70),0)</f>
        <v>-63</v>
      </c>
      <c r="D68" s="910" t="s">
        <v>758</v>
      </c>
      <c r="E68" s="895" t="s">
        <v>759</v>
      </c>
      <c r="F68" s="304">
        <f ca="1">F40</f>
        <v>5.5E-2</v>
      </c>
      <c r="O68" s="1333" t="s">
        <v>406</v>
      </c>
      <c r="P68" s="1370" t="s">
        <v>871</v>
      </c>
      <c r="Q68" s="1326">
        <f ca="1">ROUND(Q69-Q70*Q71,0)</f>
        <v>85</v>
      </c>
      <c r="R68" s="1326" t="s">
        <v>414</v>
      </c>
    </row>
    <row r="69" spans="1:18" s="1291" customFormat="1" ht="13.5" thickBot="1">
      <c r="A69" s="896"/>
      <c r="B69" s="897"/>
      <c r="C69" s="298"/>
      <c r="D69" s="915" t="s">
        <v>762</v>
      </c>
      <c r="E69" s="895" t="s">
        <v>763</v>
      </c>
      <c r="F69" s="324">
        <f ca="1">F41</f>
        <v>16.04</v>
      </c>
      <c r="O69" s="1333" t="s">
        <v>411</v>
      </c>
      <c r="P69" s="1370" t="s">
        <v>872</v>
      </c>
      <c r="Q69" s="1326">
        <f ca="1">C39</f>
        <v>142</v>
      </c>
      <c r="R69" s="1326" t="s">
        <v>818</v>
      </c>
    </row>
    <row r="70" spans="1:18" s="1291" customFormat="1" ht="13.5" thickBot="1">
      <c r="A70" s="899"/>
      <c r="B70" s="900"/>
      <c r="C70" s="302"/>
      <c r="D70" s="911"/>
      <c r="E70" s="895" t="s">
        <v>766</v>
      </c>
      <c r="F70" s="990"/>
      <c r="O70" s="1333" t="s">
        <v>412</v>
      </c>
      <c r="P70" s="1370" t="s">
        <v>873</v>
      </c>
      <c r="Q70" s="1326">
        <f ca="1">C13</f>
        <v>815</v>
      </c>
      <c r="R70" s="1326" t="s">
        <v>818</v>
      </c>
    </row>
    <row r="71" spans="1:18" s="1291" customFormat="1" ht="13.5" thickBot="1">
      <c r="A71" s="916" t="s">
        <v>396</v>
      </c>
      <c r="B71" s="917" t="s">
        <v>776</v>
      </c>
      <c r="C71" s="327">
        <f ca="1">ROUND(C68*10000/F71,0)</f>
        <v>-295</v>
      </c>
      <c r="D71" s="918" t="s">
        <v>777</v>
      </c>
      <c r="E71" s="919" t="s">
        <v>778</v>
      </c>
      <c r="F71" s="330">
        <f ca="1">F43</f>
        <v>2137.38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57</v>
      </c>
      <c r="D75" s="1291"/>
      <c r="E75" s="1291"/>
      <c r="F75" s="1291"/>
      <c r="K75" s="1308"/>
      <c r="L75" s="1291"/>
      <c r="O75" s="1324" t="s">
        <v>409</v>
      </c>
      <c r="P75" s="1325" t="s">
        <v>838</v>
      </c>
      <c r="Q75" s="1326">
        <f ca="1">Q65+Q66</f>
        <v>1696</v>
      </c>
      <c r="R75" s="1326" t="s">
        <v>410</v>
      </c>
    </row>
    <row r="76" spans="1:18" ht="13">
      <c r="B76" s="333" t="s">
        <v>796</v>
      </c>
      <c r="C76" s="334">
        <f ca="1">INDIRECT("'数据-取费表'!j"&amp;$G$1)</f>
        <v>7.0000000000000007E-2</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f ca="1">1-C80</f>
        <v>0.59899999999999998</v>
      </c>
    </row>
    <row r="80" spans="1:18" ht="13">
      <c r="B80" s="331" t="s">
        <v>800</v>
      </c>
      <c r="C80" s="266">
        <f ca="1">ROUND(C75/C39,3)</f>
        <v>0.40100000000000002</v>
      </c>
    </row>
    <row r="81" spans="2:3" ht="13.5">
      <c r="B81" s="262" t="s">
        <v>801</v>
      </c>
      <c r="C81" s="230"/>
    </row>
    <row r="82" spans="2:3" ht="13">
      <c r="B82" s="265" t="s">
        <v>802</v>
      </c>
      <c r="C82" s="267">
        <f ca="1">1-C83</f>
        <v>0.51900000000000002</v>
      </c>
    </row>
    <row r="83" spans="2:3" ht="13">
      <c r="B83" s="265" t="s">
        <v>803</v>
      </c>
      <c r="C83" s="266">
        <f ca="1">ROUND(C13/C40,3)</f>
        <v>0.48099999999999998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D1" xr:uid="{43DFFDEC-5BD8-4466-B17D-C5CEEA4ABCB5}">
      <formula1>"在建（套用方法）,土地（套用方法）,——"</formula1>
    </dataValidation>
    <dataValidation type="list" allowBlank="1" showInputMessage="1" showErrorMessage="1" sqref="M10 F10 F53" xr:uid="{6A0719D9-FC7D-44AF-8765-244FF4B31CA8}">
      <formula1>"押一,押二,押三,自定义"</formula1>
    </dataValidation>
    <dataValidation type="list" allowBlank="1" showInputMessage="1" showErrorMessage="1" sqref="L55" xr:uid="{222DA0E2-71E8-4E41-8E5B-9BA7A2107EA9}">
      <formula1>"比较法,基准地价,收益还原"</formula1>
    </dataValidation>
    <dataValidation type="list" allowBlank="1" showInputMessage="1" showErrorMessage="1" sqref="J56" xr:uid="{6572E70E-EA34-4837-9D11-76E673EAE8D3}">
      <formula1>估价范围判定</formula1>
    </dataValidation>
    <dataValidation type="list" allowBlank="1" showInputMessage="1" showErrorMessage="1" sqref="J48" xr:uid="{A5CC33A2-7CAC-4124-9F40-46ABC373AFE0}">
      <formula1>"非生产用房,生产用房,受腐蚀的生产用房"</formula1>
    </dataValidation>
    <dataValidation type="list" allowBlank="1" showInputMessage="1" showErrorMessage="1" sqref="J47" xr:uid="{EC075CE6-5096-44A3-A454-3A798F57A8A0}">
      <formula1>"钢,钢混,砖混"</formula1>
    </dataValidation>
    <dataValidation type="list" allowBlank="1" showInputMessage="1" showErrorMessage="1" sqref="C1" xr:uid="{FD86B55C-D8CA-4B65-B68C-F2A60E8D7D64}">
      <formula1>项目类型</formula1>
    </dataValidation>
    <dataValidation type="list" allowBlank="1" showInputMessage="1" showErrorMessage="1" sqref="D33 D61" xr:uid="{1D3F1E4F-A58E-4098-B52F-80F78A49734B}">
      <formula1>"按租金收入计税,按房产原值计税,按票据"</formula1>
    </dataValidation>
    <dataValidation type="list" allowBlank="1" showInputMessage="1" showErrorMessage="1" sqref="K19" xr:uid="{1CDB97A3-445F-487C-BF90-1838D8CC898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9097-7D60-4C25-9834-617D33EAB32C}">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t="s">
        <v>3519</v>
      </c>
      <c r="D1" s="1270" t="s">
        <v>43</v>
      </c>
      <c r="E1" s="1271" t="s">
        <v>678</v>
      </c>
      <c r="F1" s="998">
        <f ca="1">J53</f>
        <v>16.04</v>
      </c>
      <c r="G1" s="1285">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6831</v>
      </c>
      <c r="C2" s="1288" t="s">
        <v>805</v>
      </c>
      <c r="D2" s="1288"/>
      <c r="E2" s="1294"/>
      <c r="F2" s="1295"/>
      <c r="G2" s="2476"/>
      <c r="H2" s="2466"/>
      <c r="I2" s="2466"/>
      <c r="J2" s="2466"/>
      <c r="K2" s="2467"/>
      <c r="L2" s="2466"/>
      <c r="M2" s="2466"/>
    </row>
    <row r="3" spans="1:37" ht="18" customHeight="1" thickBot="1">
      <c r="A3" s="1296" t="s">
        <v>806</v>
      </c>
      <c r="B3" s="1297">
        <f ca="1">IF(ISERROR(B2*10000/F43),0,ROUND(B2*10000/F43,0))</f>
        <v>8376</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674</v>
      </c>
      <c r="D5" s="1272" t="s">
        <v>693</v>
      </c>
      <c r="E5" s="1007"/>
      <c r="F5" s="1008"/>
      <c r="G5" s="1291"/>
      <c r="H5" s="291">
        <v>1</v>
      </c>
      <c r="I5" s="292" t="s">
        <v>692</v>
      </c>
      <c r="J5" s="1006">
        <f ca="1">J6+J10+J12</f>
        <v>0</v>
      </c>
      <c r="K5" s="1272" t="s">
        <v>693</v>
      </c>
      <c r="L5" s="1007"/>
      <c r="M5" s="1008"/>
    </row>
    <row r="6" spans="1:37" ht="18" customHeight="1">
      <c r="A6" s="1005" t="s">
        <v>398</v>
      </c>
      <c r="B6" s="3356" t="s">
        <v>694</v>
      </c>
      <c r="C6" s="1010">
        <f ca="1">ROUND(F6*F8*F7*(1-F9)/10000,0)</f>
        <v>673</v>
      </c>
      <c r="D6" s="147" t="s">
        <v>2109</v>
      </c>
      <c r="E6" s="294" t="s">
        <v>696</v>
      </c>
      <c r="F6" s="295">
        <f ca="1">INDIRECT("'数据-取费表'!u"&amp;$G$1)</f>
        <v>2.66</v>
      </c>
      <c r="G6" s="1291"/>
      <c r="H6" s="1005" t="s">
        <v>398</v>
      </c>
      <c r="I6" s="3356" t="s">
        <v>694</v>
      </c>
      <c r="J6" s="293">
        <f ca="1">ROUND(M6*M8*M7*(1-M9)/10000,0)</f>
        <v>0</v>
      </c>
      <c r="K6" s="147" t="s">
        <v>2108</v>
      </c>
      <c r="L6" s="294" t="s">
        <v>696</v>
      </c>
      <c r="M6" s="295">
        <f ca="1">INDIRECT("'数据-取费表'!z"&amp;$G$1)</f>
        <v>0</v>
      </c>
    </row>
    <row r="7" spans="1:37" ht="18" customHeight="1">
      <c r="A7" s="1009"/>
      <c r="B7" s="3357"/>
      <c r="C7" s="1011"/>
      <c r="D7" s="299"/>
      <c r="E7" s="1012" t="s">
        <v>697</v>
      </c>
      <c r="F7" s="295">
        <f ca="1">IF(INDIRECT("'数据-取费表'!ah"&amp;$G$1)="",INDIRECT("'数据-取费表'!k"&amp;$G$1),INDIRECT("'数据-取费表'!ah"&amp;$G$1))</f>
        <v>8155.52</v>
      </c>
      <c r="G7" s="1291"/>
      <c r="H7" s="296"/>
      <c r="I7" s="3357"/>
      <c r="J7" s="298"/>
      <c r="K7" s="299"/>
      <c r="L7" s="294" t="s">
        <v>697</v>
      </c>
      <c r="M7" s="295">
        <f ca="1">F7</f>
        <v>8155.52</v>
      </c>
    </row>
    <row r="8" spans="1:37" ht="18" customHeight="1">
      <c r="A8" s="296"/>
      <c r="B8" s="3357"/>
      <c r="C8" s="298"/>
      <c r="D8" s="299"/>
      <c r="E8" s="294" t="s">
        <v>698</v>
      </c>
      <c r="F8" s="295">
        <f ca="1">INDIRECT("'数据-取费表'!ai"&amp;$G$1)</f>
        <v>365</v>
      </c>
      <c r="G8" s="1291"/>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0.15</v>
      </c>
      <c r="G9" s="1291"/>
      <c r="H9" s="296"/>
      <c r="I9" s="3358"/>
      <c r="J9" s="298"/>
      <c r="K9" s="299"/>
      <c r="L9" s="305" t="s">
        <v>699</v>
      </c>
      <c r="M9" s="306">
        <f ca="1">INDIRECT("'数据-取费表'!ab"&amp;$G$1)</f>
        <v>0</v>
      </c>
    </row>
    <row r="10" spans="1:37" ht="18" customHeight="1">
      <c r="A10" s="1005" t="s">
        <v>402</v>
      </c>
      <c r="B10" s="1273" t="s">
        <v>700</v>
      </c>
      <c r="C10" s="308">
        <f ca="1">ROUND(IF(F10="押一",C6/12*F11,IF(F10="押二",C6/12*2*F11,IF(F10="押三",C6/12*3*F11,C11*F11))),0)</f>
        <v>1</v>
      </c>
      <c r="D10" s="150" t="s">
        <v>2116</v>
      </c>
      <c r="E10" s="305" t="s">
        <v>701</v>
      </c>
      <c r="F10" s="1052" t="s">
        <v>3489</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2687</v>
      </c>
      <c r="D13" s="1017" t="s">
        <v>705</v>
      </c>
      <c r="E13" s="1017" t="s">
        <v>706</v>
      </c>
      <c r="F13" s="1018">
        <f ca="1">INDIRECT("'数据-取费表'!y"&amp;$G$1)</f>
        <v>0.74</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2447</v>
      </c>
      <c r="D14" s="1256" t="s">
        <v>708</v>
      </c>
      <c r="E14" s="1254"/>
      <c r="F14" s="311"/>
      <c r="G14" s="1291"/>
      <c r="H14" s="927" t="s">
        <v>398</v>
      </c>
      <c r="I14" s="294" t="s">
        <v>709</v>
      </c>
      <c r="J14" s="21">
        <f ca="1">C29</f>
        <v>3631</v>
      </c>
      <c r="K14" s="12"/>
      <c r="L14" s="758"/>
      <c r="M14" s="759"/>
    </row>
    <row r="15" spans="1:37" s="1303" customFormat="1" ht="18" customHeight="1" thickBot="1">
      <c r="A15" s="927" t="s">
        <v>399</v>
      </c>
      <c r="B15" s="294" t="s">
        <v>710</v>
      </c>
      <c r="C15" s="21">
        <f ca="1">ROUND(C14*F15,0)</f>
        <v>122</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18</v>
      </c>
      <c r="K16" s="1023" t="s">
        <v>715</v>
      </c>
      <c r="L16" s="1024"/>
      <c r="M16" s="1008"/>
    </row>
    <row r="17" spans="1:37" s="1303" customFormat="1" ht="18" customHeight="1">
      <c r="A17" s="927" t="s">
        <v>681</v>
      </c>
      <c r="B17" s="294" t="s">
        <v>716</v>
      </c>
      <c r="C17" s="21">
        <f ca="1">ROUND(F17*(F43+INDIRECT("'数据-取费表'!S"&amp;$G$1))/10000,0)</f>
        <v>163</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49</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2781</v>
      </c>
      <c r="D19" s="123" t="s">
        <v>726</v>
      </c>
      <c r="E19" s="1268"/>
      <c r="F19" s="23"/>
      <c r="G19" s="1291"/>
      <c r="H19" s="927" t="s">
        <v>399</v>
      </c>
      <c r="I19" s="294" t="s">
        <v>727</v>
      </c>
      <c r="J19" s="21">
        <f ca="1">IF(K19="按租金收入计税",ROUND(J6*M19/(1+'数据-取费表'!C42),2),ROUND(C29*M19*0.7,2))</f>
        <v>0</v>
      </c>
      <c r="K19" s="1277" t="s">
        <v>3333</v>
      </c>
      <c r="L19" s="294" t="s">
        <v>712</v>
      </c>
      <c r="M19" s="314">
        <f>IF(K19="按租金收入计税",'数据-取费表'!B51,'数据-取费表'!B50)</f>
        <v>0.12</v>
      </c>
    </row>
    <row r="20" spans="1:37" s="1303" customFormat="1" ht="18" customHeight="1">
      <c r="A20" s="927" t="s">
        <v>402</v>
      </c>
      <c r="B20" s="294" t="s">
        <v>728</v>
      </c>
      <c r="C20" s="21">
        <f ca="1">ROUND(C19*F20,0)</f>
        <v>56</v>
      </c>
      <c r="D20" s="315" t="s">
        <v>729</v>
      </c>
      <c r="E20" s="294" t="s">
        <v>712</v>
      </c>
      <c r="F20" s="314">
        <f>'数据-取费表'!B37</f>
        <v>0.02</v>
      </c>
      <c r="G20" s="1302"/>
      <c r="H20" s="927"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18.16</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89</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-18</v>
      </c>
      <c r="K25" s="1031" t="s">
        <v>753</v>
      </c>
      <c r="L25" s="1032"/>
      <c r="M25" s="1033"/>
    </row>
    <row r="26" spans="1:37" ht="13">
      <c r="A26" s="927" t="s">
        <v>397</v>
      </c>
      <c r="B26" s="294" t="s">
        <v>754</v>
      </c>
      <c r="C26" s="21">
        <f ca="1">ROUND((C19+C20)*F26,0)</f>
        <v>426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3631</v>
      </c>
      <c r="D29" s="1028"/>
      <c r="E29" s="1026"/>
      <c r="F29" s="1029"/>
      <c r="G29" s="1302"/>
      <c r="H29" s="325" t="s">
        <v>396</v>
      </c>
      <c r="I29" s="326" t="s">
        <v>768</v>
      </c>
      <c r="J29" s="327">
        <f ca="1">ROUND(J26/(1+F40)^F41,0)</f>
        <v>0</v>
      </c>
      <c r="K29" s="328" t="s">
        <v>769</v>
      </c>
      <c r="L29" s="329"/>
      <c r="M29" s="330">
        <f ca="1">INDIRECT("'数据-取费表'!k"&amp;$G$1)</f>
        <v>8155.52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140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ROUND(IF(AND(项目基本情况!B11="自然人",项目基本情况!B10="北京市"),C6*F31/(1+'数据-取费表'!C42),C32+C33+C34),2)</f>
        <v>112.8</v>
      </c>
      <c r="D31" s="1256" t="s">
        <v>720</v>
      </c>
      <c r="E31" s="1255" t="s">
        <v>770</v>
      </c>
      <c r="F31" s="2137"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IF(项目基本情况!B11="自然人","——",ROUND(C6*F32/(1+'数据-取费表'!C42),2))</f>
        <v>35.89</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76.91</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1.5</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18.16</v>
      </c>
      <c r="D36" s="1255" t="s">
        <v>771</v>
      </c>
      <c r="E36" s="294" t="s">
        <v>712</v>
      </c>
      <c r="F36" s="320">
        <f ca="1">INDIRECT("'数据-取费表'!Ak"&amp;$G$1)</f>
        <v>5.0000000000000001E-3</v>
      </c>
      <c r="G36" s="1291"/>
      <c r="H36" s="2471"/>
      <c r="I36" s="1304"/>
      <c r="J36" s="1305"/>
      <c r="K36" s="2329"/>
      <c r="L36" s="2471"/>
      <c r="M36" s="2471"/>
    </row>
    <row r="37" spans="1:18" ht="18" customHeight="1">
      <c r="A37" s="927" t="s">
        <v>437</v>
      </c>
      <c r="B37" s="294" t="s">
        <v>742</v>
      </c>
      <c r="C37" s="21">
        <f ca="1">ROUND(C13*F37,2)</f>
        <v>2.69</v>
      </c>
      <c r="D37" s="1255" t="s">
        <v>743</v>
      </c>
      <c r="E37" s="294" t="s">
        <v>712</v>
      </c>
      <c r="F37" s="321">
        <f ca="1">INDIRECT("'数据-取费表'!Al"&amp;$G$1)</f>
        <v>1E-3</v>
      </c>
      <c r="G37" s="1291"/>
      <c r="H37" s="2471"/>
      <c r="I37" s="1304"/>
      <c r="J37" s="1305"/>
      <c r="K37" s="2329"/>
      <c r="L37" s="2471"/>
      <c r="M37" s="2471"/>
    </row>
    <row r="38" spans="1:18" ht="18" customHeight="1" thickBot="1">
      <c r="A38" s="1025" t="s">
        <v>683</v>
      </c>
      <c r="B38" s="1026" t="s">
        <v>728</v>
      </c>
      <c r="C38" s="1027">
        <f ca="1">ROUND(C5*F38,2)</f>
        <v>6.74</v>
      </c>
      <c r="D38" s="1028" t="s">
        <v>748</v>
      </c>
      <c r="E38" s="1026" t="s">
        <v>712</v>
      </c>
      <c r="F38" s="1022">
        <f ca="1">INDIRECT("'数据-取费表'!Am"&amp;$G$1)</f>
        <v>0.01</v>
      </c>
      <c r="G38" s="1291"/>
      <c r="H38" s="2471"/>
      <c r="I38" s="1304"/>
      <c r="J38" s="1305"/>
      <c r="K38" s="2469"/>
      <c r="L38" s="2471"/>
      <c r="M38" s="2471"/>
    </row>
    <row r="39" spans="1:18" ht="24.65" customHeight="1" thickTop="1">
      <c r="A39" s="1015" t="s">
        <v>394</v>
      </c>
      <c r="B39" s="1030" t="s">
        <v>752</v>
      </c>
      <c r="C39" s="302">
        <f ca="1">C5-C30</f>
        <v>534</v>
      </c>
      <c r="D39" s="1031" t="s">
        <v>753</v>
      </c>
      <c r="E39" s="1032"/>
      <c r="F39" s="1033"/>
      <c r="G39" s="1291"/>
      <c r="H39" s="2471"/>
      <c r="I39" s="1304"/>
      <c r="J39" s="1305"/>
      <c r="K39" s="2469"/>
      <c r="L39" s="2471"/>
      <c r="M39" s="2471"/>
    </row>
    <row r="40" spans="1:18" ht="18" customHeight="1">
      <c r="A40" s="291" t="s">
        <v>395</v>
      </c>
      <c r="B40" s="292" t="s">
        <v>774</v>
      </c>
      <c r="C40" s="293">
        <f ca="1">ROUND(C39*(1-((1+F42)/(1+F40))^F41)/(F40-F42),0)</f>
        <v>6376</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16.04</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7818</v>
      </c>
      <c r="D43" s="328" t="s">
        <v>777</v>
      </c>
      <c r="E43" s="329" t="s">
        <v>778</v>
      </c>
      <c r="F43" s="330">
        <f ca="1">INDIRECT("'数据-取费表'!k"&amp;$G$1)</f>
        <v>8155.52</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4" thickBot="1">
      <c r="A46" s="1310" t="s">
        <v>809</v>
      </c>
      <c r="C46" s="1311">
        <f ca="1">C68-C40</f>
        <v>-6596</v>
      </c>
      <c r="D46" s="1312" t="str">
        <f>C2</f>
        <v>万元</v>
      </c>
      <c r="E46" s="1306"/>
      <c r="F46" s="1306"/>
      <c r="I46" s="1313" t="s">
        <v>810</v>
      </c>
      <c r="J46" s="1314"/>
      <c r="K46" s="1315"/>
      <c r="L46" s="1316">
        <f ca="1">IF(M47="住宅",0,IF(L48&gt;J51,L60,J60))</f>
        <v>455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t="s">
        <v>3490</v>
      </c>
      <c r="K47" s="1322" t="s">
        <v>816</v>
      </c>
      <c r="L47" s="1323">
        <f ca="1">INDIRECT("'数据-取费表'!d"&amp;$G$1)</f>
        <v>40</v>
      </c>
      <c r="M47" s="1287" t="str">
        <f>IF(ISNUMBER(FIND("住宅",C1)),"住宅","非住宅")</f>
        <v>非住宅</v>
      </c>
      <c r="O47" s="1324" t="s">
        <v>403</v>
      </c>
      <c r="P47" s="1325" t="s">
        <v>817</v>
      </c>
      <c r="Q47" s="1326">
        <f ca="1">C40+J29</f>
        <v>6376</v>
      </c>
      <c r="R47" s="1326" t="s">
        <v>818</v>
      </c>
    </row>
    <row r="48" spans="1:18" s="1291" customFormat="1" ht="43.5" thickBot="1">
      <c r="A48" s="1046" t="s">
        <v>438</v>
      </c>
      <c r="B48" s="292" t="s">
        <v>692</v>
      </c>
      <c r="C48" s="1267">
        <f ca="1">C49+C53+C55</f>
        <v>0</v>
      </c>
      <c r="D48" s="1048"/>
      <c r="E48" s="1049"/>
      <c r="F48" s="907"/>
      <c r="G48" s="681"/>
      <c r="H48" s="682"/>
      <c r="I48" s="1327" t="s">
        <v>819</v>
      </c>
      <c r="J48" s="1328" t="s">
        <v>3491</v>
      </c>
      <c r="K48" s="1329" t="s">
        <v>820</v>
      </c>
      <c r="L48" s="1330">
        <f ca="1">INDIRECT("'数据-取费表'!f"&amp;$G$1)</f>
        <v>16.04</v>
      </c>
      <c r="O48" s="1324" t="s">
        <v>404</v>
      </c>
      <c r="P48" s="1325" t="s">
        <v>821</v>
      </c>
      <c r="Q48" s="1326">
        <f ca="1">J60</f>
        <v>455</v>
      </c>
      <c r="R48" s="1326" t="s">
        <v>822</v>
      </c>
    </row>
    <row r="49" spans="1:18" s="1291" customFormat="1" ht="13.5" thickBot="1">
      <c r="A49" s="920" t="s">
        <v>439</v>
      </c>
      <c r="B49" s="1278" t="s">
        <v>779</v>
      </c>
      <c r="C49" s="1050">
        <f ca="1">ROUND(F49*F51*F50*(1-F52)/10000,0)</f>
        <v>0</v>
      </c>
      <c r="D49" s="991" t="s">
        <v>2108</v>
      </c>
      <c r="E49" s="1279" t="s">
        <v>780</v>
      </c>
      <c r="F49" s="996"/>
      <c r="H49" s="682"/>
      <c r="I49" s="1327" t="s">
        <v>823</v>
      </c>
      <c r="J49" s="1331">
        <f>'数据-取费表'!O18</f>
        <v>2005</v>
      </c>
      <c r="K49" s="1329" t="s">
        <v>824</v>
      </c>
      <c r="L49" s="1332"/>
      <c r="O49" s="1333" t="s">
        <v>405</v>
      </c>
      <c r="P49" s="1325" t="s">
        <v>825</v>
      </c>
      <c r="Q49" s="1326">
        <f ca="1">C29</f>
        <v>3631</v>
      </c>
      <c r="R49" s="1326" t="s">
        <v>818</v>
      </c>
    </row>
    <row r="50" spans="1:18" s="1291" customFormat="1" ht="13.5" thickBot="1">
      <c r="A50" s="921"/>
      <c r="B50" s="924"/>
      <c r="C50" s="1054"/>
      <c r="D50" s="898"/>
      <c r="E50" s="992" t="s">
        <v>697</v>
      </c>
      <c r="F50" s="993">
        <f ca="1">F7</f>
        <v>8155.52</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5935</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16.04</v>
      </c>
      <c r="R52" s="1326" t="s">
        <v>835</v>
      </c>
    </row>
    <row r="53" spans="1:18" s="1291" customFormat="1" ht="26.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16.04</v>
      </c>
      <c r="K53" s="3354" t="s">
        <v>837</v>
      </c>
      <c r="L53" s="3355"/>
      <c r="O53" s="1324" t="s">
        <v>409</v>
      </c>
      <c r="P53" s="1325" t="s">
        <v>838</v>
      </c>
      <c r="Q53" s="1326">
        <f ca="1">Q47+Q48</f>
        <v>6831</v>
      </c>
      <c r="R53" s="1326" t="s">
        <v>410</v>
      </c>
    </row>
    <row r="54" spans="1:18" s="1291" customFormat="1" ht="26.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40" thickTop="1" thickBot="1">
      <c r="A56" s="902">
        <v>2</v>
      </c>
      <c r="B56" s="903" t="s">
        <v>704</v>
      </c>
      <c r="C56" s="224">
        <f ca="1">C13</f>
        <v>2687</v>
      </c>
      <c r="D56" s="1351"/>
      <c r="E56" s="1352"/>
      <c r="F56" s="1344"/>
      <c r="I56" s="1353" t="s">
        <v>842</v>
      </c>
      <c r="J56" s="1354" t="s">
        <v>3492</v>
      </c>
      <c r="K56" s="1327" t="s">
        <v>843</v>
      </c>
      <c r="L56" s="1330" t="str">
        <f ca="1">IF(L48&lt;J51,"——",L48-J53)</f>
        <v>——</v>
      </c>
      <c r="O56" s="1324" t="s">
        <v>403</v>
      </c>
      <c r="P56" s="1325" t="s">
        <v>817</v>
      </c>
      <c r="Q56" s="1326">
        <f ca="1">C40+J29</f>
        <v>6376</v>
      </c>
      <c r="R56" s="1326" t="s">
        <v>818</v>
      </c>
    </row>
    <row r="57" spans="1:18" s="1291" customFormat="1" ht="26.5" thickBot="1">
      <c r="A57" s="1355"/>
      <c r="B57" s="895" t="s">
        <v>767</v>
      </c>
      <c r="C57" s="230">
        <f ca="1">C29</f>
        <v>3631</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6.5" thickBot="1">
      <c r="A58" s="307" t="s">
        <v>393</v>
      </c>
      <c r="B58" s="903" t="s">
        <v>714</v>
      </c>
      <c r="C58" s="308">
        <f ca="1">ROUND(C59+C64+C65+C66,0)</f>
        <v>21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f ca="1">IF(OR(M47="住宅",J51&lt;L48,J56="是"),"——",ROUND(C29*J58,0))</f>
        <v>1452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455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3333</v>
      </c>
      <c r="E61" s="895"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0</v>
      </c>
      <c r="D62" s="910" t="s">
        <v>731</v>
      </c>
      <c r="E62" s="895" t="s">
        <v>732</v>
      </c>
      <c r="F62" s="317">
        <f t="shared" si="0"/>
        <v>1.5</v>
      </c>
      <c r="I62" s="1366" t="s">
        <v>858</v>
      </c>
      <c r="J62" s="610" t="s">
        <v>859</v>
      </c>
      <c r="K62" s="610" t="s">
        <v>860</v>
      </c>
      <c r="L62" s="610" t="s">
        <v>861</v>
      </c>
      <c r="M62" s="1367" t="s">
        <v>862</v>
      </c>
      <c r="O62" s="1324" t="s">
        <v>409</v>
      </c>
      <c r="P62" s="1325" t="s">
        <v>838</v>
      </c>
      <c r="Q62" s="1326">
        <f ca="1">Q56+Q57</f>
        <v>6376</v>
      </c>
      <c r="R62" s="1326" t="s">
        <v>410</v>
      </c>
    </row>
    <row r="63" spans="1:18" s="1291" customFormat="1" ht="13.5" thickBot="1">
      <c r="A63" s="318"/>
      <c r="B63" s="901"/>
      <c r="C63" s="26"/>
      <c r="D63" s="911"/>
      <c r="E63" s="895" t="s">
        <v>736</v>
      </c>
      <c r="F63" s="295">
        <f t="shared" ca="1" si="0"/>
        <v>0</v>
      </c>
      <c r="I63" s="1366" t="s">
        <v>864</v>
      </c>
      <c r="J63" s="610">
        <v>70</v>
      </c>
      <c r="K63" s="610">
        <v>50</v>
      </c>
      <c r="L63" s="610">
        <v>80</v>
      </c>
      <c r="M63" s="1368">
        <v>0.02</v>
      </c>
      <c r="O63" s="1309" t="s">
        <v>865</v>
      </c>
      <c r="P63" s="1288"/>
      <c r="Q63" s="1288"/>
      <c r="R63" s="1288"/>
    </row>
    <row r="64" spans="1:18" s="1291" customFormat="1" ht="13.5" thickBot="1">
      <c r="A64" s="927" t="s">
        <v>402</v>
      </c>
      <c r="B64" s="895" t="s">
        <v>738</v>
      </c>
      <c r="C64" s="21">
        <f ca="1">ROUND(C57*F64,2)</f>
        <v>18.16</v>
      </c>
      <c r="D64" s="909" t="s">
        <v>771</v>
      </c>
      <c r="E64" s="895" t="s">
        <v>712</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2.69</v>
      </c>
      <c r="D65" s="909" t="s">
        <v>743</v>
      </c>
      <c r="E65" s="895" t="s">
        <v>712</v>
      </c>
      <c r="F65" s="321">
        <f t="shared" ca="1" si="0"/>
        <v>1E-3</v>
      </c>
      <c r="I65" s="1366" t="s">
        <v>867</v>
      </c>
      <c r="J65" s="610">
        <v>40</v>
      </c>
      <c r="K65" s="610">
        <v>30</v>
      </c>
      <c r="L65" s="610">
        <v>50</v>
      </c>
      <c r="M65" s="1368">
        <v>0.02</v>
      </c>
      <c r="O65" s="1324" t="s">
        <v>403</v>
      </c>
      <c r="P65" s="1325" t="s">
        <v>817</v>
      </c>
      <c r="Q65" s="1326">
        <f ca="1">C40+J29</f>
        <v>6376</v>
      </c>
      <c r="R65" s="1326" t="s">
        <v>818</v>
      </c>
    </row>
    <row r="66" spans="1:18" s="1291" customFormat="1" ht="16" thickBot="1">
      <c r="A66" s="927" t="s">
        <v>793</v>
      </c>
      <c r="B66" s="895" t="s">
        <v>728</v>
      </c>
      <c r="C66" s="21">
        <f ca="1">ROUND(C48*F66,2)</f>
        <v>0</v>
      </c>
      <c r="D66" s="909" t="s">
        <v>748</v>
      </c>
      <c r="E66" s="895" t="s">
        <v>712</v>
      </c>
      <c r="F66" s="304">
        <f t="shared" ca="1" si="0"/>
        <v>0.01</v>
      </c>
      <c r="O66" s="1324" t="s">
        <v>404</v>
      </c>
      <c r="P66" s="1325" t="s">
        <v>846</v>
      </c>
      <c r="Q66" s="1326">
        <f ca="1">L60</f>
        <v>0</v>
      </c>
      <c r="R66" s="1326" t="s">
        <v>869</v>
      </c>
    </row>
    <row r="67" spans="1:18" s="1291" customFormat="1" ht="26.5" thickBot="1">
      <c r="A67" s="902" t="s">
        <v>394</v>
      </c>
      <c r="B67" s="912" t="s">
        <v>752</v>
      </c>
      <c r="C67" s="308">
        <f ca="1">C48-C58</f>
        <v>-21</v>
      </c>
      <c r="D67" s="908" t="s">
        <v>753</v>
      </c>
      <c r="E67" s="913"/>
      <c r="F67" s="914"/>
      <c r="O67" s="1333" t="s">
        <v>405</v>
      </c>
      <c r="P67" s="1325" t="s">
        <v>850</v>
      </c>
      <c r="Q67" s="1369">
        <f ca="1">L51</f>
        <v>5935</v>
      </c>
      <c r="R67" s="1326" t="s">
        <v>870</v>
      </c>
    </row>
    <row r="68" spans="1:18" s="1291" customFormat="1" ht="16" thickBot="1">
      <c r="A68" s="892" t="s">
        <v>395</v>
      </c>
      <c r="B68" s="893" t="s">
        <v>774</v>
      </c>
      <c r="C68" s="293">
        <f ca="1">ROUND(C67*(1-((1+F70)/(1+F68))^F69)/(F68-F70),0)</f>
        <v>-220</v>
      </c>
      <c r="D68" s="910" t="s">
        <v>758</v>
      </c>
      <c r="E68" s="895" t="s">
        <v>759</v>
      </c>
      <c r="F68" s="304">
        <f ca="1">F40</f>
        <v>5.5E-2</v>
      </c>
      <c r="O68" s="1333" t="s">
        <v>406</v>
      </c>
      <c r="P68" s="1370" t="s">
        <v>871</v>
      </c>
      <c r="Q68" s="1326">
        <f ca="1">ROUND(Q69-Q70*Q71,0)</f>
        <v>346</v>
      </c>
      <c r="R68" s="1326" t="s">
        <v>414</v>
      </c>
    </row>
    <row r="69" spans="1:18" s="1291" customFormat="1" ht="13.5" thickBot="1">
      <c r="A69" s="896"/>
      <c r="B69" s="897"/>
      <c r="C69" s="298"/>
      <c r="D69" s="915" t="s">
        <v>762</v>
      </c>
      <c r="E69" s="895" t="s">
        <v>763</v>
      </c>
      <c r="F69" s="324">
        <f ca="1">F41</f>
        <v>16.04</v>
      </c>
      <c r="O69" s="1333" t="s">
        <v>411</v>
      </c>
      <c r="P69" s="1370" t="s">
        <v>872</v>
      </c>
      <c r="Q69" s="1326">
        <f ca="1">C39</f>
        <v>534</v>
      </c>
      <c r="R69" s="1326" t="s">
        <v>818</v>
      </c>
    </row>
    <row r="70" spans="1:18" s="1291" customFormat="1" ht="13.5" thickBot="1">
      <c r="A70" s="899"/>
      <c r="B70" s="900"/>
      <c r="C70" s="302"/>
      <c r="D70" s="911"/>
      <c r="E70" s="895" t="s">
        <v>766</v>
      </c>
      <c r="F70" s="990"/>
      <c r="O70" s="1333" t="s">
        <v>412</v>
      </c>
      <c r="P70" s="1370" t="s">
        <v>873</v>
      </c>
      <c r="Q70" s="1326">
        <f ca="1">C13</f>
        <v>2687</v>
      </c>
      <c r="R70" s="1326" t="s">
        <v>818</v>
      </c>
    </row>
    <row r="71" spans="1:18" s="1291" customFormat="1" ht="13.5" thickBot="1">
      <c r="A71" s="916" t="s">
        <v>396</v>
      </c>
      <c r="B71" s="917" t="s">
        <v>776</v>
      </c>
      <c r="C71" s="327">
        <f ca="1">ROUND(C68*10000/F71,0)</f>
        <v>-270</v>
      </c>
      <c r="D71" s="918" t="s">
        <v>777</v>
      </c>
      <c r="E71" s="919" t="s">
        <v>778</v>
      </c>
      <c r="F71" s="330">
        <f ca="1">F43</f>
        <v>8155.52</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188</v>
      </c>
      <c r="D75" s="1291"/>
      <c r="E75" s="1291"/>
      <c r="F75" s="1291"/>
      <c r="K75" s="1308"/>
      <c r="L75" s="1291"/>
      <c r="O75" s="1324" t="s">
        <v>409</v>
      </c>
      <c r="P75" s="1325" t="s">
        <v>838</v>
      </c>
      <c r="Q75" s="1326">
        <f ca="1">Q65+Q66</f>
        <v>6376</v>
      </c>
      <c r="R75" s="1326" t="s">
        <v>410</v>
      </c>
    </row>
    <row r="76" spans="1:18" ht="13">
      <c r="B76" s="333" t="s">
        <v>796</v>
      </c>
      <c r="C76" s="334">
        <f ca="1">INDIRECT("'数据-取费表'!j"&amp;$G$1)</f>
        <v>7.0000000000000007E-2</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f ca="1">1-C80</f>
        <v>0.64800000000000002</v>
      </c>
    </row>
    <row r="80" spans="1:18" ht="13">
      <c r="B80" s="331" t="s">
        <v>800</v>
      </c>
      <c r="C80" s="266">
        <f ca="1">ROUND(C75/C39,3)</f>
        <v>0.35199999999999998</v>
      </c>
    </row>
    <row r="81" spans="2:3" ht="13.5">
      <c r="B81" s="262" t="s">
        <v>801</v>
      </c>
      <c r="C81" s="230"/>
    </row>
    <row r="82" spans="2:3" ht="13">
      <c r="B82" s="265" t="s">
        <v>802</v>
      </c>
      <c r="C82" s="267">
        <f ca="1">1-C83</f>
        <v>0.57899999999999996</v>
      </c>
    </row>
    <row r="83" spans="2:3" ht="13">
      <c r="B83" s="265" t="s">
        <v>803</v>
      </c>
      <c r="C83" s="266">
        <f ca="1">ROUND(C13/C40,3)</f>
        <v>0.42099999999999999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 priority="3">
      <formula>$F$10="自定义"</formula>
    </cfRule>
  </conditionalFormatting>
  <conditionalFormatting sqref="C54">
    <cfRule type="expression" dxfId="15" priority="1">
      <formula>$F$53="自定义"</formula>
    </cfRule>
  </conditionalFormatting>
  <conditionalFormatting sqref="I55 I60">
    <cfRule type="expression" dxfId="14" priority="5">
      <formula>$J$51&gt;$L$48</formula>
    </cfRule>
  </conditionalFormatting>
  <conditionalFormatting sqref="J11">
    <cfRule type="expression" dxfId="13" priority="2">
      <formula>$M$10="自定义"</formula>
    </cfRule>
  </conditionalFormatting>
  <conditionalFormatting sqref="K55 K60">
    <cfRule type="expression" dxfId="12" priority="4">
      <formula>$L$48&gt;$J$51</formula>
    </cfRule>
  </conditionalFormatting>
  <dataValidations count="9">
    <dataValidation type="list" allowBlank="1" showInputMessage="1" showErrorMessage="1" sqref="K19" xr:uid="{93F25BDB-6057-48B6-A64E-AA3AD373BC8B}">
      <formula1>"按租金收入计税,按房产原值计税"</formula1>
    </dataValidation>
    <dataValidation type="list" allowBlank="1" showInputMessage="1" showErrorMessage="1" sqref="D33 D61" xr:uid="{3FDE2258-2F56-4843-8347-51D4AE8EA0C0}">
      <formula1>"按租金收入计税,按房产原值计税,按票据"</formula1>
    </dataValidation>
    <dataValidation type="list" allowBlank="1" showInputMessage="1" showErrorMessage="1" sqref="C1" xr:uid="{6781E529-AF78-4F26-B928-097CDE48F1C3}">
      <formula1>项目类型</formula1>
    </dataValidation>
    <dataValidation type="list" allowBlank="1" showInputMessage="1" showErrorMessage="1" sqref="J47" xr:uid="{9FB5A43D-D6FD-4008-B66A-6A99C42E573A}">
      <formula1>"钢,钢混,砖混"</formula1>
    </dataValidation>
    <dataValidation type="list" allowBlank="1" showInputMessage="1" showErrorMessage="1" sqref="J48" xr:uid="{956AE026-BEF6-4B7E-97AB-D672944B105D}">
      <formula1>"非生产用房,生产用房,受腐蚀的生产用房"</formula1>
    </dataValidation>
    <dataValidation type="list" allowBlank="1" showInputMessage="1" showErrorMessage="1" sqref="J56" xr:uid="{6FA59320-7A2F-4E4C-8562-64C35F715B91}">
      <formula1>估价范围判定</formula1>
    </dataValidation>
    <dataValidation type="list" allowBlank="1" showInputMessage="1" showErrorMessage="1" sqref="L55" xr:uid="{65E56573-5C3A-4ADA-A352-4D450E8F6CF9}">
      <formula1>"比较法,基准地价,收益还原"</formula1>
    </dataValidation>
    <dataValidation type="list" allowBlank="1" showInputMessage="1" showErrorMessage="1" sqref="M10 F10 F53" xr:uid="{0ECE8134-7335-46EF-BE14-7DEFF96CC4E7}">
      <formula1>"押一,押二,押三,自定义"</formula1>
    </dataValidation>
    <dataValidation type="list" allowBlank="1" showInputMessage="1" showErrorMessage="1" sqref="D1" xr:uid="{0899185B-0D92-4CFC-9681-8751E22D9827}">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4" t="s">
        <v>2607</v>
      </c>
      <c r="B20" s="3474" t="s">
        <v>2628</v>
      </c>
      <c r="C20" s="3166" t="s">
        <v>2439</v>
      </c>
      <c r="D20" s="3166"/>
      <c r="E20" s="2842">
        <v>1</v>
      </c>
      <c r="F20" s="2843" t="s">
        <v>2440</v>
      </c>
      <c r="G20" s="2843"/>
    </row>
    <row r="21" spans="1:13" ht="19.5" customHeight="1">
      <c r="A21" s="3485"/>
      <c r="B21" s="3475"/>
      <c r="C21" s="2855" t="s">
        <v>2441</v>
      </c>
      <c r="D21" s="2855"/>
      <c r="E21" s="2846">
        <v>1</v>
      </c>
      <c r="F21" s="2843" t="s">
        <v>2442</v>
      </c>
      <c r="G21" s="2843"/>
    </row>
    <row r="22" spans="1:13" ht="19.5" customHeight="1">
      <c r="A22" s="3485"/>
      <c r="B22" s="3475"/>
      <c r="C22" s="2855" t="s">
        <v>2443</v>
      </c>
      <c r="D22" s="2855"/>
      <c r="E22" s="2846">
        <v>0.9</v>
      </c>
      <c r="F22" s="2843" t="s">
        <v>2444</v>
      </c>
      <c r="G22" s="2843"/>
    </row>
    <row r="23" spans="1:13" ht="19.5" customHeight="1">
      <c r="A23" s="3485"/>
      <c r="B23" s="3475"/>
      <c r="C23" s="2855" t="s">
        <v>2445</v>
      </c>
      <c r="D23" s="2855"/>
      <c r="E23" s="2846">
        <v>0.9</v>
      </c>
      <c r="F23" s="2843" t="s">
        <v>2446</v>
      </c>
      <c r="G23" s="2843"/>
    </row>
    <row r="24" spans="1:13" ht="19.5" customHeight="1">
      <c r="A24" s="3485"/>
      <c r="B24" s="3475"/>
      <c r="C24" s="2855" t="s">
        <v>2447</v>
      </c>
      <c r="D24" s="2855"/>
      <c r="E24" s="2846">
        <v>0.8</v>
      </c>
      <c r="F24" s="2843" t="s">
        <v>2448</v>
      </c>
      <c r="G24" s="2843"/>
    </row>
    <row r="25" spans="1:13" ht="19.5" customHeight="1">
      <c r="A25" s="3485"/>
      <c r="B25" s="3475"/>
      <c r="C25" s="2855" t="s">
        <v>2449</v>
      </c>
      <c r="D25" s="2855"/>
      <c r="E25" s="2846">
        <v>0.8</v>
      </c>
      <c r="F25" s="2843"/>
      <c r="G25" s="2843"/>
    </row>
    <row r="26" spans="1:13" ht="19.5" customHeight="1">
      <c r="A26" s="3485"/>
      <c r="B26" s="3475"/>
      <c r="C26" s="2855" t="s">
        <v>3406</v>
      </c>
      <c r="D26" s="2855"/>
      <c r="E26" s="2846">
        <v>0.43</v>
      </c>
      <c r="F26" s="2843"/>
      <c r="G26" s="2843"/>
    </row>
    <row r="27" spans="1:13" ht="19.5" customHeight="1" thickBot="1">
      <c r="A27" s="3486"/>
      <c r="B27" s="3476"/>
      <c r="C27" s="3162" t="s">
        <v>3407</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7" t="s">
        <v>2631</v>
      </c>
      <c r="B29" s="3480" t="s">
        <v>2612</v>
      </c>
      <c r="C29" s="2840" t="s">
        <v>2452</v>
      </c>
      <c r="D29" s="2841"/>
      <c r="E29" s="2842">
        <v>1</v>
      </c>
      <c r="F29" s="2843" t="s">
        <v>2453</v>
      </c>
      <c r="G29" s="2843"/>
    </row>
    <row r="30" spans="1:13" ht="19.5" customHeight="1">
      <c r="A30" s="3478"/>
      <c r="B30" s="3481"/>
      <c r="C30" s="2844" t="s">
        <v>2454</v>
      </c>
      <c r="D30" s="2845"/>
      <c r="E30" s="2846">
        <v>1</v>
      </c>
      <c r="F30" s="2843" t="s">
        <v>2455</v>
      </c>
      <c r="G30" s="2843"/>
    </row>
    <row r="31" spans="1:13" ht="19.5" customHeight="1">
      <c r="A31" s="3478"/>
      <c r="B31" s="3481"/>
      <c r="C31" s="2844" t="s">
        <v>2456</v>
      </c>
      <c r="D31" s="2845"/>
      <c r="E31" s="2846">
        <v>0.8</v>
      </c>
      <c r="F31" s="2843" t="s">
        <v>2457</v>
      </c>
      <c r="G31" s="2843"/>
    </row>
    <row r="32" spans="1:13" ht="19.5" customHeight="1">
      <c r="A32" s="3478"/>
      <c r="B32" s="3481"/>
      <c r="C32" s="2844" t="s">
        <v>2458</v>
      </c>
      <c r="D32" s="2845"/>
      <c r="E32" s="2846">
        <v>0.8</v>
      </c>
      <c r="F32" s="2843" t="s">
        <v>2459</v>
      </c>
      <c r="G32" s="2843"/>
    </row>
    <row r="33" spans="1:7" ht="19.5" customHeight="1">
      <c r="A33" s="3478"/>
      <c r="B33" s="3481"/>
      <c r="C33" s="2844" t="s">
        <v>2460</v>
      </c>
      <c r="D33" s="2845"/>
      <c r="E33" s="2846">
        <v>0.8</v>
      </c>
      <c r="F33" s="2843" t="s">
        <v>2461</v>
      </c>
      <c r="G33" s="2843"/>
    </row>
    <row r="34" spans="1:7" ht="19.5" customHeight="1">
      <c r="A34" s="3478"/>
      <c r="B34" s="3481"/>
      <c r="C34" s="2844" t="s">
        <v>2462</v>
      </c>
      <c r="D34" s="2845"/>
      <c r="E34" s="2846">
        <v>0.7</v>
      </c>
      <c r="F34" s="2843" t="s">
        <v>2463</v>
      </c>
      <c r="G34" s="2843"/>
    </row>
    <row r="35" spans="1:7" ht="19.5" customHeight="1">
      <c r="A35" s="3478"/>
      <c r="B35" s="3481"/>
      <c r="C35" s="2844" t="s">
        <v>2464</v>
      </c>
      <c r="D35" s="2845"/>
      <c r="E35" s="2846">
        <v>0.8</v>
      </c>
      <c r="F35" s="2843" t="s">
        <v>2465</v>
      </c>
      <c r="G35" s="2843"/>
    </row>
    <row r="36" spans="1:7" ht="19.5" customHeight="1">
      <c r="A36" s="3478"/>
      <c r="B36" s="3481"/>
      <c r="C36" s="2844" t="s">
        <v>2466</v>
      </c>
      <c r="D36" s="2845"/>
      <c r="E36" s="2846">
        <v>0.6</v>
      </c>
      <c r="F36" s="2843" t="s">
        <v>2467</v>
      </c>
      <c r="G36" s="2843"/>
    </row>
    <row r="37" spans="1:7" ht="19.5" customHeight="1">
      <c r="A37" s="3478"/>
      <c r="B37" s="3481"/>
      <c r="C37" s="2844" t="s">
        <v>2468</v>
      </c>
      <c r="D37" s="2845"/>
      <c r="E37" s="2846">
        <v>0.2</v>
      </c>
      <c r="F37" s="2843" t="s">
        <v>2469</v>
      </c>
      <c r="G37" s="2843"/>
    </row>
    <row r="38" spans="1:7" ht="19.5" customHeight="1">
      <c r="A38" s="3478"/>
      <c r="B38" s="3481"/>
      <c r="C38" s="2844" t="s">
        <v>2470</v>
      </c>
      <c r="D38" s="2845"/>
      <c r="E38" s="2846">
        <v>0.2</v>
      </c>
      <c r="F38" s="2843" t="s">
        <v>2471</v>
      </c>
      <c r="G38" s="2843"/>
    </row>
    <row r="39" spans="1:7" ht="19.5" customHeight="1">
      <c r="A39" s="3478"/>
      <c r="B39" s="3482" t="s">
        <v>2632</v>
      </c>
      <c r="C39" s="2844" t="s">
        <v>2472</v>
      </c>
      <c r="D39" s="2845"/>
      <c r="E39" s="2846">
        <v>0.6</v>
      </c>
      <c r="F39" s="2843" t="s">
        <v>2473</v>
      </c>
      <c r="G39" s="2843"/>
    </row>
    <row r="40" spans="1:7" ht="19.5" customHeight="1">
      <c r="A40" s="3478"/>
      <c r="B40" s="3481"/>
      <c r="C40" s="2844" t="s">
        <v>2474</v>
      </c>
      <c r="D40" s="2845"/>
      <c r="E40" s="2846">
        <v>0.6</v>
      </c>
      <c r="F40" s="2843" t="s">
        <v>2475</v>
      </c>
      <c r="G40" s="2843"/>
    </row>
    <row r="41" spans="1:7" ht="19.5" customHeight="1" thickBot="1">
      <c r="A41" s="3479"/>
      <c r="B41" s="3483"/>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4" t="s">
        <v>2610</v>
      </c>
      <c r="B43" s="3480" t="s">
        <v>2634</v>
      </c>
      <c r="C43" s="2840" t="s">
        <v>2479</v>
      </c>
      <c r="D43" s="2841"/>
      <c r="E43" s="2842">
        <v>1</v>
      </c>
      <c r="F43" s="2843" t="s">
        <v>2480</v>
      </c>
      <c r="G43" s="2843"/>
    </row>
    <row r="44" spans="1:7" ht="19.5" customHeight="1">
      <c r="A44" s="3485"/>
      <c r="B44" s="3481"/>
      <c r="C44" s="2844" t="s">
        <v>2481</v>
      </c>
      <c r="D44" s="2845"/>
      <c r="E44" s="2846">
        <v>1</v>
      </c>
      <c r="F44" s="2843" t="s">
        <v>2482</v>
      </c>
      <c r="G44" s="2843"/>
    </row>
    <row r="45" spans="1:7" ht="19.5" customHeight="1">
      <c r="A45" s="3485"/>
      <c r="B45" s="3487"/>
      <c r="C45" s="2844" t="s">
        <v>2483</v>
      </c>
      <c r="D45" s="2845"/>
      <c r="E45" s="2846">
        <v>1.5</v>
      </c>
      <c r="F45" s="2843" t="s">
        <v>2484</v>
      </c>
      <c r="G45" s="2843"/>
    </row>
    <row r="46" spans="1:7" ht="19.5" customHeight="1">
      <c r="A46" s="3485"/>
      <c r="B46" s="2855" t="s">
        <v>2635</v>
      </c>
      <c r="C46" s="2844" t="s">
        <v>2636</v>
      </c>
      <c r="D46" s="2845"/>
      <c r="E46" s="2846">
        <v>2</v>
      </c>
      <c r="F46" s="2843" t="s">
        <v>2485</v>
      </c>
      <c r="G46" s="2843"/>
    </row>
    <row r="47" spans="1:7" ht="19.5" customHeight="1">
      <c r="A47" s="3485"/>
      <c r="B47" s="3482" t="s">
        <v>2637</v>
      </c>
      <c r="C47" s="2844" t="s">
        <v>2486</v>
      </c>
      <c r="D47" s="2845"/>
      <c r="E47" s="2846">
        <v>1</v>
      </c>
      <c r="F47" s="2843" t="s">
        <v>2487</v>
      </c>
      <c r="G47" s="2843"/>
    </row>
    <row r="48" spans="1:7" ht="19.5" customHeight="1">
      <c r="A48" s="3485"/>
      <c r="B48" s="3481"/>
      <c r="C48" s="2844" t="s">
        <v>2488</v>
      </c>
      <c r="D48" s="2845"/>
      <c r="E48" s="2846">
        <v>1</v>
      </c>
      <c r="F48" s="2843" t="s">
        <v>2489</v>
      </c>
      <c r="G48" s="2843"/>
    </row>
    <row r="49" spans="1:7" ht="19.5" customHeight="1">
      <c r="A49" s="3485"/>
      <c r="B49" s="3481"/>
      <c r="C49" s="2844" t="s">
        <v>2490</v>
      </c>
      <c r="D49" s="2845"/>
      <c r="E49" s="2846">
        <v>1</v>
      </c>
      <c r="F49" s="2843" t="s">
        <v>2491</v>
      </c>
      <c r="G49" s="2843"/>
    </row>
    <row r="50" spans="1:7" ht="19.5" customHeight="1">
      <c r="A50" s="3485"/>
      <c r="B50" s="3481"/>
      <c r="C50" s="2844" t="s">
        <v>2492</v>
      </c>
      <c r="D50" s="2845"/>
      <c r="E50" s="2846">
        <v>1</v>
      </c>
      <c r="F50" s="2843" t="s">
        <v>2493</v>
      </c>
      <c r="G50" s="2843"/>
    </row>
    <row r="51" spans="1:7" ht="19.5" customHeight="1">
      <c r="A51" s="3485"/>
      <c r="B51" s="3481"/>
      <c r="C51" s="2844" t="s">
        <v>2494</v>
      </c>
      <c r="D51" s="2845"/>
      <c r="E51" s="2846">
        <v>1</v>
      </c>
      <c r="F51" s="2843" t="s">
        <v>2495</v>
      </c>
      <c r="G51" s="2843"/>
    </row>
    <row r="52" spans="1:7" ht="19.5" customHeight="1">
      <c r="A52" s="3485"/>
      <c r="B52" s="3481"/>
      <c r="C52" s="2844" t="s">
        <v>2496</v>
      </c>
      <c r="D52" s="2845"/>
      <c r="E52" s="2846">
        <v>1</v>
      </c>
      <c r="F52" s="2843" t="s">
        <v>2497</v>
      </c>
      <c r="G52" s="2843"/>
    </row>
    <row r="53" spans="1:7" ht="19.5" customHeight="1" thickBot="1">
      <c r="A53" s="3486"/>
      <c r="B53" s="3483"/>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82" t="s">
        <v>2651</v>
      </c>
      <c r="C75" s="2829" t="s">
        <v>2652</v>
      </c>
      <c r="D75" s="2829" t="s">
        <v>2653</v>
      </c>
      <c r="E75" s="2855">
        <v>0.2</v>
      </c>
      <c r="F75" s="2855">
        <v>25</v>
      </c>
    </row>
    <row r="76" spans="1:7" ht="26">
      <c r="A76" s="2855">
        <v>2</v>
      </c>
      <c r="B76" s="3481"/>
      <c r="C76" s="2829" t="s">
        <v>2654</v>
      </c>
      <c r="D76" s="2829" t="s">
        <v>2655</v>
      </c>
      <c r="E76" s="2855">
        <v>0.2</v>
      </c>
      <c r="F76" s="2855">
        <v>25</v>
      </c>
    </row>
    <row r="77" spans="1:7" ht="26">
      <c r="A77" s="2855">
        <v>3</v>
      </c>
      <c r="B77" s="3481"/>
      <c r="C77" s="2829" t="s">
        <v>2656</v>
      </c>
      <c r="D77" s="2829" t="s">
        <v>2657</v>
      </c>
      <c r="E77" s="2855">
        <v>0.2</v>
      </c>
      <c r="F77" s="2855">
        <v>25</v>
      </c>
    </row>
    <row r="78" spans="1:7" ht="14">
      <c r="A78" s="2855">
        <v>4</v>
      </c>
      <c r="B78" s="3481"/>
      <c r="C78" s="2829" t="s">
        <v>2658</v>
      </c>
      <c r="D78" s="2829" t="s">
        <v>2659</v>
      </c>
      <c r="E78" s="2855">
        <v>0.15</v>
      </c>
      <c r="F78" s="2855">
        <v>20</v>
      </c>
    </row>
    <row r="79" spans="1:7" ht="26">
      <c r="A79" s="2855">
        <v>5</v>
      </c>
      <c r="B79" s="3481"/>
      <c r="C79" s="2829" t="s">
        <v>2660</v>
      </c>
      <c r="D79" s="2829" t="s">
        <v>2661</v>
      </c>
      <c r="E79" s="2855">
        <v>0.15</v>
      </c>
      <c r="F79" s="2855">
        <v>20</v>
      </c>
    </row>
    <row r="80" spans="1:7" ht="26">
      <c r="A80" s="2855">
        <v>6</v>
      </c>
      <c r="B80" s="3481"/>
      <c r="C80" s="2829" t="s">
        <v>2662</v>
      </c>
      <c r="D80" s="2829" t="s">
        <v>2663</v>
      </c>
      <c r="E80" s="2855">
        <v>0.15</v>
      </c>
      <c r="F80" s="2855">
        <v>20</v>
      </c>
    </row>
    <row r="81" spans="1:6" ht="26">
      <c r="A81" s="2855">
        <v>7</v>
      </c>
      <c r="B81" s="3481"/>
      <c r="C81" s="2829" t="s">
        <v>2664</v>
      </c>
      <c r="D81" s="2829" t="s">
        <v>2665</v>
      </c>
      <c r="E81" s="2855">
        <v>0.15</v>
      </c>
      <c r="F81" s="2855">
        <v>20</v>
      </c>
    </row>
    <row r="82" spans="1:6" ht="26">
      <c r="A82" s="2855">
        <v>8</v>
      </c>
      <c r="B82" s="3481"/>
      <c r="C82" s="2829" t="s">
        <v>2666</v>
      </c>
      <c r="D82" s="2829" t="s">
        <v>2667</v>
      </c>
      <c r="E82" s="2855">
        <v>0.1</v>
      </c>
      <c r="F82" s="2855">
        <v>15</v>
      </c>
    </row>
    <row r="83" spans="1:6" ht="26">
      <c r="A83" s="2855">
        <v>9</v>
      </c>
      <c r="B83" s="3481"/>
      <c r="C83" s="2829" t="s">
        <v>2668</v>
      </c>
      <c r="D83" s="2829" t="s">
        <v>2669</v>
      </c>
      <c r="E83" s="2855">
        <v>0.1</v>
      </c>
      <c r="F83" s="2855">
        <v>15</v>
      </c>
    </row>
    <row r="84" spans="1:6" ht="26">
      <c r="A84" s="2855">
        <v>10</v>
      </c>
      <c r="B84" s="3481"/>
      <c r="C84" s="2829" t="s">
        <v>2670</v>
      </c>
      <c r="D84" s="2829" t="s">
        <v>2671</v>
      </c>
      <c r="E84" s="2855">
        <v>0.1</v>
      </c>
      <c r="F84" s="2855">
        <v>15</v>
      </c>
    </row>
    <row r="85" spans="1:6" ht="26">
      <c r="A85" s="2855">
        <v>11</v>
      </c>
      <c r="B85" s="3481"/>
      <c r="C85" s="2829" t="s">
        <v>2672</v>
      </c>
      <c r="D85" s="2829" t="s">
        <v>2673</v>
      </c>
      <c r="E85" s="2855">
        <v>0.1</v>
      </c>
      <c r="F85" s="2855">
        <v>15</v>
      </c>
    </row>
    <row r="86" spans="1:6" ht="26">
      <c r="A86" s="2855">
        <v>12</v>
      </c>
      <c r="B86" s="3481"/>
      <c r="C86" s="2829" t="s">
        <v>2674</v>
      </c>
      <c r="D86" s="2829" t="s">
        <v>2675</v>
      </c>
      <c r="E86" s="2855">
        <v>0.1</v>
      </c>
      <c r="F86" s="2855">
        <v>15</v>
      </c>
    </row>
    <row r="87" spans="1:6" ht="14">
      <c r="A87" s="2855">
        <v>13</v>
      </c>
      <c r="B87" s="3481"/>
      <c r="C87" s="2829" t="s">
        <v>2676</v>
      </c>
      <c r="D87" s="2829" t="s">
        <v>2677</v>
      </c>
      <c r="E87" s="2855">
        <v>0.1</v>
      </c>
      <c r="F87" s="2855">
        <v>15</v>
      </c>
    </row>
    <row r="88" spans="1:6" ht="14">
      <c r="A88" s="2855">
        <v>14</v>
      </c>
      <c r="B88" s="3481"/>
      <c r="C88" s="2829" t="s">
        <v>2678</v>
      </c>
      <c r="D88" s="2829" t="s">
        <v>2679</v>
      </c>
      <c r="E88" s="2855">
        <v>0.1</v>
      </c>
      <c r="F88" s="2855">
        <v>15</v>
      </c>
    </row>
    <row r="89" spans="1:6" ht="14">
      <c r="A89" s="2855">
        <v>15</v>
      </c>
      <c r="B89" s="3481"/>
      <c r="C89" s="2829" t="s">
        <v>2680</v>
      </c>
      <c r="D89" s="2829" t="s">
        <v>2681</v>
      </c>
      <c r="E89" s="2855">
        <v>0.1</v>
      </c>
      <c r="F89" s="2855">
        <v>15</v>
      </c>
    </row>
    <row r="90" spans="1:6" ht="26">
      <c r="A90" s="2855">
        <v>16</v>
      </c>
      <c r="B90" s="3481"/>
      <c r="C90" s="2829" t="s">
        <v>2682</v>
      </c>
      <c r="D90" s="2829" t="s">
        <v>2683</v>
      </c>
      <c r="E90" s="2855">
        <v>0.1</v>
      </c>
      <c r="F90" s="2855">
        <v>15</v>
      </c>
    </row>
    <row r="91" spans="1:6" ht="26">
      <c r="A91" s="2855">
        <v>17</v>
      </c>
      <c r="B91" s="3487"/>
      <c r="C91" s="2829" t="s">
        <v>2684</v>
      </c>
      <c r="D91" s="2829" t="s">
        <v>2685</v>
      </c>
      <c r="E91" s="2855">
        <v>0.1</v>
      </c>
      <c r="F91" s="2855">
        <v>15</v>
      </c>
    </row>
    <row r="92" spans="1:6" ht="14">
      <c r="A92" s="2855">
        <v>18</v>
      </c>
      <c r="B92" s="3482" t="s">
        <v>2686</v>
      </c>
      <c r="C92" s="2829" t="s">
        <v>2687</v>
      </c>
      <c r="D92" s="2829" t="s">
        <v>2688</v>
      </c>
      <c r="E92" s="2855">
        <v>0.2</v>
      </c>
      <c r="F92" s="2855">
        <v>25</v>
      </c>
    </row>
    <row r="93" spans="1:6" ht="26">
      <c r="A93" s="2855">
        <v>19</v>
      </c>
      <c r="B93" s="3481"/>
      <c r="C93" s="2829" t="s">
        <v>2689</v>
      </c>
      <c r="D93" s="2829" t="s">
        <v>2690</v>
      </c>
      <c r="E93" s="2855">
        <v>0.2</v>
      </c>
      <c r="F93" s="2855">
        <v>25</v>
      </c>
    </row>
    <row r="94" spans="1:6" ht="14">
      <c r="A94" s="2855">
        <v>20</v>
      </c>
      <c r="B94" s="3481"/>
      <c r="C94" s="2829" t="s">
        <v>2691</v>
      </c>
      <c r="D94" s="2829" t="s">
        <v>2692</v>
      </c>
      <c r="E94" s="2855">
        <v>0.15</v>
      </c>
      <c r="F94" s="2855">
        <v>20</v>
      </c>
    </row>
    <row r="95" spans="1:6" ht="26">
      <c r="A95" s="2855">
        <v>21</v>
      </c>
      <c r="B95" s="3481"/>
      <c r="C95" s="2829" t="s">
        <v>2693</v>
      </c>
      <c r="D95" s="2829" t="s">
        <v>2694</v>
      </c>
      <c r="E95" s="2855">
        <v>0.15</v>
      </c>
      <c r="F95" s="2855">
        <v>20</v>
      </c>
    </row>
    <row r="96" spans="1:6" ht="26">
      <c r="A96" s="2855">
        <v>22</v>
      </c>
      <c r="B96" s="3481"/>
      <c r="C96" s="2829" t="s">
        <v>2695</v>
      </c>
      <c r="D96" s="2829" t="s">
        <v>2696</v>
      </c>
      <c r="E96" s="2855">
        <v>0.15</v>
      </c>
      <c r="F96" s="2855">
        <v>20</v>
      </c>
    </row>
    <row r="97" spans="1:6" ht="39">
      <c r="A97" s="2855">
        <v>23</v>
      </c>
      <c r="B97" s="3481"/>
      <c r="C97" s="2829" t="s">
        <v>2697</v>
      </c>
      <c r="D97" s="2829" t="s">
        <v>2698</v>
      </c>
      <c r="E97" s="2855">
        <v>0.15</v>
      </c>
      <c r="F97" s="2855">
        <v>20</v>
      </c>
    </row>
    <row r="98" spans="1:6" ht="14">
      <c r="A98" s="2855">
        <v>24</v>
      </c>
      <c r="B98" s="3481"/>
      <c r="C98" s="2829" t="s">
        <v>2699</v>
      </c>
      <c r="D98" s="2829" t="s">
        <v>2700</v>
      </c>
      <c r="E98" s="2855">
        <v>0.1</v>
      </c>
      <c r="F98" s="2855">
        <v>15</v>
      </c>
    </row>
    <row r="99" spans="1:6" ht="26">
      <c r="A99" s="2855">
        <v>25</v>
      </c>
      <c r="B99" s="3481"/>
      <c r="C99" s="2829" t="s">
        <v>2701</v>
      </c>
      <c r="D99" s="2829" t="s">
        <v>2702</v>
      </c>
      <c r="E99" s="2855">
        <v>0.1</v>
      </c>
      <c r="F99" s="2855">
        <v>15</v>
      </c>
    </row>
    <row r="100" spans="1:6" ht="26">
      <c r="A100" s="2855">
        <v>26</v>
      </c>
      <c r="B100" s="3481"/>
      <c r="C100" s="2829" t="s">
        <v>2703</v>
      </c>
      <c r="D100" s="2829" t="s">
        <v>2704</v>
      </c>
      <c r="E100" s="2855">
        <v>0.1</v>
      </c>
      <c r="F100" s="2855">
        <v>15</v>
      </c>
    </row>
    <row r="101" spans="1:6" ht="26">
      <c r="A101" s="2855">
        <v>27</v>
      </c>
      <c r="B101" s="3481"/>
      <c r="C101" s="2829" t="s">
        <v>2705</v>
      </c>
      <c r="D101" s="2829" t="s">
        <v>2706</v>
      </c>
      <c r="E101" s="2855">
        <v>0.1</v>
      </c>
      <c r="F101" s="2855">
        <v>15</v>
      </c>
    </row>
    <row r="102" spans="1:6" ht="26">
      <c r="A102" s="2855">
        <v>28</v>
      </c>
      <c r="B102" s="3481"/>
      <c r="C102" s="2829" t="s">
        <v>2707</v>
      </c>
      <c r="D102" s="2829" t="s">
        <v>2708</v>
      </c>
      <c r="E102" s="2855">
        <v>0.1</v>
      </c>
      <c r="F102" s="2855">
        <v>15</v>
      </c>
    </row>
    <row r="103" spans="1:6" ht="26">
      <c r="A103" s="2855">
        <v>29</v>
      </c>
      <c r="B103" s="3481"/>
      <c r="C103" s="2829" t="s">
        <v>2709</v>
      </c>
      <c r="D103" s="2829" t="s">
        <v>2710</v>
      </c>
      <c r="E103" s="2855">
        <v>0.1</v>
      </c>
      <c r="F103" s="2855">
        <v>15</v>
      </c>
    </row>
    <row r="104" spans="1:6" ht="26">
      <c r="A104" s="2855">
        <v>30</v>
      </c>
      <c r="B104" s="3481"/>
      <c r="C104" s="2829" t="s">
        <v>2711</v>
      </c>
      <c r="D104" s="2829" t="s">
        <v>2712</v>
      </c>
      <c r="E104" s="2855">
        <v>0.1</v>
      </c>
      <c r="F104" s="2855">
        <v>15</v>
      </c>
    </row>
    <row r="105" spans="1:6" ht="26">
      <c r="A105" s="2855">
        <v>31</v>
      </c>
      <c r="B105" s="3481"/>
      <c r="C105" s="2829" t="s">
        <v>2713</v>
      </c>
      <c r="D105" s="2829" t="s">
        <v>2714</v>
      </c>
      <c r="E105" s="2855">
        <v>0.1</v>
      </c>
      <c r="F105" s="2855">
        <v>15</v>
      </c>
    </row>
    <row r="106" spans="1:6" ht="26">
      <c r="A106" s="2855">
        <v>32</v>
      </c>
      <c r="B106" s="3481"/>
      <c r="C106" s="2829" t="s">
        <v>2715</v>
      </c>
      <c r="D106" s="2829" t="s">
        <v>2716</v>
      </c>
      <c r="E106" s="2855">
        <v>0.1</v>
      </c>
      <c r="F106" s="2855">
        <v>15</v>
      </c>
    </row>
    <row r="107" spans="1:6" ht="26">
      <c r="A107" s="2855">
        <v>33</v>
      </c>
      <c r="B107" s="3481"/>
      <c r="C107" s="2829" t="s">
        <v>2717</v>
      </c>
      <c r="D107" s="2829" t="s">
        <v>2718</v>
      </c>
      <c r="E107" s="2855">
        <v>0.1</v>
      </c>
      <c r="F107" s="2855">
        <v>15</v>
      </c>
    </row>
    <row r="108" spans="1:6" ht="26">
      <c r="A108" s="2855">
        <v>34</v>
      </c>
      <c r="B108" s="3487"/>
      <c r="C108" s="2829" t="s">
        <v>2719</v>
      </c>
      <c r="D108" s="2829" t="s">
        <v>2720</v>
      </c>
      <c r="E108" s="2855">
        <v>0.1</v>
      </c>
      <c r="F108" s="2855">
        <v>15</v>
      </c>
    </row>
    <row r="109" spans="1:6" ht="26">
      <c r="A109" s="2855">
        <v>35</v>
      </c>
      <c r="B109" s="3482" t="s">
        <v>2721</v>
      </c>
      <c r="C109" s="2855" t="s">
        <v>2722</v>
      </c>
      <c r="D109" s="2829" t="s">
        <v>2723</v>
      </c>
      <c r="E109" s="2855">
        <v>0.15</v>
      </c>
      <c r="F109" s="2855">
        <v>20</v>
      </c>
    </row>
    <row r="110" spans="1:6" ht="26">
      <c r="A110" s="2855">
        <v>36</v>
      </c>
      <c r="B110" s="3481"/>
      <c r="C110" s="2855" t="s">
        <v>2724</v>
      </c>
      <c r="D110" s="2829" t="s">
        <v>2725</v>
      </c>
      <c r="E110" s="2855">
        <v>0.15</v>
      </c>
      <c r="F110" s="2855">
        <v>20</v>
      </c>
    </row>
    <row r="111" spans="1:6" ht="26">
      <c r="A111" s="2855">
        <v>37</v>
      </c>
      <c r="B111" s="3481"/>
      <c r="C111" s="2855" t="s">
        <v>2726</v>
      </c>
      <c r="D111" s="2829" t="s">
        <v>2727</v>
      </c>
      <c r="E111" s="2855">
        <v>0.15</v>
      </c>
      <c r="F111" s="2855">
        <v>20</v>
      </c>
    </row>
    <row r="112" spans="1:6" ht="14">
      <c r="A112" s="2855">
        <v>38</v>
      </c>
      <c r="B112" s="3481"/>
      <c r="C112" s="2855" t="s">
        <v>2728</v>
      </c>
      <c r="D112" s="2829" t="s">
        <v>2729</v>
      </c>
      <c r="E112" s="2855">
        <v>0.1</v>
      </c>
      <c r="F112" s="2855">
        <v>15</v>
      </c>
    </row>
    <row r="113" spans="1:6" ht="26">
      <c r="A113" s="2855">
        <v>39</v>
      </c>
      <c r="B113" s="3481"/>
      <c r="C113" s="2855" t="s">
        <v>2730</v>
      </c>
      <c r="D113" s="2829" t="s">
        <v>2731</v>
      </c>
      <c r="E113" s="2855">
        <v>0.1</v>
      </c>
      <c r="F113" s="2855">
        <v>15</v>
      </c>
    </row>
    <row r="114" spans="1:6" ht="26">
      <c r="A114" s="2855">
        <v>40</v>
      </c>
      <c r="B114" s="3487"/>
      <c r="C114" s="2855" t="s">
        <v>2732</v>
      </c>
      <c r="D114" s="2829" t="s">
        <v>2733</v>
      </c>
      <c r="E114" s="2855">
        <v>0.1</v>
      </c>
      <c r="F114" s="2855">
        <v>15</v>
      </c>
    </row>
    <row r="115" spans="1:6" ht="26">
      <c r="A115" s="2855">
        <v>41</v>
      </c>
      <c r="B115" s="3475" t="s">
        <v>2734</v>
      </c>
      <c r="C115" s="2855" t="s">
        <v>2735</v>
      </c>
      <c r="D115" s="2829" t="s">
        <v>2736</v>
      </c>
      <c r="E115" s="2855">
        <v>0.1</v>
      </c>
      <c r="F115" s="2855">
        <v>15</v>
      </c>
    </row>
    <row r="116" spans="1:6" ht="14">
      <c r="A116" s="2855">
        <v>42</v>
      </c>
      <c r="B116" s="3475"/>
      <c r="C116" s="2855" t="s">
        <v>2737</v>
      </c>
      <c r="D116" s="2829" t="s">
        <v>2738</v>
      </c>
      <c r="E116" s="2855">
        <v>0.1</v>
      </c>
      <c r="F116" s="2855">
        <v>15</v>
      </c>
    </row>
    <row r="117" spans="1:6" ht="26">
      <c r="A117" s="2855">
        <v>43</v>
      </c>
      <c r="B117" s="3475"/>
      <c r="C117" s="2855" t="s">
        <v>2739</v>
      </c>
      <c r="D117" s="2829" t="s">
        <v>2740</v>
      </c>
      <c r="E117" s="2855">
        <v>0.1</v>
      </c>
      <c r="F117" s="2855">
        <v>15</v>
      </c>
    </row>
    <row r="118" spans="1:6" ht="26">
      <c r="A118" s="2855">
        <v>44</v>
      </c>
      <c r="B118" s="3482" t="s">
        <v>2741</v>
      </c>
      <c r="C118" s="2855" t="s">
        <v>2742</v>
      </c>
      <c r="D118" s="2829" t="s">
        <v>2743</v>
      </c>
      <c r="E118" s="2855">
        <v>0.1</v>
      </c>
      <c r="F118" s="2855">
        <v>15</v>
      </c>
    </row>
    <row r="119" spans="1:6" ht="26">
      <c r="A119" s="2855">
        <v>45</v>
      </c>
      <c r="B119" s="3487"/>
      <c r="C119" s="2829" t="s">
        <v>2744</v>
      </c>
      <c r="D119" s="2829" t="s">
        <v>2745</v>
      </c>
      <c r="E119" s="2855">
        <v>0.1</v>
      </c>
      <c r="F119" s="2855">
        <v>15</v>
      </c>
    </row>
    <row r="120" spans="1:6" ht="26">
      <c r="A120" s="2855">
        <v>46</v>
      </c>
      <c r="B120" s="3482" t="s">
        <v>2746</v>
      </c>
      <c r="C120" s="2855" t="s">
        <v>2747</v>
      </c>
      <c r="D120" s="2829" t="s">
        <v>2748</v>
      </c>
      <c r="E120" s="2855">
        <v>0.1</v>
      </c>
      <c r="F120" s="2855">
        <v>15</v>
      </c>
    </row>
    <row r="121" spans="1:6" ht="26">
      <c r="A121" s="2855">
        <v>47</v>
      </c>
      <c r="B121" s="3487"/>
      <c r="C121" s="2855" t="s">
        <v>2749</v>
      </c>
      <c r="D121" s="2829" t="s">
        <v>2750</v>
      </c>
      <c r="E121" s="2855">
        <v>0.1</v>
      </c>
      <c r="F121" s="2855">
        <v>15</v>
      </c>
    </row>
    <row r="122" spans="1:6" ht="26">
      <c r="A122" s="2855">
        <v>48</v>
      </c>
      <c r="B122" s="3482" t="s">
        <v>2751</v>
      </c>
      <c r="C122" s="2855" t="s">
        <v>2752</v>
      </c>
      <c r="D122" s="2829" t="s">
        <v>2753</v>
      </c>
      <c r="E122" s="2855">
        <v>0.1</v>
      </c>
      <c r="F122" s="2855">
        <v>15</v>
      </c>
    </row>
    <row r="123" spans="1:6" ht="14">
      <c r="A123" s="2855">
        <v>49</v>
      </c>
      <c r="B123" s="3487"/>
      <c r="C123" s="2855" t="s">
        <v>2754</v>
      </c>
      <c r="D123" s="2829" t="s">
        <v>2755</v>
      </c>
      <c r="E123" s="2855">
        <v>0.1</v>
      </c>
      <c r="F123" s="2855">
        <v>15</v>
      </c>
    </row>
    <row r="124" spans="1:6" ht="26">
      <c r="A124" s="2855">
        <v>50</v>
      </c>
      <c r="B124" s="3475" t="s">
        <v>2756</v>
      </c>
      <c r="C124" s="2855" t="s">
        <v>2757</v>
      </c>
      <c r="D124" s="2829" t="s">
        <v>2758</v>
      </c>
      <c r="E124" s="2855">
        <v>0.1</v>
      </c>
      <c r="F124" s="2855">
        <v>15</v>
      </c>
    </row>
    <row r="125" spans="1:6" ht="26">
      <c r="A125" s="2855">
        <v>51</v>
      </c>
      <c r="B125" s="3475"/>
      <c r="C125" s="2855" t="s">
        <v>2759</v>
      </c>
      <c r="D125" s="2829" t="s">
        <v>2760</v>
      </c>
      <c r="E125" s="2855">
        <v>0.1</v>
      </c>
      <c r="F125" s="2855">
        <v>15</v>
      </c>
    </row>
    <row r="126" spans="1:6" ht="26">
      <c r="A126" s="2855">
        <v>52</v>
      </c>
      <c r="B126" s="3475" t="s">
        <v>2761</v>
      </c>
      <c r="C126" s="2855" t="s">
        <v>2762</v>
      </c>
      <c r="D126" s="2829" t="s">
        <v>2763</v>
      </c>
      <c r="E126" s="2855">
        <v>0.1</v>
      </c>
      <c r="F126" s="2855">
        <v>15</v>
      </c>
    </row>
    <row r="127" spans="1:6" ht="26">
      <c r="A127" s="2855">
        <v>53</v>
      </c>
      <c r="B127" s="3475"/>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75" t="s">
        <v>2769</v>
      </c>
      <c r="C129" s="2855" t="s">
        <v>2770</v>
      </c>
      <c r="D129" s="2829" t="s">
        <v>2771</v>
      </c>
      <c r="E129" s="2855">
        <v>0.1</v>
      </c>
      <c r="F129" s="2855">
        <v>15</v>
      </c>
    </row>
    <row r="130" spans="1:6" ht="14">
      <c r="A130" s="2855">
        <v>56</v>
      </c>
      <c r="B130" s="3475"/>
      <c r="C130" s="2855" t="s">
        <v>2772</v>
      </c>
      <c r="D130" s="2829" t="s">
        <v>2773</v>
      </c>
      <c r="E130" s="2855">
        <v>0.1</v>
      </c>
      <c r="F130" s="2855">
        <v>15</v>
      </c>
    </row>
    <row r="131" spans="1:6" ht="26">
      <c r="A131" s="2855">
        <v>57</v>
      </c>
      <c r="B131" s="3475"/>
      <c r="C131" s="2855" t="s">
        <v>2774</v>
      </c>
      <c r="D131" s="2829" t="s">
        <v>2775</v>
      </c>
      <c r="E131" s="2855">
        <v>0.1</v>
      </c>
      <c r="F131" s="2855">
        <v>15</v>
      </c>
    </row>
    <row r="132" spans="1:6" ht="26">
      <c r="A132" s="2855">
        <v>58</v>
      </c>
      <c r="B132" s="3475" t="s">
        <v>2776</v>
      </c>
      <c r="C132" s="2855" t="s">
        <v>2777</v>
      </c>
      <c r="D132" s="2829" t="s">
        <v>2778</v>
      </c>
      <c r="E132" s="2855">
        <v>0.1</v>
      </c>
      <c r="F132" s="2855">
        <v>15</v>
      </c>
    </row>
    <row r="133" spans="1:6" ht="26">
      <c r="A133" s="2855">
        <v>59</v>
      </c>
      <c r="B133" s="3475"/>
      <c r="C133" s="2855" t="s">
        <v>2779</v>
      </c>
      <c r="D133" s="2829" t="s">
        <v>2780</v>
      </c>
      <c r="E133" s="2855">
        <v>0.1</v>
      </c>
      <c r="F133" s="2855">
        <v>15</v>
      </c>
    </row>
    <row r="134" spans="1:6" ht="26">
      <c r="A134" s="2855">
        <v>60</v>
      </c>
      <c r="B134" s="3482" t="s">
        <v>2781</v>
      </c>
      <c r="C134" s="2855" t="s">
        <v>2782</v>
      </c>
      <c r="D134" s="2829" t="s">
        <v>2783</v>
      </c>
      <c r="E134" s="2855">
        <v>0.1</v>
      </c>
      <c r="F134" s="2855">
        <v>15</v>
      </c>
    </row>
    <row r="135" spans="1:6" ht="26">
      <c r="A135" s="2855">
        <v>61</v>
      </c>
      <c r="B135" s="3487"/>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75" t="s">
        <v>2789</v>
      </c>
      <c r="C137" s="2855" t="s">
        <v>2790</v>
      </c>
      <c r="D137" s="2829" t="s">
        <v>2791</v>
      </c>
      <c r="E137" s="2855">
        <v>0.1</v>
      </c>
      <c r="F137" s="2855">
        <v>15</v>
      </c>
    </row>
    <row r="138" spans="1:6" ht="14">
      <c r="A138" s="2855">
        <v>64</v>
      </c>
      <c r="B138" s="3475"/>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6"/>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35459</v>
      </c>
      <c r="C2" s="2" t="s">
        <v>106</v>
      </c>
      <c r="D2" s="191"/>
      <c r="E2" s="191"/>
      <c r="F2" s="191"/>
      <c r="G2" s="191"/>
    </row>
    <row r="3" spans="1:7" s="192" customFormat="1" ht="18" customHeight="1" thickBot="1">
      <c r="A3" s="195" t="s">
        <v>58</v>
      </c>
      <c r="B3" s="196">
        <f ca="1">ROUND(B2*10000/'数据-汇总表'!E3,0)</f>
        <v>17516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ht="13">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405</v>
      </c>
      <c r="D10" s="794">
        <f>'数据-汇总表'!E6</f>
        <v>20244.170000000002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405</v>
      </c>
      <c r="D19" s="204">
        <f>'数据-汇总表'!E3</f>
        <v>20244.170000000002</v>
      </c>
      <c r="E19" s="203">
        <f>'数据-取费表'!B31</f>
        <v>200</v>
      </c>
      <c r="F19" s="223"/>
      <c r="G19" s="1" t="s">
        <v>436</v>
      </c>
    </row>
    <row r="20" spans="1:7" s="206" customFormat="1" ht="13.5" customHeight="1">
      <c r="A20" s="730" t="s">
        <v>419</v>
      </c>
      <c r="B20" s="202" t="s">
        <v>77</v>
      </c>
      <c r="C20" s="224">
        <f>ROUND((C5+C19)*F20,0)</f>
        <v>420</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1349</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1310</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26</v>
      </c>
      <c r="D24" s="230"/>
      <c r="E24" s="230"/>
      <c r="F24" s="231"/>
      <c r="G24" s="232" t="s">
        <v>82</v>
      </c>
    </row>
    <row r="25" spans="1:7" s="206" customFormat="1" ht="26">
      <c r="A25" s="733" t="s">
        <v>348</v>
      </c>
      <c r="B25" s="207" t="s">
        <v>420</v>
      </c>
      <c r="C25" s="1041">
        <f ca="1">ROUND(IF('数据-取费表'!B22&lt;=1,C20*F22*'数据-取费表'!B23/2,C20*(POWER((1+F22),'数据-取费表'!B23/2)-1)),0)</f>
        <v>13</v>
      </c>
      <c r="D25" s="230"/>
      <c r="E25" s="233"/>
      <c r="F25" s="231"/>
      <c r="G25" s="234" t="s">
        <v>83</v>
      </c>
    </row>
    <row r="26" spans="1:7" s="206" customFormat="1" ht="13">
      <c r="A26" s="733" t="s">
        <v>350</v>
      </c>
      <c r="B26" s="207" t="s">
        <v>422</v>
      </c>
      <c r="C26" s="230">
        <f ca="1">ROUND(IF('数据-取费表'!B22&lt;=1,F21*F22*'数据-取费表'!B23/2,F21*(POWER((1+F22),'数据-取费表'!B23/2)-1)),4)</f>
        <v>5.9999999999999995E-4</v>
      </c>
      <c r="D26" s="230"/>
      <c r="E26" s="233"/>
      <c r="F26" s="231"/>
      <c r="G26" s="235"/>
    </row>
    <row r="27" spans="1:7" s="206" customFormat="1" ht="27">
      <c r="A27" s="730" t="s">
        <v>342</v>
      </c>
      <c r="B27" s="236" t="s">
        <v>85</v>
      </c>
      <c r="C27" s="237">
        <f>C28</f>
        <v>3215</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3215</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28166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7551</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6678</v>
      </c>
      <c r="D34" s="209"/>
      <c r="E34" s="212"/>
      <c r="F34" s="249">
        <f>IF('数据-取费表'!B24=0,1,'数据-取费表'!N16)</f>
        <v>1</v>
      </c>
      <c r="G34" s="211" t="s">
        <v>89</v>
      </c>
    </row>
    <row r="35" spans="1:7" ht="13.5" customHeight="1">
      <c r="A35" s="733" t="s">
        <v>351</v>
      </c>
      <c r="B35" s="207" t="s">
        <v>33</v>
      </c>
      <c r="C35" s="212">
        <f>ROUND(C34*F35,0)</f>
        <v>334</v>
      </c>
      <c r="D35" s="212"/>
      <c r="E35" s="212"/>
      <c r="F35" s="251">
        <f>'数据-取费表'!B33</f>
        <v>0.05</v>
      </c>
      <c r="G35" s="211" t="s">
        <v>90</v>
      </c>
    </row>
    <row r="36" spans="1:7" ht="26">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405</v>
      </c>
      <c r="D37" s="209">
        <f>'数据-汇总表'!E3</f>
        <v>20244.170000000002</v>
      </c>
      <c r="E37" s="241">
        <f>'数据-取费表'!B35</f>
        <v>200</v>
      </c>
      <c r="F37" s="251"/>
      <c r="G37" s="253" t="s">
        <v>92</v>
      </c>
    </row>
    <row r="38" spans="1:7" ht="13.5" customHeight="1">
      <c r="A38" s="733" t="s">
        <v>354</v>
      </c>
      <c r="B38" s="207" t="s">
        <v>36</v>
      </c>
      <c r="C38" s="212">
        <f>ROUND(C34*F38,0)</f>
        <v>134</v>
      </c>
      <c r="D38" s="212"/>
      <c r="E38" s="212"/>
      <c r="F38" s="251">
        <f>'数据-取费表'!B36</f>
        <v>0.02</v>
      </c>
      <c r="G38" s="211" t="s">
        <v>90</v>
      </c>
    </row>
    <row r="39" spans="1:7" s="206" customFormat="1" ht="13.5" customHeight="1">
      <c r="A39" s="730" t="s">
        <v>338</v>
      </c>
      <c r="B39" s="202" t="s">
        <v>77</v>
      </c>
      <c r="C39" s="224">
        <f>ROUND(C33*F20,0)</f>
        <v>151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241</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236</v>
      </c>
      <c r="D42" s="230"/>
      <c r="E42" s="230"/>
      <c r="F42" s="231"/>
      <c r="G42" s="3351" t="s">
        <v>94</v>
      </c>
    </row>
    <row r="43" spans="1:7" ht="13.5" customHeight="1">
      <c r="A43" s="733" t="s">
        <v>347</v>
      </c>
      <c r="B43" s="207" t="s">
        <v>426</v>
      </c>
      <c r="C43" s="230">
        <f ca="1">ROUND(IF('数据-取费表'!B22&lt;=1,C39*F22*'数据-取费表'!B21/2,C39*(POWER((1+F22),'数据-取费表'!B21/2)-1)),0)</f>
        <v>5</v>
      </c>
      <c r="D43" s="230"/>
      <c r="E43" s="230"/>
      <c r="F43" s="231"/>
      <c r="G43" s="3352"/>
    </row>
    <row r="44" spans="1:7" ht="13.5" customHeight="1">
      <c r="A44" s="733" t="s">
        <v>348</v>
      </c>
      <c r="B44" s="207" t="s">
        <v>428</v>
      </c>
      <c r="C44" s="230">
        <f ca="1">ROUND(IF('数据-取费表'!B22&lt;=1,C40*F22*'数据-取费表'!B21/2,C40*(POWER((1+F22),'数据-取费表'!B21/2)-1)),4)</f>
        <v>5.9999999999999995E-4</v>
      </c>
      <c r="D44" s="230"/>
      <c r="E44" s="230"/>
      <c r="F44" s="231"/>
      <c r="G44" s="3353"/>
    </row>
    <row r="45" spans="1:7" s="206" customFormat="1" ht="13.5" customHeight="1">
      <c r="A45" s="730" t="s">
        <v>341</v>
      </c>
      <c r="B45" s="236" t="s">
        <v>85</v>
      </c>
      <c r="C45" s="237">
        <f>C46</f>
        <v>1155</v>
      </c>
      <c r="D45" s="227">
        <f>C47</f>
        <v>3.0000000000000001E-3</v>
      </c>
      <c r="E45" s="228" t="s">
        <v>102</v>
      </c>
      <c r="F45" s="238"/>
      <c r="G45" s="239" t="s">
        <v>434</v>
      </c>
    </row>
    <row r="46" spans="1:7" s="206" customFormat="1" ht="13.5" customHeight="1">
      <c r="A46" s="733" t="s">
        <v>349</v>
      </c>
      <c r="B46" s="240" t="s">
        <v>427</v>
      </c>
      <c r="C46" s="241">
        <f>ROUND((C33+C39)*F27,0)</f>
        <v>1155</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9856</v>
      </c>
      <c r="D49" s="224"/>
      <c r="E49" s="224"/>
      <c r="F49" s="256"/>
      <c r="G49" s="226" t="s">
        <v>435</v>
      </c>
    </row>
    <row r="50" spans="1:7" s="250" customFormat="1" ht="26">
      <c r="A50" s="730" t="s">
        <v>344</v>
      </c>
      <c r="B50" s="202" t="s">
        <v>97</v>
      </c>
      <c r="C50" s="224"/>
      <c r="D50" s="224"/>
      <c r="E50" s="224"/>
      <c r="F50" s="256">
        <f>IF('数据-取费表'!B24=0,'数据-取费表'!N16,1)</f>
        <v>0.74</v>
      </c>
      <c r="G50" s="239" t="s">
        <v>98</v>
      </c>
    </row>
    <row r="51" spans="1:7" ht="16.5" customHeight="1">
      <c r="A51" s="730" t="s">
        <v>345</v>
      </c>
      <c r="B51" s="202" t="s">
        <v>105</v>
      </c>
      <c r="C51" s="224">
        <f ca="1">ROUND(C49*F50,0)</f>
        <v>7293</v>
      </c>
      <c r="D51" s="224"/>
      <c r="E51" s="224"/>
      <c r="F51" s="256"/>
      <c r="G51" s="226" t="s">
        <v>37</v>
      </c>
    </row>
    <row r="52" spans="1:7" s="200" customFormat="1" ht="16.5" thickBot="1">
      <c r="A52" s="257" t="s">
        <v>38</v>
      </c>
      <c r="B52" s="258"/>
      <c r="C52" s="259">
        <f ca="1">C31+C51</f>
        <v>35459</v>
      </c>
      <c r="D52" s="258"/>
      <c r="E52" s="258"/>
      <c r="F52" s="258"/>
      <c r="G52" s="260"/>
    </row>
    <row r="55" spans="1:7" ht="15.5">
      <c r="B55" s="262" t="s">
        <v>39</v>
      </c>
      <c r="C55" s="263"/>
    </row>
    <row r="56" spans="1:7" ht="13">
      <c r="B56" s="265" t="s">
        <v>40</v>
      </c>
      <c r="C56" s="266">
        <f ca="1">ROUND(C51/C52,3)</f>
        <v>0.20599999999999999</v>
      </c>
    </row>
    <row r="57" spans="1:7" ht="13">
      <c r="B57" s="265" t="s">
        <v>41</v>
      </c>
      <c r="C57" s="267">
        <f ca="1">1-C56</f>
        <v>0.79400000000000004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88" t="s">
        <v>3181</v>
      </c>
      <c r="B1" s="3488"/>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489" t="s">
        <v>3232</v>
      </c>
      <c r="B1" s="3489"/>
      <c r="C1" s="3489"/>
      <c r="D1" s="3489"/>
      <c r="E1" s="3489"/>
      <c r="F1" s="3490"/>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结果表房本1!D116</f>
        <v>出让国有建设用地使用权价值</v>
      </c>
      <c r="E2" s="3181"/>
      <c r="F2" s="3181" t="str">
        <f>结果表房本1!F116</f>
        <v>在建建筑物价值</v>
      </c>
      <c r="G2" s="3181"/>
      <c r="H2" s="3181" t="str">
        <f>IF(项目基本情况!B9="房地产市场价值","房地产市场价值","房地产价值")</f>
        <v>房地产价值</v>
      </c>
      <c r="I2" s="3181"/>
    </row>
    <row r="3" spans="1:9" ht="16">
      <c r="A3" s="3182"/>
      <c r="B3" s="3182"/>
      <c r="C3" s="3182"/>
      <c r="D3" s="800" t="s">
        <v>925</v>
      </c>
      <c r="E3" s="800" t="s">
        <v>931</v>
      </c>
      <c r="F3" s="800" t="s">
        <v>925</v>
      </c>
      <c r="G3" s="800" t="s">
        <v>926</v>
      </c>
      <c r="H3" s="800" t="s">
        <v>925</v>
      </c>
      <c r="I3" s="800" t="s">
        <v>926</v>
      </c>
    </row>
    <row r="4" spans="1:9" ht="15.5">
      <c r="A4" s="1402" t="str">
        <f>项目基本情况!S2</f>
        <v>北京市通州区翠平西路2号，4、6、8号；通朝大街202、204、206号、208、210、212号房地产</v>
      </c>
      <c r="B4" s="800">
        <f>项目基本情况!C17</f>
        <v>20244.170000000002</v>
      </c>
      <c r="C4" s="800">
        <f>项目基本情况!C18</f>
        <v>0</v>
      </c>
      <c r="D4" s="800" t="e">
        <f ca="1">结果表房本1!D118</f>
        <v>#REF!</v>
      </c>
      <c r="E4" s="800" t="e">
        <f ca="1">结果表房本1!E118</f>
        <v>#REF!</v>
      </c>
      <c r="F4" s="800" t="e">
        <f ca="1">结果表房本1!F118</f>
        <v>#REF!</v>
      </c>
      <c r="G4" s="800" t="e">
        <f ca="1">结果表房本1!G118</f>
        <v>#REF!</v>
      </c>
      <c r="H4" s="800">
        <f ca="1">结果表房本1!H118</f>
        <v>11982</v>
      </c>
      <c r="I4" s="800">
        <f ca="1">结果表房本1!I118</f>
        <v>12041</v>
      </c>
    </row>
    <row r="5" spans="1:9" ht="30" customHeight="1">
      <c r="A5" s="3182" t="s">
        <v>927</v>
      </c>
      <c r="B5" s="3182"/>
      <c r="C5" s="3182"/>
      <c r="D5" s="3182" t="e">
        <f ca="1">结果表房本1!D119</f>
        <v>#REF!</v>
      </c>
      <c r="E5" s="3182"/>
      <c r="F5" s="3182" t="e">
        <f ca="1">结果表房本1!F119</f>
        <v>#REF!</v>
      </c>
      <c r="G5" s="3182"/>
      <c r="H5" s="3182" t="str">
        <f ca="1">结果表房本1!H119</f>
        <v>壹亿壹仟玖佰捌拾贰万元整</v>
      </c>
      <c r="I5" s="3182"/>
    </row>
    <row r="6" spans="1:9" ht="15.5">
      <c r="A6" s="3183" t="str">
        <f>结果表房本1!A120</f>
        <v>估价师知悉的法定优先受偿款</v>
      </c>
      <c r="B6" s="3183"/>
      <c r="C6" s="3183"/>
      <c r="D6" s="3183">
        <f>结果表房本1!D120</f>
        <v>0</v>
      </c>
      <c r="E6" s="3183"/>
      <c r="F6" s="3183"/>
      <c r="G6" s="3183"/>
      <c r="H6" s="3183"/>
      <c r="I6" s="3183"/>
    </row>
    <row r="7" spans="1:9" ht="15.5">
      <c r="A7" s="3182" t="s">
        <v>927</v>
      </c>
      <c r="B7" s="3182"/>
      <c r="C7" s="3182"/>
      <c r="D7" s="3184" t="str">
        <f>结果表房本1!D121</f>
        <v>零元整</v>
      </c>
      <c r="E7" s="3185"/>
      <c r="F7" s="3185"/>
      <c r="G7" s="3185"/>
      <c r="H7" s="3185"/>
      <c r="I7" s="3186"/>
    </row>
    <row r="8" spans="1:9" ht="15.5">
      <c r="A8" s="3183" t="str">
        <f>结果表房本1!A122</f>
        <v>房地产抵押价值</v>
      </c>
      <c r="B8" s="3183"/>
      <c r="C8" s="3183"/>
      <c r="D8" s="3183">
        <f ca="1">结果表房本1!D122</f>
        <v>11982</v>
      </c>
      <c r="E8" s="3183"/>
      <c r="F8" s="3183"/>
      <c r="G8" s="3183"/>
      <c r="H8" s="3183"/>
      <c r="I8" s="3183"/>
    </row>
    <row r="9" spans="1:9" ht="15.5">
      <c r="A9" s="3182" t="s">
        <v>927</v>
      </c>
      <c r="B9" s="3182"/>
      <c r="C9" s="3182"/>
      <c r="D9" s="3182" t="str">
        <f ca="1">结果表房本1!D123</f>
        <v>壹亿壹仟玖佰捌拾贰万元整</v>
      </c>
      <c r="E9" s="3182"/>
      <c r="F9" s="3182"/>
      <c r="G9" s="3182"/>
      <c r="H9" s="3182"/>
      <c r="I9" s="3182"/>
    </row>
    <row r="10" spans="1:9" ht="15.5">
      <c r="A10" s="3183" t="str">
        <f>结果表房本1!A124</f>
        <v/>
      </c>
      <c r="B10" s="3183"/>
      <c r="C10" s="3183"/>
      <c r="D10" s="3183" t="str">
        <f>结果表房本1!D124</f>
        <v>——</v>
      </c>
      <c r="E10" s="3183"/>
      <c r="F10" s="3183"/>
      <c r="G10" s="3183"/>
      <c r="H10" s="3183"/>
      <c r="I10" s="3183"/>
    </row>
    <row r="11" spans="1:9" ht="15.5">
      <c r="A11" s="3182" t="s">
        <v>927</v>
      </c>
      <c r="B11" s="3182"/>
      <c r="C11" s="3182"/>
      <c r="D11" s="3182" t="e">
        <f>结果表房本1!D125</f>
        <v>#VALUE!</v>
      </c>
      <c r="E11" s="3182"/>
      <c r="F11" s="3182"/>
      <c r="G11" s="3182"/>
      <c r="H11" s="3182"/>
      <c r="I11" s="3182"/>
    </row>
    <row r="12" spans="1:9" ht="15.5">
      <c r="A12" s="3183" t="str">
        <f>结果表房本1!A126</f>
        <v/>
      </c>
      <c r="B12" s="3183"/>
      <c r="C12" s="3183"/>
      <c r="D12" s="3183" t="str">
        <f>结果表房本1!D126</f>
        <v>——</v>
      </c>
      <c r="E12" s="3183"/>
      <c r="F12" s="3183"/>
      <c r="G12" s="3183"/>
      <c r="H12" s="3183"/>
      <c r="I12" s="3183"/>
    </row>
    <row r="13" spans="1:9" ht="16" thickBot="1">
      <c r="A13" s="3187" t="s">
        <v>927</v>
      </c>
      <c r="B13" s="3187"/>
      <c r="C13" s="3187"/>
      <c r="D13" s="3187" t="e">
        <f>结果表房本1!D127</f>
        <v>#VALUE!</v>
      </c>
      <c r="E13" s="3187"/>
      <c r="F13" s="3187"/>
      <c r="G13" s="3187"/>
      <c r="H13" s="3187"/>
      <c r="I13" s="3187"/>
    </row>
    <row r="14" spans="1:9" ht="14.5" thickTop="1">
      <c r="A14" s="3188" t="s">
        <v>932</v>
      </c>
      <c r="B14" s="3188"/>
      <c r="C14" s="3188"/>
      <c r="D14" s="3188"/>
      <c r="E14" s="3188"/>
      <c r="F14" s="3188"/>
      <c r="G14" s="3188"/>
      <c r="H14" s="3188"/>
      <c r="I14" s="3188"/>
    </row>
    <row r="16" spans="1:9" ht="1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45974</v>
      </c>
      <c r="B1" s="2927" t="s">
        <v>3375</v>
      </c>
      <c r="C1" s="2928"/>
      <c r="D1" s="2928"/>
      <c r="E1" s="2928"/>
      <c r="F1" s="2928"/>
      <c r="G1" s="2928"/>
      <c r="H1" s="2928"/>
      <c r="I1" s="2928"/>
      <c r="J1" s="2894"/>
      <c r="K1" s="2928" t="s">
        <v>454</v>
      </c>
      <c r="L1" s="2928"/>
      <c r="M1" s="2928"/>
      <c r="N1" s="2928"/>
      <c r="O1" s="2928"/>
      <c r="P1" s="2928"/>
      <c r="Q1" s="2894"/>
      <c r="R1" s="3491" t="s">
        <v>456</v>
      </c>
      <c r="S1" s="3492"/>
      <c r="T1" s="3492"/>
      <c r="U1" s="3492"/>
      <c r="V1" s="3492"/>
      <c r="W1" s="3492"/>
      <c r="X1" s="2894"/>
      <c r="Y1" s="3491" t="s">
        <v>457</v>
      </c>
      <c r="Z1" s="3492"/>
      <c r="AA1" s="3492"/>
      <c r="AB1" s="3492"/>
      <c r="AC1" s="3492"/>
      <c r="AD1" s="3492"/>
    </row>
    <row r="2" spans="1:44" s="2008" customFormat="1" ht="14.5" thickBot="1">
      <c r="B2" s="2879"/>
      <c r="C2" s="2880"/>
      <c r="D2" s="2009" t="s">
        <v>2810</v>
      </c>
      <c r="E2" s="2010" t="s">
        <v>2811</v>
      </c>
      <c r="F2" s="2010" t="s">
        <v>2812</v>
      </c>
      <c r="G2" s="2010" t="s">
        <v>2813</v>
      </c>
      <c r="H2" s="2010" t="s">
        <v>2814</v>
      </c>
      <c r="I2" s="2010" t="s">
        <v>2631</v>
      </c>
      <c r="J2" s="2881"/>
      <c r="K2" s="2009" t="s">
        <v>2810</v>
      </c>
      <c r="L2" s="2010" t="s">
        <v>2811</v>
      </c>
      <c r="M2" s="2010" t="s">
        <v>2812</v>
      </c>
      <c r="N2" s="2010" t="s">
        <v>2813</v>
      </c>
      <c r="O2" s="2010" t="s">
        <v>2815</v>
      </c>
      <c r="P2" s="2010" t="s">
        <v>2631</v>
      </c>
      <c r="Q2" s="2881"/>
      <c r="R2" s="2009" t="s">
        <v>2810</v>
      </c>
      <c r="S2" s="2010" t="s">
        <v>2811</v>
      </c>
      <c r="T2" s="2010" t="s">
        <v>2812</v>
      </c>
      <c r="U2" s="2010" t="s">
        <v>2816</v>
      </c>
      <c r="V2" s="2010" t="s">
        <v>2817</v>
      </c>
      <c r="W2" s="2010" t="s">
        <v>2631</v>
      </c>
      <c r="X2" s="2881"/>
      <c r="Y2" s="2009" t="s">
        <v>2810</v>
      </c>
      <c r="Z2" s="2010" t="s">
        <v>2811</v>
      </c>
      <c r="AA2" s="2010" t="s">
        <v>2812</v>
      </c>
      <c r="AB2" s="2010" t="s">
        <v>2818</v>
      </c>
      <c r="AC2" s="2010" t="s">
        <v>2817</v>
      </c>
      <c r="AD2" s="2010" t="s">
        <v>2631</v>
      </c>
      <c r="AF2" t="s">
        <v>3400</v>
      </c>
      <c r="AG2" t="s">
        <v>673</v>
      </c>
      <c r="AH2" t="s">
        <v>21</v>
      </c>
      <c r="AI2" t="s">
        <v>3401</v>
      </c>
      <c r="AJ2" t="s">
        <v>3</v>
      </c>
      <c r="AK2" t="s">
        <v>3402</v>
      </c>
      <c r="AM2" t="s">
        <v>3400</v>
      </c>
      <c r="AN2" t="s">
        <v>673</v>
      </c>
      <c r="AO2" t="s">
        <v>21</v>
      </c>
      <c r="AP2" t="s">
        <v>3401</v>
      </c>
      <c r="AQ2" t="s">
        <v>3</v>
      </c>
      <c r="AR2" t="s">
        <v>3402</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3">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3399</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3413</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3" customFormat="1" ht="13">
      <c r="A7" s="2038" t="s">
        <v>3414</v>
      </c>
      <c r="B7" s="2029">
        <v>2025</v>
      </c>
      <c r="C7" s="2040">
        <v>2</v>
      </c>
      <c r="D7" s="2005">
        <v>0.05</v>
      </c>
      <c r="E7" s="2005">
        <v>-0.62</v>
      </c>
      <c r="F7" s="2005">
        <v>-1.05</v>
      </c>
      <c r="G7" s="2005">
        <v>0.09</v>
      </c>
      <c r="H7" s="2005">
        <v>0.17</v>
      </c>
      <c r="I7" s="2006">
        <f t="shared" ref="I7" si="37">F7</f>
        <v>-1.05</v>
      </c>
      <c r="J7" s="2904"/>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4"/>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4"/>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3" customFormat="1" ht="13">
      <c r="A8" s="2038" t="s">
        <v>3405</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3" customFormat="1" ht="13">
      <c r="A9" s="2038" t="s">
        <v>3404</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3" customFormat="1" ht="13">
      <c r="A10" s="2038" t="s">
        <v>3379</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3" customFormat="1" ht="13">
      <c r="A11" s="2903" t="s">
        <v>3373</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3" customFormat="1" ht="13">
      <c r="A12" s="2903" t="s">
        <v>3372</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3" customFormat="1" ht="13">
      <c r="A13" s="2903" t="s">
        <v>3368</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3" customFormat="1" ht="13">
      <c r="A14" s="2903" t="s">
        <v>3367</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3" customFormat="1" ht="13">
      <c r="A15" s="2903" t="s">
        <v>3365</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3" customFormat="1" ht="13">
      <c r="A16" s="2903" t="s">
        <v>3364</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3" customFormat="1" ht="13">
      <c r="A17" s="2903" t="s">
        <v>3363</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3" customFormat="1" ht="13">
      <c r="A18" s="2903" t="s">
        <v>3361</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3" customFormat="1" ht="13">
      <c r="A19" s="2903" t="s">
        <v>3352</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3" customFormat="1" ht="13">
      <c r="A20" s="2903" t="s">
        <v>2820</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3" customFormat="1" ht="13">
      <c r="A21" s="2903" t="s">
        <v>2821</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3" customFormat="1" ht="13">
      <c r="A22" s="2903" t="s">
        <v>2822</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3" customFormat="1" ht="13">
      <c r="A23" s="2903" t="s">
        <v>2823</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3378</v>
      </c>
    </row>
    <row r="27" spans="1:44">
      <c r="I27" s="1404" t="s">
        <v>2825</v>
      </c>
    </row>
    <row r="29" spans="1:44" s="2007" customFormat="1" ht="13">
      <c r="B29" s="2927" t="s">
        <v>3376</v>
      </c>
      <c r="C29" s="2928"/>
      <c r="D29" s="2928"/>
      <c r="E29" s="2928"/>
      <c r="F29" s="2928"/>
      <c r="G29" s="2928"/>
      <c r="H29" s="2928"/>
      <c r="I29" s="2928"/>
      <c r="J29" s="2894"/>
      <c r="K29" s="2928" t="s">
        <v>2826</v>
      </c>
      <c r="L29" s="2928"/>
      <c r="M29" s="2928"/>
      <c r="N29" s="2928"/>
      <c r="O29" s="2928"/>
      <c r="P29" s="2928"/>
      <c r="Q29" s="2894"/>
      <c r="R29" s="3491" t="s">
        <v>2827</v>
      </c>
      <c r="S29" s="3492"/>
      <c r="T29" s="3492"/>
      <c r="U29" s="3492"/>
      <c r="V29" s="3492"/>
      <c r="W29" s="3492"/>
      <c r="X29" s="2894"/>
      <c r="Y29" s="3491" t="s">
        <v>2828</v>
      </c>
      <c r="Z29" s="3492"/>
      <c r="AA29" s="3492"/>
      <c r="AB29" s="3492"/>
      <c r="AC29" s="3492"/>
      <c r="AD29" s="3492"/>
    </row>
    <row r="30" spans="1:44" s="2008" customFormat="1" ht="14.5" thickBot="1">
      <c r="B30" s="2879"/>
      <c r="C30" s="2880"/>
      <c r="D30" s="2009" t="s">
        <v>2829</v>
      </c>
      <c r="E30" s="2010" t="s">
        <v>2830</v>
      </c>
      <c r="F30" s="2010" t="s">
        <v>2831</v>
      </c>
      <c r="G30" s="2010" t="s">
        <v>2832</v>
      </c>
      <c r="H30" s="2010"/>
      <c r="I30" s="2010" t="s">
        <v>2833</v>
      </c>
      <c r="J30" s="2881"/>
      <c r="K30" s="2009" t="s">
        <v>2829</v>
      </c>
      <c r="L30" s="2010" t="s">
        <v>2830</v>
      </c>
      <c r="M30" s="2010" t="s">
        <v>2831</v>
      </c>
      <c r="N30" s="2010" t="s">
        <v>2832</v>
      </c>
      <c r="O30" s="2010"/>
      <c r="P30" s="2010" t="s">
        <v>2833</v>
      </c>
      <c r="Q30" s="2881"/>
      <c r="R30" s="2009" t="s">
        <v>2829</v>
      </c>
      <c r="S30" s="2010" t="s">
        <v>2830</v>
      </c>
      <c r="T30" s="2010" t="s">
        <v>2831</v>
      </c>
      <c r="U30" s="2010" t="s">
        <v>2832</v>
      </c>
      <c r="V30" s="2010"/>
      <c r="W30" s="2010" t="s">
        <v>2833</v>
      </c>
      <c r="X30" s="2881"/>
      <c r="Y30" s="2009" t="s">
        <v>2829</v>
      </c>
      <c r="Z30" s="2010" t="s">
        <v>2830</v>
      </c>
      <c r="AA30" s="2010" t="s">
        <v>2831</v>
      </c>
      <c r="AB30" s="2010" t="s">
        <v>2832</v>
      </c>
      <c r="AC30" s="2010"/>
      <c r="AD30" s="2010" t="s">
        <v>2833</v>
      </c>
      <c r="AG30" t="s">
        <v>673</v>
      </c>
      <c r="AH30" t="s">
        <v>21</v>
      </c>
      <c r="AI30" t="s">
        <v>3401</v>
      </c>
      <c r="AJ30"/>
      <c r="AK30" t="s">
        <v>3402</v>
      </c>
      <c r="AN30" t="s">
        <v>673</v>
      </c>
      <c r="AO30" t="s">
        <v>21</v>
      </c>
      <c r="AP30" t="s">
        <v>3401</v>
      </c>
      <c r="AQ30"/>
      <c r="AR30" t="s">
        <v>3402</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7" customFormat="1" ht="13">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3399</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3415</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3" customFormat="1" ht="13">
      <c r="A35" s="2038" t="s">
        <v>3414</v>
      </c>
      <c r="B35" s="2029">
        <v>2025</v>
      </c>
      <c r="C35" s="2040">
        <v>2</v>
      </c>
      <c r="D35" s="2005"/>
      <c r="E35" s="2005">
        <v>-0.31</v>
      </c>
      <c r="F35" s="2005">
        <v>-1.03</v>
      </c>
      <c r="G35" s="2005">
        <v>0.03</v>
      </c>
      <c r="H35" s="2005"/>
      <c r="I35" s="2006">
        <f t="shared" ref="I35" si="141">F35</f>
        <v>-1.03</v>
      </c>
      <c r="J35" s="2904"/>
      <c r="K35" s="2041"/>
      <c r="L35" s="2026">
        <f t="shared" ref="L35" si="142">E35/100</f>
        <v>-3.0999999999999999E-3</v>
      </c>
      <c r="M35" s="2026">
        <f t="shared" ref="M35" si="143">F35/100</f>
        <v>-1.03E-2</v>
      </c>
      <c r="N35" s="2026">
        <f t="shared" ref="N35" si="144">G35/100</f>
        <v>2.9999999999999997E-4</v>
      </c>
      <c r="O35" s="2026"/>
      <c r="P35" s="2026">
        <f t="shared" si="123"/>
        <v>-1.03E-2</v>
      </c>
      <c r="Q35" s="2904"/>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4"/>
      <c r="Y35" s="2026"/>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6">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3" customFormat="1" ht="13">
      <c r="A36" s="2038" t="s">
        <v>3403</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3" customFormat="1" ht="13">
      <c r="A37" s="2038" t="s">
        <v>3404</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3" customFormat="1" ht="13">
      <c r="A38" s="2038" t="s">
        <v>3370</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3" customFormat="1" ht="13">
      <c r="A39" s="2903" t="s">
        <v>3374</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3" customFormat="1" ht="13">
      <c r="A40" s="2903" t="s">
        <v>3371</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3" customFormat="1" ht="13">
      <c r="A41" s="2903" t="s">
        <v>3369</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3" customFormat="1" ht="13">
      <c r="A42" s="2903" t="s">
        <v>3367</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3" customFormat="1" ht="13">
      <c r="A43" s="2903" t="s">
        <v>3366</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3" customFormat="1" ht="13">
      <c r="A44" s="2903" t="s">
        <v>3364</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3" customFormat="1" ht="13">
      <c r="A45" s="2903" t="s">
        <v>3363</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3" customFormat="1" ht="13">
      <c r="A46" s="2903" t="s">
        <v>3362</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3" customFormat="1" ht="13">
      <c r="A47" s="2903" t="s">
        <v>3352</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3" customFormat="1" ht="13">
      <c r="A48" s="2903" t="s">
        <v>2835</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3.5000000000000001E-3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3" customFormat="1" ht="13">
      <c r="A49" s="2903" t="s">
        <v>2836</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3.3E-3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3" customFormat="1" ht="13">
      <c r="A50" s="2903" t="s">
        <v>2837</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4.1000000000000003E-3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3" customFormat="1" ht="13">
      <c r="A51" s="2903" t="s">
        <v>2838</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4.7000000000000002E-3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5"/>
    <col min="2" max="6" width="9" style="2025" customWidth="1"/>
    <col min="7" max="7" width="9" style="2059"/>
    <col min="8" max="8" width="9" style="2025"/>
    <col min="9" max="12" width="9" style="2025" customWidth="1"/>
    <col min="13" max="13" width="2.26953125" style="2025" customWidth="1"/>
    <col min="14" max="14" width="9" style="2059" customWidth="1"/>
    <col min="15" max="17" width="9" style="2025" customWidth="1"/>
    <col min="18" max="18" width="2.36328125" style="2025" customWidth="1"/>
    <col min="19" max="19" width="7.08984375" style="2059" customWidth="1"/>
    <col min="20" max="22" width="7.08984375" style="2025" customWidth="1"/>
    <col min="23" max="23" width="24.26953125" style="2025" customWidth="1"/>
    <col min="24" max="25" width="9" style="2025"/>
    <col min="26" max="27" width="11.6328125" style="2025" customWidth="1"/>
    <col min="28" max="28" width="9" style="2025"/>
    <col min="29" max="29" width="2" style="2025" customWidth="1"/>
    <col min="30" max="16384" width="9" style="2025"/>
  </cols>
  <sheetData>
    <row r="1" spans="1:34" s="2007" customFormat="1" ht="13">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8" customFormat="1" ht="14.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ht="13">
      <c r="A5" s="2038" t="s">
        <v>3360</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ht="13">
      <c r="A6" s="2027" t="s">
        <v>3357</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ht="13">
      <c r="A7" s="2038" t="s">
        <v>3358</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ht="13">
      <c r="A8" s="2038" t="s">
        <v>3359</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ht="13">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ht="13">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ht="13">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ht="13">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ht="13">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ht="13">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ht="13">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ht="13">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ht="13">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ht="13">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ht="13">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ht="13">
      <c r="A25" s="2038" t="s">
        <v>2111</v>
      </c>
      <c r="B25" s="2047">
        <v>439</v>
      </c>
      <c r="C25" s="2047">
        <v>327</v>
      </c>
      <c r="D25" s="2047">
        <f>C25</f>
        <v>327</v>
      </c>
      <c r="E25" s="2047">
        <v>627</v>
      </c>
      <c r="F25" s="2048">
        <v>283</v>
      </c>
      <c r="G25" s="349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ht="13">
      <c r="A29" s="2038" t="s">
        <v>127</v>
      </c>
      <c r="B29" s="2047">
        <v>392</v>
      </c>
      <c r="C29" s="2047">
        <v>302</v>
      </c>
      <c r="D29" s="2047">
        <f>C29</f>
        <v>302</v>
      </c>
      <c r="E29" s="2047">
        <v>553</v>
      </c>
      <c r="F29" s="2048">
        <v>266</v>
      </c>
      <c r="G29" s="349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ht="13">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 thickBot="1">
      <c r="A48" s="2038" t="s">
        <v>472</v>
      </c>
      <c r="B48" s="2039">
        <f>B47/(1+N47)</f>
        <v>275.19025476197027</v>
      </c>
      <c r="C48" s="2083">
        <v>232</v>
      </c>
      <c r="D48" s="2083">
        <f t="shared" si="246"/>
        <v>232</v>
      </c>
      <c r="E48" s="2039">
        <f t="shared" si="257"/>
        <v>375.65990977608692</v>
      </c>
      <c r="F48" s="2039">
        <f t="shared" si="257"/>
        <v>214.12518283971252</v>
      </c>
      <c r="G48" s="349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4">
        <v>2003</v>
      </c>
      <c r="H83" s="2049">
        <v>2</v>
      </c>
      <c r="I83" s="2103"/>
      <c r="J83" s="2103"/>
      <c r="K83" s="2103"/>
      <c r="L83" s="2103"/>
      <c r="X83" s="2095"/>
      <c r="Y83" s="2095"/>
      <c r="Z83" s="2095"/>
    </row>
    <row r="84" spans="1:26" ht="13" thickBot="1">
      <c r="A84" s="2038" t="s">
        <v>508</v>
      </c>
      <c r="B84" s="2105">
        <f t="shared" si="282"/>
        <v>107.25</v>
      </c>
      <c r="C84" s="2105">
        <f t="shared" si="282"/>
        <v>108.75</v>
      </c>
      <c r="D84" s="2105">
        <f t="shared" si="246"/>
        <v>108.75</v>
      </c>
      <c r="E84" s="2105">
        <f t="shared" si="283"/>
        <v>105.75</v>
      </c>
      <c r="F84" s="2105">
        <f t="shared" si="283"/>
        <v>102.5</v>
      </c>
      <c r="G84" s="349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4">
        <v>2002</v>
      </c>
      <c r="H87" s="2049">
        <v>2</v>
      </c>
      <c r="I87" s="2103"/>
      <c r="J87" s="2103"/>
      <c r="K87" s="2103"/>
      <c r="L87" s="2103"/>
      <c r="X87" s="2095"/>
      <c r="Y87" s="2095"/>
      <c r="Z87" s="2095"/>
    </row>
    <row r="88" spans="1:26" s="2070" customFormat="1" ht="13" thickBot="1">
      <c r="A88" s="2066" t="s">
        <v>512</v>
      </c>
      <c r="B88" s="2073">
        <f t="shared" si="284"/>
        <v>103</v>
      </c>
      <c r="C88" s="2073">
        <f t="shared" si="284"/>
        <v>104</v>
      </c>
      <c r="D88" s="2073">
        <f t="shared" si="246"/>
        <v>104</v>
      </c>
      <c r="E88" s="2073">
        <f t="shared" si="285"/>
        <v>103.5</v>
      </c>
      <c r="F88" s="2073">
        <f t="shared" si="285"/>
        <v>100.5</v>
      </c>
      <c r="G88" s="349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ht="13">
      <c r="A91" s="2116" t="s">
        <v>513</v>
      </c>
      <c r="G91" s="2118"/>
      <c r="N91" s="2118"/>
      <c r="S91" s="2118"/>
    </row>
    <row r="92" spans="1:26" s="2117" customFormat="1" ht="13">
      <c r="A92" s="2117" t="s">
        <v>514</v>
      </c>
      <c r="G92" s="2118"/>
      <c r="N92" s="2118"/>
      <c r="S92" s="2118"/>
    </row>
    <row r="93" spans="1:26" s="2117" customFormat="1" ht="13">
      <c r="A93" s="2117" t="s">
        <v>515</v>
      </c>
      <c r="G93" s="2118"/>
      <c r="I93" s="2119"/>
      <c r="J93" s="2119"/>
      <c r="K93" s="2119"/>
      <c r="L93" s="2119"/>
      <c r="N93" s="2120"/>
      <c r="O93" s="2119"/>
      <c r="P93" s="2119"/>
      <c r="Q93" s="2119"/>
      <c r="S93" s="2120"/>
      <c r="T93" s="2119"/>
      <c r="U93" s="2119"/>
      <c r="V93" s="2119"/>
    </row>
    <row r="94" spans="1:26" s="2117" customFormat="1" ht="13">
      <c r="A94" s="2117" t="s">
        <v>516</v>
      </c>
      <c r="G94" s="2118"/>
      <c r="N94" s="2118"/>
      <c r="S94" s="2118"/>
    </row>
    <row r="101" spans="7:22" ht="13" thickBot="1"/>
    <row r="102" spans="7:22" ht="13">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04" t="s">
        <v>2839</v>
      </c>
      <c r="B1" s="3504"/>
      <c r="C1" s="3504"/>
      <c r="D1" s="3504"/>
      <c r="E1" s="3504"/>
      <c r="F1" s="3504"/>
      <c r="G1" s="3505"/>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2"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03"/>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602</v>
      </c>
      <c r="C1" s="1210">
        <f>项目基本情况!D3</f>
        <v>45974</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3">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45097</v>
      </c>
      <c r="D18" s="1204">
        <v>3.55</v>
      </c>
      <c r="E18" s="1204">
        <f>D18</f>
        <v>3.55</v>
      </c>
      <c r="F18" s="1204">
        <f t="shared" si="0"/>
        <v>3.55</v>
      </c>
      <c r="G18" s="1204">
        <f t="shared" si="1"/>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4"/>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1199" t="s">
        <v>2309</v>
      </c>
      <c r="C27" s="1206">
        <v>43697</v>
      </c>
      <c r="D27" s="2572">
        <v>4.25</v>
      </c>
      <c r="E27" s="2572">
        <v>4.25</v>
      </c>
      <c r="F27" s="2572">
        <v>4.25</v>
      </c>
      <c r="G27" s="2572">
        <v>4.25</v>
      </c>
      <c r="H27" s="2572">
        <v>4.8499999999999996</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
      <c r="B28" s="2575"/>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89" t="s">
        <v>949</v>
      </c>
      <c r="B1" s="3189"/>
      <c r="C1" s="3189"/>
      <c r="D1" s="3189"/>
    </row>
    <row r="2" spans="1:4" ht="18">
      <c r="A2" s="3190" t="s">
        <v>933</v>
      </c>
      <c r="B2" s="3190"/>
      <c r="C2" s="3190"/>
      <c r="D2" s="3190"/>
    </row>
    <row r="3" spans="1:4" ht="1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0" t="s">
        <v>939</v>
      </c>
      <c r="B6" s="3190"/>
      <c r="C6" s="3190"/>
      <c r="D6" s="3190"/>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191" t="s">
        <v>942</v>
      </c>
      <c r="B11" s="3192"/>
      <c r="C11" s="3192"/>
      <c r="D11" s="3192"/>
    </row>
    <row r="12" spans="1:4" ht="15.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IF(项目基本情况!B8="抵押",结果表房本1!K120,"——")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房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6" t="str">
        <f>IF(结果表房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4"/>
      <c r="B23" s="459"/>
      <c r="C23" s="459"/>
      <c r="D23" s="459"/>
    </row>
    <row r="24" spans="1:4">
      <c r="A24" s="1414"/>
      <c r="B24" s="459"/>
      <c r="C24" s="459"/>
      <c r="D24" s="459"/>
    </row>
    <row r="25" spans="1:4" ht="17.5">
      <c r="A25" s="1415" t="s">
        <v>946</v>
      </c>
    </row>
    <row r="26" spans="1:4" ht="17.5">
      <c r="A26" s="1386"/>
    </row>
    <row r="27" spans="1:4" ht="17.5">
      <c r="A27" s="1386" t="s">
        <v>947</v>
      </c>
    </row>
    <row r="30" spans="1:4" ht="17.5">
      <c r="D30" s="1415"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03" t="s">
        <v>956</v>
      </c>
      <c r="B15" s="3198" t="s">
        <v>109</v>
      </c>
      <c r="C15" s="3199"/>
    </row>
    <row r="16" spans="1:7" ht="14">
      <c r="A16" s="3204"/>
      <c r="B16" s="3198" t="s">
        <v>42</v>
      </c>
      <c r="C16" s="3199"/>
    </row>
    <row r="17" spans="1:3" ht="14">
      <c r="A17" s="3204"/>
      <c r="B17" s="3201" t="s">
        <v>957</v>
      </c>
      <c r="C17" s="1428" t="s">
        <v>956</v>
      </c>
    </row>
    <row r="18" spans="1:3" ht="14">
      <c r="A18" s="3204"/>
      <c r="B18" s="3201"/>
      <c r="C18" s="1428" t="s">
        <v>958</v>
      </c>
    </row>
    <row r="19" spans="1:3" ht="14">
      <c r="A19" s="3204"/>
      <c r="B19" s="3201"/>
      <c r="C19" s="1428" t="s">
        <v>959</v>
      </c>
    </row>
    <row r="20" spans="1:3" ht="14">
      <c r="A20" s="3205"/>
      <c r="B20" s="3200" t="s">
        <v>960</v>
      </c>
      <c r="C20" s="3199"/>
    </row>
    <row r="21" spans="1:3" ht="14">
      <c r="A21" s="1429" t="s">
        <v>961</v>
      </c>
      <c r="B21" s="1430"/>
      <c r="C21" s="1431"/>
    </row>
    <row r="22" spans="1:3" ht="14">
      <c r="A22" s="3202" t="s">
        <v>962</v>
      </c>
      <c r="B22" s="3200" t="s">
        <v>963</v>
      </c>
      <c r="C22" s="3199"/>
    </row>
    <row r="23" spans="1:3" ht="14">
      <c r="A23" s="3202"/>
      <c r="B23" s="3200" t="s">
        <v>964</v>
      </c>
      <c r="C23" s="3199"/>
    </row>
    <row r="24" spans="1:3" ht="14">
      <c r="A24" s="3202"/>
      <c r="B24" s="3200" t="s">
        <v>965</v>
      </c>
      <c r="C24" s="3199"/>
    </row>
    <row r="25" spans="1:3" ht="14">
      <c r="A25" s="3202"/>
      <c r="B25" s="3201" t="s">
        <v>966</v>
      </c>
      <c r="C25" s="1428" t="s">
        <v>967</v>
      </c>
    </row>
    <row r="26" spans="1:3" ht="14">
      <c r="A26" s="3202"/>
      <c r="B26" s="3201"/>
      <c r="C26" s="1428" t="s">
        <v>968</v>
      </c>
    </row>
    <row r="27" spans="1:3" ht="14">
      <c r="A27" s="3202"/>
      <c r="B27" s="3201"/>
      <c r="C27" s="1428" t="s">
        <v>969</v>
      </c>
    </row>
    <row r="28" spans="1:3" ht="14">
      <c r="A28" s="3202"/>
      <c r="B28" s="3201"/>
      <c r="C28" s="1428" t="s">
        <v>970</v>
      </c>
    </row>
    <row r="29" spans="1:3" ht="14">
      <c r="A29" s="3202"/>
      <c r="B29" s="3201"/>
      <c r="C29" s="1428" t="s">
        <v>971</v>
      </c>
    </row>
    <row r="30" spans="1:3" ht="14">
      <c r="A30" s="3202"/>
      <c r="B30" s="3201"/>
      <c r="C30" s="1428" t="s">
        <v>972</v>
      </c>
    </row>
    <row r="31" spans="1:3" ht="14">
      <c r="A31" s="3202"/>
      <c r="B31" s="3201"/>
      <c r="C31" s="1428" t="s">
        <v>973</v>
      </c>
    </row>
    <row r="32" spans="1:3" ht="14">
      <c r="A32" s="3202"/>
      <c r="B32" s="3201"/>
      <c r="C32" s="1428" t="s">
        <v>974</v>
      </c>
    </row>
    <row r="33" spans="1:3" ht="14">
      <c r="A33" s="3202"/>
      <c r="B33" s="3201"/>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3" customWidth="1"/>
    <col min="2" max="2" width="38.6328125" style="2153" customWidth="1"/>
    <col min="3" max="3" width="26" style="2153" customWidth="1"/>
    <col min="4" max="4" width="35" style="2153" hidden="1" customWidth="1"/>
    <col min="5" max="5" width="30.08984375" style="2153" customWidth="1"/>
    <col min="6" max="6" width="35.453125" style="2153" customWidth="1"/>
    <col min="7" max="7" width="31" style="2153" customWidth="1"/>
    <col min="8" max="8" width="37.453125" style="2153" hidden="1" customWidth="1"/>
    <col min="9" max="16384" width="22.6328125" style="2153"/>
  </cols>
  <sheetData>
    <row r="1" spans="1:8" ht="24" customHeight="1">
      <c r="A1" s="2152"/>
      <c r="B1" s="2152"/>
      <c r="C1" s="2152"/>
      <c r="D1" s="2152"/>
      <c r="E1" s="2152"/>
      <c r="F1" s="2152"/>
      <c r="G1" s="2152"/>
      <c r="H1" s="2152"/>
    </row>
    <row r="2" spans="1:8" ht="24" customHeight="1">
      <c r="A2" s="2154" t="s">
        <v>2139</v>
      </c>
      <c r="B2" s="2155">
        <f ca="1">TODAY()</f>
        <v>45974</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8"/>
      <c r="E18" s="3208" t="s">
        <v>2162</v>
      </c>
      <c r="F18" s="3207"/>
      <c r="G18" s="3207"/>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结果表房本1</vt:lpstr>
      <vt:lpstr>结果表房本2</vt:lpstr>
      <vt:lpstr>结果表房本3</vt:lpstr>
      <vt:lpstr>基准地价修正</vt:lpstr>
      <vt:lpstr>信息</vt:lpstr>
      <vt:lpstr>租金案例</vt:lpstr>
      <vt:lpstr>成本法房本1</vt:lpstr>
      <vt:lpstr>成本法 (元)</vt:lpstr>
      <vt:lpstr>假设开发法</vt:lpstr>
      <vt:lpstr>成本法房本2</vt:lpstr>
      <vt:lpstr>成本法房本3</vt:lpstr>
      <vt:lpstr>收益法房本1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收益法房本2</vt:lpstr>
      <vt:lpstr>收益法房本3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成本法房本1!Print_Area</vt:lpstr>
      <vt:lpstr>成本法房本2!Print_Area</vt:lpstr>
      <vt:lpstr>成本法房本3!Print_Area</vt:lpstr>
      <vt:lpstr>估价对象房地状况!Print_Area</vt:lpstr>
      <vt:lpstr>估价师及机构信息!Print_Area</vt:lpstr>
      <vt:lpstr>'基准地价（汇总）'!Print_Area</vt:lpstr>
      <vt:lpstr>基准地价修正!Print_Area</vt:lpstr>
      <vt:lpstr>假设开发法!Print_Area</vt:lpstr>
      <vt:lpstr>结果表房本1!Print_Area</vt:lpstr>
      <vt:lpstr>结果表房本2!Print_Area</vt:lpstr>
      <vt:lpstr>结果表房本3!Print_Area</vt:lpstr>
      <vt:lpstr>'收益法 (元)'!Print_Area</vt:lpstr>
      <vt:lpstr>'收益法（汇总）'!Print_Area</vt:lpstr>
      <vt:lpstr>收益法房本1!Print_Area</vt:lpstr>
      <vt:lpstr>收益法房本2!Print_Area</vt:lpstr>
      <vt:lpstr>收益法房本3!Print_Area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2025-11-13T08:26:09Z</dcterms:modified>
</cp:coreProperties>
</file>