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40" windowWidth="12120" windowHeight="759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西" sheetId="79" r:id="rId14"/>
    <sheet name="数据-汇总表" sheetId="6" r:id="rId15"/>
    <sheet name="数据-取费表" sheetId="1" r:id="rId16"/>
    <sheet name="租约" sheetId="77"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F67" i="77"/>
  <c r="J10" l="1"/>
  <c r="I10"/>
  <c r="J9"/>
  <c r="J7"/>
  <c r="J5"/>
  <c r="A3" i="3" l="1"/>
  <c r="I13" i="4"/>
  <c r="F10"/>
  <c r="C11"/>
  <c r="D3"/>
  <c r="I14" i="79"/>
  <c r="M13"/>
  <c r="M11"/>
  <c r="M10"/>
  <c r="M9"/>
  <c r="M7"/>
  <c r="M14" s="1"/>
  <c r="I13" i="3" s="1"/>
  <c r="C15" i="74" l="1"/>
  <c r="B15"/>
  <c r="D30" i="43" l="1"/>
  <c r="G82"/>
  <c r="G83"/>
  <c r="G84"/>
  <c r="G85"/>
  <c r="G86"/>
  <c r="G87"/>
  <c r="G88"/>
  <c r="G81"/>
  <c r="U6" i="1"/>
  <c r="Y6"/>
  <c r="F19" i="6"/>
  <c r="D29" i="43" s="1"/>
  <c r="B5" i="4"/>
  <c r="B7"/>
  <c r="D67" i="77" l="1"/>
  <c r="E67"/>
  <c r="D7" i="71" l="1"/>
  <c r="AH5"/>
  <c r="AG5"/>
  <c r="AE5"/>
  <c r="AF5" s="1"/>
  <c r="AD5"/>
  <c r="Q5"/>
  <c r="P5"/>
  <c r="O5"/>
  <c r="N5"/>
  <c r="L3"/>
  <c r="K3"/>
  <c r="I3"/>
  <c r="J3"/>
  <c r="AD6"/>
  <c r="AG6"/>
  <c r="AH6"/>
  <c r="AE6"/>
  <c r="AF6" s="1"/>
  <c r="N6"/>
  <c r="Q6"/>
  <c r="P6"/>
  <c r="O6"/>
  <c r="C6"/>
  <c r="T6" s="1"/>
  <c r="Q7"/>
  <c r="F6"/>
  <c r="F5"/>
  <c r="P7"/>
  <c r="E6"/>
  <c r="E5" s="1"/>
  <c r="O7"/>
  <c r="N7"/>
  <c r="B6"/>
  <c r="S6"/>
  <c r="V6"/>
  <c r="B5"/>
  <c r="D6"/>
  <c r="U6" s="1"/>
  <c r="C5"/>
  <c r="D5" s="1"/>
  <c r="A2" i="53"/>
  <c r="K59" i="67"/>
  <c r="P61"/>
  <c r="K59" i="15"/>
  <c r="P74" s="1"/>
  <c r="P74" i="67"/>
  <c r="D116" i="39"/>
  <c r="E116"/>
  <c r="F116"/>
  <c r="G116"/>
  <c r="H116"/>
  <c r="I116"/>
  <c r="J116"/>
  <c r="K116"/>
  <c r="L116"/>
  <c r="M116"/>
  <c r="C116"/>
  <c r="A21" i="62"/>
  <c r="A20"/>
  <c r="B66" i="72" s="1"/>
  <c r="A22" i="51"/>
  <c r="A21"/>
  <c r="B16" i="72" s="1"/>
  <c r="A20" i="51"/>
  <c r="A14" i="62"/>
  <c r="A13"/>
  <c r="A19"/>
  <c r="A12"/>
  <c r="A120" i="9"/>
  <c r="H2" i="52"/>
  <c r="A1"/>
  <c r="A3" i="53"/>
  <c r="Q8" i="71"/>
  <c r="P8"/>
  <c r="O8"/>
  <c r="N8"/>
  <c r="D5" i="43"/>
  <c r="A15" i="51"/>
  <c r="B12" i="72" s="1"/>
  <c r="C76" i="9"/>
  <c r="I107" i="40"/>
  <c r="K6" i="4"/>
  <c r="M56" i="9" s="1"/>
  <c r="B22" i="31"/>
  <c r="E16" i="74"/>
  <c r="F16"/>
  <c r="E17"/>
  <c r="F17"/>
  <c r="E18"/>
  <c r="F18"/>
  <c r="E19"/>
  <c r="F19"/>
  <c r="E20"/>
  <c r="F20"/>
  <c r="E21"/>
  <c r="F21"/>
  <c r="E22"/>
  <c r="F22"/>
  <c r="E23"/>
  <c r="F23"/>
  <c r="B3"/>
  <c r="C91" i="9"/>
  <c r="B8" i="72"/>
  <c r="M19" i="43"/>
  <c r="O9" i="71"/>
  <c r="P9"/>
  <c r="Q9"/>
  <c r="N9"/>
  <c r="AE3"/>
  <c r="AF3"/>
  <c r="AG3"/>
  <c r="AH3"/>
  <c r="AD7"/>
  <c r="AE7"/>
  <c r="AF7" s="1"/>
  <c r="AG7"/>
  <c r="AH7"/>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H21"/>
  <c r="AG21"/>
  <c r="AE21"/>
  <c r="AF21"/>
  <c r="AD21"/>
  <c r="AD22"/>
  <c r="AE22"/>
  <c r="AF22"/>
  <c r="AG22"/>
  <c r="AH22"/>
  <c r="S2" i="31"/>
  <c r="M2"/>
  <c r="N2"/>
  <c r="O2"/>
  <c r="P2"/>
  <c r="Q2"/>
  <c r="R2"/>
  <c r="C1" i="73"/>
  <c r="L1" s="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s="1"/>
  <c r="A8" i="52" s="1"/>
  <c r="B54" i="72" s="1"/>
  <c r="E111" i="9"/>
  <c r="A126" s="1"/>
  <c r="E109"/>
  <c r="A124" s="1"/>
  <c r="A10" i="52" s="1"/>
  <c r="B55" i="72" s="1"/>
  <c r="B44"/>
  <c r="B42"/>
  <c r="B69"/>
  <c r="B68"/>
  <c r="B63"/>
  <c r="B62"/>
  <c r="B65"/>
  <c r="B60"/>
  <c r="B59"/>
  <c r="B58"/>
  <c r="B67"/>
  <c r="B10"/>
  <c r="C53" i="10"/>
  <c r="B51"/>
  <c r="B19" i="72"/>
  <c r="A18" i="51"/>
  <c r="B13" i="72" s="1"/>
  <c r="B49" i="48"/>
  <c r="B5" i="72"/>
  <c r="I19" i="43"/>
  <c r="D71" i="71"/>
  <c r="F70"/>
  <c r="E70"/>
  <c r="E69" s="1"/>
  <c r="E68" s="1"/>
  <c r="C70"/>
  <c r="D70"/>
  <c r="B70"/>
  <c r="F69"/>
  <c r="F68" s="1"/>
  <c r="B69"/>
  <c r="B68" s="1"/>
  <c r="D67"/>
  <c r="F66"/>
  <c r="E66"/>
  <c r="E65" s="1"/>
  <c r="E64" s="1"/>
  <c r="C66"/>
  <c r="D66"/>
  <c r="B66"/>
  <c r="F65"/>
  <c r="F64" s="1"/>
  <c r="B65"/>
  <c r="B64" s="1"/>
  <c r="D63"/>
  <c r="Q62"/>
  <c r="P62"/>
  <c r="O62"/>
  <c r="N62"/>
  <c r="F62"/>
  <c r="V62"/>
  <c r="E62"/>
  <c r="U62"/>
  <c r="C62"/>
  <c r="T62"/>
  <c r="B62"/>
  <c r="S62"/>
  <c r="Q61"/>
  <c r="P61"/>
  <c r="O61"/>
  <c r="N61"/>
  <c r="F61"/>
  <c r="F60"/>
  <c r="B61"/>
  <c r="B60"/>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c r="E54"/>
  <c r="U54"/>
  <c r="C54"/>
  <c r="T54"/>
  <c r="B54"/>
  <c r="S54"/>
  <c r="Q53"/>
  <c r="P53"/>
  <c r="O53"/>
  <c r="N53"/>
  <c r="F53"/>
  <c r="F52"/>
  <c r="B53"/>
  <c r="B52"/>
  <c r="Q52"/>
  <c r="P52"/>
  <c r="O52"/>
  <c r="N52"/>
  <c r="Q51"/>
  <c r="P51"/>
  <c r="O51"/>
  <c r="N51"/>
  <c r="D51"/>
  <c r="F50"/>
  <c r="V50" s="1"/>
  <c r="E50"/>
  <c r="P50" s="1"/>
  <c r="C50"/>
  <c r="B50"/>
  <c r="S50"/>
  <c r="B49"/>
  <c r="D47"/>
  <c r="Q46"/>
  <c r="P46"/>
  <c r="O46"/>
  <c r="N46"/>
  <c r="Q45"/>
  <c r="P45"/>
  <c r="O45"/>
  <c r="N45"/>
  <c r="Q44"/>
  <c r="P44"/>
  <c r="O44"/>
  <c r="N44"/>
  <c r="Q43"/>
  <c r="F44" s="1"/>
  <c r="F45"/>
  <c r="F46" s="1"/>
  <c r="V46" s="1"/>
  <c r="P43"/>
  <c r="E44"/>
  <c r="O43"/>
  <c r="C44"/>
  <c r="N43"/>
  <c r="B44"/>
  <c r="B45" s="1"/>
  <c r="B46"/>
  <c r="S46" s="1"/>
  <c r="D43"/>
  <c r="Q42"/>
  <c r="P42"/>
  <c r="O42"/>
  <c r="N42"/>
  <c r="Q41"/>
  <c r="P41"/>
  <c r="O41"/>
  <c r="N41"/>
  <c r="Q40"/>
  <c r="P40"/>
  <c r="O40"/>
  <c r="N40"/>
  <c r="Q39"/>
  <c r="F40"/>
  <c r="F41" s="1"/>
  <c r="F42"/>
  <c r="V42" s="1"/>
  <c r="P39"/>
  <c r="E40" s="1"/>
  <c r="O39"/>
  <c r="C40" s="1"/>
  <c r="N39"/>
  <c r="B40" s="1"/>
  <c r="B41"/>
  <c r="B42" s="1"/>
  <c r="S42" s="1"/>
  <c r="D39"/>
  <c r="Q38"/>
  <c r="P38"/>
  <c r="O38"/>
  <c r="N38"/>
  <c r="Q37"/>
  <c r="P37"/>
  <c r="O37"/>
  <c r="N37"/>
  <c r="Q36"/>
  <c r="P36"/>
  <c r="O36"/>
  <c r="N36"/>
  <c r="Q35"/>
  <c r="F36"/>
  <c r="F37" s="1"/>
  <c r="F38"/>
  <c r="V38" s="1"/>
  <c r="P35"/>
  <c r="E36" s="1"/>
  <c r="O35"/>
  <c r="C36" s="1"/>
  <c r="N35"/>
  <c r="B36"/>
  <c r="B37" s="1"/>
  <c r="B38" s="1"/>
  <c r="S38" s="1"/>
  <c r="D35"/>
  <c r="Q34"/>
  <c r="P34"/>
  <c r="O34"/>
  <c r="N34"/>
  <c r="Q33"/>
  <c r="P33"/>
  <c r="O33"/>
  <c r="N33"/>
  <c r="Q32"/>
  <c r="P32"/>
  <c r="O32"/>
  <c r="N32"/>
  <c r="Q31"/>
  <c r="F32"/>
  <c r="P31"/>
  <c r="E32"/>
  <c r="E33" s="1"/>
  <c r="E34" s="1"/>
  <c r="U34" s="1"/>
  <c r="O31"/>
  <c r="C32" s="1"/>
  <c r="N31"/>
  <c r="B32" s="1"/>
  <c r="B33"/>
  <c r="B34" s="1"/>
  <c r="S34" s="1"/>
  <c r="D31"/>
  <c r="T30"/>
  <c r="Q30"/>
  <c r="P30"/>
  <c r="O30"/>
  <c r="N30"/>
  <c r="D30"/>
  <c r="Q29"/>
  <c r="P29"/>
  <c r="O29"/>
  <c r="N29"/>
  <c r="Q28"/>
  <c r="P28"/>
  <c r="O28"/>
  <c r="N28"/>
  <c r="Q27"/>
  <c r="F28" s="1"/>
  <c r="F29" s="1"/>
  <c r="F30" s="1"/>
  <c r="V30" s="1"/>
  <c r="P27"/>
  <c r="E28"/>
  <c r="E29" s="1"/>
  <c r="E30"/>
  <c r="U30" s="1"/>
  <c r="O27"/>
  <c r="C28" s="1"/>
  <c r="N27"/>
  <c r="B28" s="1"/>
  <c r="B29" s="1"/>
  <c r="B30" s="1"/>
  <c r="S30" s="1"/>
  <c r="D27"/>
  <c r="Q26"/>
  <c r="P26"/>
  <c r="O26"/>
  <c r="N26"/>
  <c r="Q25"/>
  <c r="P25"/>
  <c r="O25"/>
  <c r="N25"/>
  <c r="Q24"/>
  <c r="P24"/>
  <c r="O24"/>
  <c r="N24"/>
  <c r="Q23"/>
  <c r="F24" s="1"/>
  <c r="F25" s="1"/>
  <c r="F26" s="1"/>
  <c r="V26" s="1"/>
  <c r="P23"/>
  <c r="E24"/>
  <c r="E25" s="1"/>
  <c r="E26" s="1"/>
  <c r="U26" s="1"/>
  <c r="O23"/>
  <c r="C24" s="1"/>
  <c r="N23"/>
  <c r="B24" s="1"/>
  <c r="B25"/>
  <c r="B26" s="1"/>
  <c r="S26" s="1"/>
  <c r="D23"/>
  <c r="Q22"/>
  <c r="P22"/>
  <c r="O22"/>
  <c r="N22"/>
  <c r="Q21"/>
  <c r="AB21" s="1"/>
  <c r="P21"/>
  <c r="AA21"/>
  <c r="O21"/>
  <c r="Y21"/>
  <c r="Z21" s="1"/>
  <c r="N21"/>
  <c r="X21" s="1"/>
  <c r="Q20"/>
  <c r="AB20" s="1"/>
  <c r="P20"/>
  <c r="O20"/>
  <c r="Y20"/>
  <c r="Z20" s="1"/>
  <c r="N20"/>
  <c r="Q19"/>
  <c r="F20" s="1"/>
  <c r="F21" s="1"/>
  <c r="F22" s="1"/>
  <c r="V22" s="1"/>
  <c r="P19"/>
  <c r="O19"/>
  <c r="N19"/>
  <c r="B20" s="1"/>
  <c r="B21" s="1"/>
  <c r="B22" s="1"/>
  <c r="S22" s="1"/>
  <c r="D19"/>
  <c r="Q18"/>
  <c r="AB18" s="1"/>
  <c r="P18"/>
  <c r="AA17" s="1"/>
  <c r="O18"/>
  <c r="Y18"/>
  <c r="Z18" s="1"/>
  <c r="N18"/>
  <c r="Q17"/>
  <c r="AB17"/>
  <c r="P17"/>
  <c r="O17"/>
  <c r="Y17" s="1"/>
  <c r="Z17" s="1"/>
  <c r="N17"/>
  <c r="Q16"/>
  <c r="AB16" s="1"/>
  <c r="P16"/>
  <c r="AA16" s="1"/>
  <c r="O16"/>
  <c r="Y16"/>
  <c r="Z16" s="1"/>
  <c r="N16"/>
  <c r="Q15"/>
  <c r="F16" s="1"/>
  <c r="F17" s="1"/>
  <c r="F18" s="1"/>
  <c r="V18" s="1"/>
  <c r="P15"/>
  <c r="O15"/>
  <c r="N15"/>
  <c r="D15"/>
  <c r="Q14"/>
  <c r="AB14" s="1"/>
  <c r="P14"/>
  <c r="O14"/>
  <c r="Y14"/>
  <c r="Z14" s="1"/>
  <c r="N14"/>
  <c r="X13" s="1"/>
  <c r="Q13"/>
  <c r="AB13"/>
  <c r="P13"/>
  <c r="O13"/>
  <c r="Y13" s="1"/>
  <c r="Z13" s="1"/>
  <c r="N13"/>
  <c r="Q12"/>
  <c r="AB12" s="1"/>
  <c r="P12"/>
  <c r="O12"/>
  <c r="Y12"/>
  <c r="Z12" s="1"/>
  <c r="N12"/>
  <c r="X12" s="1"/>
  <c r="Q11"/>
  <c r="F12" s="1"/>
  <c r="F13" s="1"/>
  <c r="F14" s="1"/>
  <c r="V14" s="1"/>
  <c r="P11"/>
  <c r="E12" s="1"/>
  <c r="E13" s="1"/>
  <c r="E14" s="1"/>
  <c r="U14" s="1"/>
  <c r="O11"/>
  <c r="N11"/>
  <c r="X7" s="1"/>
  <c r="D11"/>
  <c r="O10"/>
  <c r="C10" s="1"/>
  <c r="N10"/>
  <c r="B12"/>
  <c r="B13" s="1"/>
  <c r="B14" s="1"/>
  <c r="S14" s="1"/>
  <c r="X11"/>
  <c r="B16"/>
  <c r="B17" s="1"/>
  <c r="B18" s="1"/>
  <c r="S18" s="1"/>
  <c r="X15"/>
  <c r="E20"/>
  <c r="E21" s="1"/>
  <c r="E22" s="1"/>
  <c r="U22" s="1"/>
  <c r="AA19"/>
  <c r="N50"/>
  <c r="E16"/>
  <c r="E17" s="1"/>
  <c r="E18" s="1"/>
  <c r="U18" s="1"/>
  <c r="AA15"/>
  <c r="C12"/>
  <c r="Y11"/>
  <c r="Z11" s="1"/>
  <c r="AB11"/>
  <c r="AA12"/>
  <c r="AA13"/>
  <c r="AA14"/>
  <c r="C16"/>
  <c r="C17"/>
  <c r="C18" s="1"/>
  <c r="X16"/>
  <c r="X17"/>
  <c r="X18"/>
  <c r="C20"/>
  <c r="C21" s="1"/>
  <c r="Y19"/>
  <c r="Z19"/>
  <c r="AB19"/>
  <c r="X20"/>
  <c r="AA20"/>
  <c r="F33"/>
  <c r="F34" s="1"/>
  <c r="V34" s="1"/>
  <c r="Y3"/>
  <c r="Z3" s="1"/>
  <c r="Y7"/>
  <c r="Z7" s="1"/>
  <c r="Y8"/>
  <c r="Z8" s="1"/>
  <c r="Y9"/>
  <c r="Z9" s="1"/>
  <c r="Y10"/>
  <c r="Z10" s="1"/>
  <c r="B10"/>
  <c r="B9" s="1"/>
  <c r="B8" s="1"/>
  <c r="X8"/>
  <c r="X3"/>
  <c r="C13"/>
  <c r="C14" s="1"/>
  <c r="D12"/>
  <c r="D16"/>
  <c r="D20"/>
  <c r="C25"/>
  <c r="D24"/>
  <c r="C29"/>
  <c r="D29"/>
  <c r="D28"/>
  <c r="C33"/>
  <c r="C34" s="1"/>
  <c r="D32"/>
  <c r="P10"/>
  <c r="E10" s="1"/>
  <c r="E37"/>
  <c r="E38"/>
  <c r="U38" s="1"/>
  <c r="E41"/>
  <c r="E42" s="1"/>
  <c r="U42" s="1"/>
  <c r="E45"/>
  <c r="E46"/>
  <c r="U46" s="1"/>
  <c r="U50"/>
  <c r="E49"/>
  <c r="P49" s="1"/>
  <c r="Q10"/>
  <c r="C41"/>
  <c r="C42" s="1"/>
  <c r="D40"/>
  <c r="C45"/>
  <c r="D45" s="1"/>
  <c r="D44"/>
  <c r="N49"/>
  <c r="B48"/>
  <c r="T50"/>
  <c r="O50"/>
  <c r="D50"/>
  <c r="C49"/>
  <c r="C48" s="1"/>
  <c r="Q50"/>
  <c r="C53"/>
  <c r="C52" s="1"/>
  <c r="D52" s="1"/>
  <c r="E53"/>
  <c r="E52"/>
  <c r="D54"/>
  <c r="C57"/>
  <c r="D57" s="1"/>
  <c r="E57"/>
  <c r="E56"/>
  <c r="D58"/>
  <c r="C61"/>
  <c r="D61" s="1"/>
  <c r="E61"/>
  <c r="E60"/>
  <c r="D62"/>
  <c r="C65"/>
  <c r="C64" s="1"/>
  <c r="D64" s="1"/>
  <c r="C69"/>
  <c r="S10"/>
  <c r="F10"/>
  <c r="F9"/>
  <c r="F8" s="1"/>
  <c r="AB3"/>
  <c r="AB7"/>
  <c r="AB8"/>
  <c r="AB9"/>
  <c r="AB10"/>
  <c r="AA3"/>
  <c r="AA8"/>
  <c r="AA10"/>
  <c r="O49"/>
  <c r="C46"/>
  <c r="D46" s="1"/>
  <c r="D65"/>
  <c r="C56"/>
  <c r="D56" s="1"/>
  <c r="N47"/>
  <c r="N48"/>
  <c r="D69"/>
  <c r="C68"/>
  <c r="D68"/>
  <c r="C60"/>
  <c r="D60" s="1"/>
  <c r="D53"/>
  <c r="D41"/>
  <c r="E48"/>
  <c r="P47" s="1"/>
  <c r="D33"/>
  <c r="C26"/>
  <c r="D25"/>
  <c r="D17"/>
  <c r="D13"/>
  <c r="P48"/>
  <c r="T26"/>
  <c r="D26"/>
  <c r="T46"/>
  <c r="O27" i="6"/>
  <c r="N27"/>
  <c r="P20"/>
  <c r="P21"/>
  <c r="P22"/>
  <c r="P23"/>
  <c r="P24"/>
  <c r="P25"/>
  <c r="P26"/>
  <c r="P19"/>
  <c r="AP8" i="1"/>
  <c r="AP9"/>
  <c r="AP10"/>
  <c r="AP11"/>
  <c r="AP12"/>
  <c r="AP13"/>
  <c r="L21" i="6"/>
  <c r="L22"/>
  <c r="L23"/>
  <c r="L24"/>
  <c r="L25"/>
  <c r="L26"/>
  <c r="P27"/>
  <c r="A7" i="70"/>
  <c r="A8"/>
  <c r="E8" s="1"/>
  <c r="A9"/>
  <c r="E9" s="1"/>
  <c r="A10"/>
  <c r="E10" s="1"/>
  <c r="A11"/>
  <c r="E11" s="1"/>
  <c r="A12"/>
  <c r="E12" s="1"/>
  <c r="A13"/>
  <c r="E13" s="1"/>
  <c r="A6"/>
  <c r="Q25" i="40"/>
  <c r="Z25"/>
  <c r="D94"/>
  <c r="E94"/>
  <c r="F25"/>
  <c r="AA25" s="1"/>
  <c r="Z29" i="39"/>
  <c r="Q29"/>
  <c r="D103"/>
  <c r="E103" s="1"/>
  <c r="F103" s="1"/>
  <c r="G103" s="1"/>
  <c r="F29"/>
  <c r="AA29" s="1"/>
  <c r="Q18" i="36"/>
  <c r="Z18" s="1"/>
  <c r="D66"/>
  <c r="E66" s="1"/>
  <c r="F66" s="1"/>
  <c r="G66" s="1"/>
  <c r="H18"/>
  <c r="AB18"/>
  <c r="F18"/>
  <c r="AA18" s="1"/>
  <c r="C18"/>
  <c r="Q18" i="35"/>
  <c r="Z18" s="1"/>
  <c r="D68"/>
  <c r="E68"/>
  <c r="F18"/>
  <c r="AA18" s="1"/>
  <c r="C18"/>
  <c r="Q21" i="37"/>
  <c r="Z21" s="1"/>
  <c r="D77"/>
  <c r="E77"/>
  <c r="C21"/>
  <c r="Q21" i="34"/>
  <c r="Z21" s="1"/>
  <c r="D84"/>
  <c r="E84" s="1"/>
  <c r="F84" s="1"/>
  <c r="G84" s="1"/>
  <c r="F21"/>
  <c r="AA21" s="1"/>
  <c r="C21"/>
  <c r="Q21" i="33"/>
  <c r="Z21" s="1"/>
  <c r="D83"/>
  <c r="E83"/>
  <c r="C21"/>
  <c r="C21" i="21"/>
  <c r="Q21"/>
  <c r="Z21"/>
  <c r="H19"/>
  <c r="D83"/>
  <c r="F21"/>
  <c r="AA21" s="1"/>
  <c r="D81"/>
  <c r="G20" i="20"/>
  <c r="B86" i="43"/>
  <c r="C22" i="20"/>
  <c r="B75" i="43"/>
  <c r="B55"/>
  <c r="B66"/>
  <c r="C25" i="40"/>
  <c r="C29" i="39"/>
  <c r="S25" i="40"/>
  <c r="S29" i="39"/>
  <c r="S18" i="36"/>
  <c r="U18"/>
  <c r="S21" i="34"/>
  <c r="F94" i="40"/>
  <c r="H25"/>
  <c r="G94"/>
  <c r="J25"/>
  <c r="H29" i="39"/>
  <c r="J29"/>
  <c r="AC29" s="1"/>
  <c r="J18" i="36"/>
  <c r="AC18" s="1"/>
  <c r="F68" i="35"/>
  <c r="H18"/>
  <c r="AB18" s="1"/>
  <c r="S18"/>
  <c r="G68"/>
  <c r="J18"/>
  <c r="F77" i="37"/>
  <c r="G77" s="1"/>
  <c r="H21"/>
  <c r="F21"/>
  <c r="AA21" s="1"/>
  <c r="H21" i="34"/>
  <c r="AB21" s="1"/>
  <c r="F83" i="33"/>
  <c r="H21"/>
  <c r="U21" s="1"/>
  <c r="F21"/>
  <c r="E83" i="21"/>
  <c r="F83" s="1"/>
  <c r="S21"/>
  <c r="H1" i="69"/>
  <c r="AC25" i="40"/>
  <c r="W25"/>
  <c r="AB25"/>
  <c r="U25"/>
  <c r="AB29" i="39"/>
  <c r="U29"/>
  <c r="W29"/>
  <c r="W18" i="36"/>
  <c r="AB21" i="37"/>
  <c r="U21"/>
  <c r="S21"/>
  <c r="U21" i="34"/>
  <c r="AA21" i="33"/>
  <c r="S21"/>
  <c r="U18" i="35"/>
  <c r="AC18"/>
  <c r="W18"/>
  <c r="J21" i="37"/>
  <c r="W21" s="1"/>
  <c r="J21" i="34"/>
  <c r="W21" s="1"/>
  <c r="G83" i="33"/>
  <c r="J21"/>
  <c r="W21" s="1"/>
  <c r="H21" i="21"/>
  <c r="U21" s="1"/>
  <c r="F38" i="69"/>
  <c r="E37"/>
  <c r="F36"/>
  <c r="F35"/>
  <c r="F21"/>
  <c r="C21" s="1"/>
  <c r="F20"/>
  <c r="E10"/>
  <c r="E9"/>
  <c r="F7"/>
  <c r="C7" s="1"/>
  <c r="AC21" i="37"/>
  <c r="AC21" i="34"/>
  <c r="AC21" i="33"/>
  <c r="AB21" i="21"/>
  <c r="G83"/>
  <c r="J21"/>
  <c r="C40" i="69"/>
  <c r="F38" i="68"/>
  <c r="E37"/>
  <c r="F36"/>
  <c r="F35"/>
  <c r="F21"/>
  <c r="C21" s="1"/>
  <c r="F20"/>
  <c r="E10"/>
  <c r="E9"/>
  <c r="F7"/>
  <c r="W21" i="21"/>
  <c r="AC21"/>
  <c r="C40" i="68"/>
  <c r="Q72" i="67"/>
  <c r="Q59"/>
  <c r="Q58"/>
  <c r="Q51"/>
  <c r="J50"/>
  <c r="M47"/>
  <c r="D46"/>
  <c r="F33"/>
  <c r="F61" s="1"/>
  <c r="F23"/>
  <c r="F21"/>
  <c r="F20"/>
  <c r="M19"/>
  <c r="F18"/>
  <c r="F17"/>
  <c r="F15"/>
  <c r="S2" i="4"/>
  <c r="C51" i="10" s="1"/>
  <c r="A13" i="51" s="1"/>
  <c r="B11" i="72" s="1"/>
  <c r="S1" i="4"/>
  <c r="B1"/>
  <c r="B37" i="48" s="1"/>
  <c r="B2" i="72" s="1"/>
  <c r="C31" i="66"/>
  <c r="C27"/>
  <c r="C32"/>
  <c r="I23"/>
  <c r="D20"/>
  <c r="I19"/>
  <c r="I18"/>
  <c r="I17"/>
  <c r="I20"/>
  <c r="E15"/>
  <c r="I14"/>
  <c r="I13"/>
  <c r="I12"/>
  <c r="I15" s="1"/>
  <c r="I9"/>
  <c r="I8"/>
  <c r="I7"/>
  <c r="I6"/>
  <c r="I5"/>
  <c r="I4"/>
  <c r="I3"/>
  <c r="I10"/>
  <c r="I21" s="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7"/>
  <c r="D67"/>
  <c r="D60"/>
  <c r="D61"/>
  <c r="D62"/>
  <c r="D63"/>
  <c r="D64"/>
  <c r="D65"/>
  <c r="D66"/>
  <c r="D59"/>
  <c r="E59" s="1"/>
  <c r="B57" s="1"/>
  <c r="M88"/>
  <c r="N88" s="1"/>
  <c r="K88"/>
  <c r="J88" s="1"/>
  <c r="M87"/>
  <c r="N87" s="1"/>
  <c r="K87"/>
  <c r="J87" s="1"/>
  <c r="M86"/>
  <c r="N86" s="1"/>
  <c r="K86"/>
  <c r="J86" s="1"/>
  <c r="M85"/>
  <c r="N85" s="1"/>
  <c r="K85"/>
  <c r="D85" s="1"/>
  <c r="M84"/>
  <c r="N84" s="1"/>
  <c r="K84"/>
  <c r="J84" s="1"/>
  <c r="M83"/>
  <c r="D83" s="1"/>
  <c r="K83"/>
  <c r="J83" s="1"/>
  <c r="M82"/>
  <c r="N82" s="1"/>
  <c r="K82"/>
  <c r="J82" s="1"/>
  <c r="M81"/>
  <c r="D81" s="1"/>
  <c r="K81"/>
  <c r="J81" s="1"/>
  <c r="M78"/>
  <c r="N78"/>
  <c r="K78"/>
  <c r="J78"/>
  <c r="D78"/>
  <c r="M77"/>
  <c r="N77" s="1"/>
  <c r="K77"/>
  <c r="J77" s="1"/>
  <c r="D77"/>
  <c r="M76"/>
  <c r="N76"/>
  <c r="K76"/>
  <c r="J76"/>
  <c r="D76"/>
  <c r="M75"/>
  <c r="N75" s="1"/>
  <c r="K75"/>
  <c r="J75" s="1"/>
  <c r="D75"/>
  <c r="M74"/>
  <c r="N74"/>
  <c r="K74"/>
  <c r="J74"/>
  <c r="D74"/>
  <c r="M73"/>
  <c r="N73" s="1"/>
  <c r="K73"/>
  <c r="J73" s="1"/>
  <c r="D73"/>
  <c r="M72"/>
  <c r="N72"/>
  <c r="K72"/>
  <c r="J72"/>
  <c r="D72"/>
  <c r="M71"/>
  <c r="N71" s="1"/>
  <c r="K71"/>
  <c r="J71" s="1"/>
  <c r="D71"/>
  <c r="M70"/>
  <c r="N70"/>
  <c r="K70"/>
  <c r="J70"/>
  <c r="D70"/>
  <c r="M67"/>
  <c r="N67" s="1"/>
  <c r="K67"/>
  <c r="J67" s="1"/>
  <c r="M66"/>
  <c r="N66" s="1"/>
  <c r="K66"/>
  <c r="J66" s="1"/>
  <c r="M65"/>
  <c r="N65" s="1"/>
  <c r="K65"/>
  <c r="J65" s="1"/>
  <c r="M64"/>
  <c r="N64" s="1"/>
  <c r="K64"/>
  <c r="J64" s="1"/>
  <c r="M63"/>
  <c r="N63" s="1"/>
  <c r="K63"/>
  <c r="J63" s="1"/>
  <c r="M62"/>
  <c r="N62" s="1"/>
  <c r="K62"/>
  <c r="J62" s="1"/>
  <c r="M61"/>
  <c r="N61" s="1"/>
  <c r="K61"/>
  <c r="J61" s="1"/>
  <c r="M60"/>
  <c r="N60" s="1"/>
  <c r="K60"/>
  <c r="J60" s="1"/>
  <c r="M59"/>
  <c r="N59" s="1"/>
  <c r="K59"/>
  <c r="J59" s="1"/>
  <c r="M56"/>
  <c r="N56" s="1"/>
  <c r="K56"/>
  <c r="J56" s="1"/>
  <c r="D56"/>
  <c r="M55"/>
  <c r="N55"/>
  <c r="K55"/>
  <c r="J55"/>
  <c r="D55"/>
  <c r="M54"/>
  <c r="N54" s="1"/>
  <c r="K54"/>
  <c r="J54" s="1"/>
  <c r="D54"/>
  <c r="M53"/>
  <c r="N53"/>
  <c r="K53"/>
  <c r="J53"/>
  <c r="D53"/>
  <c r="M52"/>
  <c r="N52" s="1"/>
  <c r="K52"/>
  <c r="J52" s="1"/>
  <c r="D52"/>
  <c r="M51"/>
  <c r="N51"/>
  <c r="K51"/>
  <c r="J51"/>
  <c r="D51"/>
  <c r="M50"/>
  <c r="N50" s="1"/>
  <c r="K50"/>
  <c r="J50" s="1"/>
  <c r="D50"/>
  <c r="M49"/>
  <c r="N49"/>
  <c r="K49"/>
  <c r="J49"/>
  <c r="D49"/>
  <c r="M48"/>
  <c r="N48" s="1"/>
  <c r="K48"/>
  <c r="J48" s="1"/>
  <c r="D48"/>
  <c r="Q72" i="15"/>
  <c r="Q58"/>
  <c r="Q51"/>
  <c r="Q59"/>
  <c r="AE10" i="1"/>
  <c r="AE11"/>
  <c r="AE12"/>
  <c r="AE13"/>
  <c r="M47" i="15"/>
  <c r="AG7" i="1"/>
  <c r="AG8"/>
  <c r="AG9"/>
  <c r="AG10"/>
  <c r="AG11"/>
  <c r="AG12"/>
  <c r="AG13"/>
  <c r="J50" i="15"/>
  <c r="J51" s="1"/>
  <c r="D12" i="31"/>
  <c r="E12"/>
  <c r="F12" s="1"/>
  <c r="G12" s="1"/>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B2" i="1"/>
  <c r="F15" i="4"/>
  <c r="F8" i="1"/>
  <c r="F9"/>
  <c r="F10"/>
  <c r="F11"/>
  <c r="F12"/>
  <c r="F13"/>
  <c r="D6"/>
  <c r="D9"/>
  <c r="D10"/>
  <c r="D11"/>
  <c r="D12"/>
  <c r="D13"/>
  <c r="D7"/>
  <c r="D8"/>
  <c r="A7"/>
  <c r="A8"/>
  <c r="B8" s="1"/>
  <c r="E8" s="1"/>
  <c r="A9"/>
  <c r="A10"/>
  <c r="A11"/>
  <c r="A12"/>
  <c r="A13"/>
  <c r="A6"/>
  <c r="F3" i="35" s="1"/>
  <c r="B11" i="1"/>
  <c r="E11" s="1"/>
  <c r="B7"/>
  <c r="E7" s="1"/>
  <c r="K10"/>
  <c r="B13"/>
  <c r="E13" s="1"/>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s="1"/>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Z106" s="1"/>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Z78" s="1"/>
  <c r="AX78"/>
  <c r="AW78"/>
  <c r="AV78"/>
  <c r="AC78"/>
  <c r="H78"/>
  <c r="G78" s="1"/>
  <c r="BT77"/>
  <c r="BS77"/>
  <c r="BR77"/>
  <c r="BQ77"/>
  <c r="BP77"/>
  <c r="BO77"/>
  <c r="BN77"/>
  <c r="BM77"/>
  <c r="BL77"/>
  <c r="BK77"/>
  <c r="BJ77"/>
  <c r="BI77"/>
  <c r="BH77"/>
  <c r="BG77"/>
  <c r="BF77"/>
  <c r="BE77"/>
  <c r="BD77"/>
  <c r="BC77"/>
  <c r="BB77"/>
  <c r="BA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Z73" s="1"/>
  <c r="AX73"/>
  <c r="AW73"/>
  <c r="AV73"/>
  <c r="AC73"/>
  <c r="H73"/>
  <c r="G73" s="1"/>
  <c r="BT72"/>
  <c r="BS72"/>
  <c r="BR72"/>
  <c r="BQ72"/>
  <c r="BP72"/>
  <c r="BO72"/>
  <c r="BN72"/>
  <c r="BM72"/>
  <c r="BL72"/>
  <c r="BK72"/>
  <c r="BJ72"/>
  <c r="BI72"/>
  <c r="BH72"/>
  <c r="BG72"/>
  <c r="BF72"/>
  <c r="BE72"/>
  <c r="BD72"/>
  <c r="BC72"/>
  <c r="BB72"/>
  <c r="BA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Z70" s="1"/>
  <c r="AX70"/>
  <c r="AW70"/>
  <c r="AV70"/>
  <c r="AC70"/>
  <c r="H70"/>
  <c r="G70"/>
  <c r="BT69"/>
  <c r="BS69"/>
  <c r="BR69"/>
  <c r="BQ69"/>
  <c r="BP69"/>
  <c r="BO69"/>
  <c r="BN69"/>
  <c r="BM69"/>
  <c r="BL69" s="1"/>
  <c r="BK69"/>
  <c r="BJ69"/>
  <c r="BI69"/>
  <c r="BH69"/>
  <c r="BG69"/>
  <c r="BF69"/>
  <c r="BE69"/>
  <c r="BD69"/>
  <c r="BC69"/>
  <c r="BB69"/>
  <c r="BA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c r="AX65"/>
  <c r="AW65"/>
  <c r="AV65"/>
  <c r="AC65"/>
  <c r="H65"/>
  <c r="G65"/>
  <c r="BT64"/>
  <c r="BS64"/>
  <c r="BR64"/>
  <c r="BQ64"/>
  <c r="BP64"/>
  <c r="BO64"/>
  <c r="BN64"/>
  <c r="BM64"/>
  <c r="BL64" s="1"/>
  <c r="BK64"/>
  <c r="BJ64"/>
  <c r="BI64"/>
  <c r="BH64"/>
  <c r="BG64"/>
  <c r="BF64"/>
  <c r="BE64"/>
  <c r="BD64"/>
  <c r="BC64"/>
  <c r="BB64"/>
  <c r="BA64"/>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c r="AX62"/>
  <c r="AW62"/>
  <c r="AV62"/>
  <c r="AC62"/>
  <c r="H62"/>
  <c r="G62"/>
  <c r="BT61"/>
  <c r="BS61"/>
  <c r="BR61"/>
  <c r="BQ61"/>
  <c r="BP61"/>
  <c r="BO61"/>
  <c r="BN61"/>
  <c r="BM61"/>
  <c r="BL61" s="1"/>
  <c r="BK61"/>
  <c r="BJ61"/>
  <c r="BI61"/>
  <c r="BH61"/>
  <c r="BG61"/>
  <c r="BF61"/>
  <c r="BE61"/>
  <c r="BD61"/>
  <c r="BC61"/>
  <c r="BB61"/>
  <c r="BA6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Z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c r="BT52"/>
  <c r="BS52"/>
  <c r="BR52"/>
  <c r="BQ52"/>
  <c r="BP52"/>
  <c r="BO52"/>
  <c r="BN52"/>
  <c r="BM52"/>
  <c r="BL52" s="1"/>
  <c r="BK52"/>
  <c r="BJ52"/>
  <c r="BI52"/>
  <c r="BH52"/>
  <c r="BG52"/>
  <c r="BF52"/>
  <c r="BE52"/>
  <c r="BD52"/>
  <c r="BC52"/>
  <c r="BB52"/>
  <c r="BA52"/>
  <c r="AZ52" s="1"/>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c r="BT44"/>
  <c r="BS44"/>
  <c r="BR44"/>
  <c r="BQ44"/>
  <c r="BP44"/>
  <c r="BO44"/>
  <c r="BN44"/>
  <c r="BM44"/>
  <c r="BL44" s="1"/>
  <c r="BK44"/>
  <c r="BJ44"/>
  <c r="BI44"/>
  <c r="BH44"/>
  <c r="BG44"/>
  <c r="BF44"/>
  <c r="BE44"/>
  <c r="BD44"/>
  <c r="BC44"/>
  <c r="BB44"/>
  <c r="BA44"/>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X42"/>
  <c r="AW42"/>
  <c r="AV42"/>
  <c r="AC42"/>
  <c r="H42"/>
  <c r="G42" s="1"/>
  <c r="BT41"/>
  <c r="BS41"/>
  <c r="BR41"/>
  <c r="BQ41"/>
  <c r="BP41"/>
  <c r="BO41"/>
  <c r="BN41"/>
  <c r="BM41"/>
  <c r="BL41"/>
  <c r="BK41"/>
  <c r="BJ41"/>
  <c r="BI41"/>
  <c r="BH41"/>
  <c r="BG41"/>
  <c r="BF41"/>
  <c r="BE41"/>
  <c r="BD41"/>
  <c r="BC41"/>
  <c r="BB41"/>
  <c r="BA41" s="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X35"/>
  <c r="AW35"/>
  <c r="AV35"/>
  <c r="AC35"/>
  <c r="H35"/>
  <c r="G35" s="1"/>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c r="BT25"/>
  <c r="BS25"/>
  <c r="BR25"/>
  <c r="BQ25"/>
  <c r="BP25"/>
  <c r="BO25"/>
  <c r="BN25"/>
  <c r="BM25"/>
  <c r="BL25" s="1"/>
  <c r="BK25"/>
  <c r="BJ25"/>
  <c r="BI25"/>
  <c r="BH25"/>
  <c r="BG25"/>
  <c r="BF25"/>
  <c r="BE25"/>
  <c r="BD25"/>
  <c r="BC25"/>
  <c r="BB25"/>
  <c r="BA25"/>
  <c r="AZ25" s="1"/>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s="1"/>
  <c r="AX23"/>
  <c r="AW23"/>
  <c r="AV23"/>
  <c r="AC23"/>
  <c r="H23"/>
  <c r="G23"/>
  <c r="BT22"/>
  <c r="BS22"/>
  <c r="BR22"/>
  <c r="BQ22"/>
  <c r="BP22"/>
  <c r="BO22"/>
  <c r="BN22"/>
  <c r="BM22"/>
  <c r="BL22" s="1"/>
  <c r="BK22"/>
  <c r="BJ22"/>
  <c r="BI22"/>
  <c r="BH22"/>
  <c r="BG22"/>
  <c r="BF22"/>
  <c r="BE22"/>
  <c r="BD22"/>
  <c r="BC22"/>
  <c r="BB22"/>
  <c r="BA22"/>
  <c r="AX22"/>
  <c r="AW22"/>
  <c r="AV22"/>
  <c r="AC22"/>
  <c r="H22"/>
  <c r="G22" s="1"/>
  <c r="BT21"/>
  <c r="BS21"/>
  <c r="BR21"/>
  <c r="BQ21"/>
  <c r="BP21"/>
  <c r="BO21"/>
  <c r="BN21"/>
  <c r="BM21"/>
  <c r="BL21"/>
  <c r="BK21"/>
  <c r="BJ21"/>
  <c r="BI21"/>
  <c r="BH21"/>
  <c r="BG21"/>
  <c r="BF21"/>
  <c r="BE21"/>
  <c r="BD21"/>
  <c r="BC21"/>
  <c r="BB21"/>
  <c r="BA21" s="1"/>
  <c r="AX21"/>
  <c r="AW21"/>
  <c r="AV21"/>
  <c r="AC21"/>
  <c r="H21"/>
  <c r="G21" s="1"/>
  <c r="BT20"/>
  <c r="BS20"/>
  <c r="BR20"/>
  <c r="BQ20"/>
  <c r="BP20"/>
  <c r="BO20"/>
  <c r="BN20"/>
  <c r="BM20"/>
  <c r="BL20"/>
  <c r="BK20"/>
  <c r="BJ20"/>
  <c r="BI20"/>
  <c r="BH20"/>
  <c r="BG20"/>
  <c r="BF20"/>
  <c r="BE20"/>
  <c r="BD20"/>
  <c r="BC20"/>
  <c r="BB20"/>
  <c r="BA20" s="1"/>
  <c r="AX20"/>
  <c r="AW20"/>
  <c r="AV20"/>
  <c r="AC20"/>
  <c r="H20"/>
  <c r="G20" s="1"/>
  <c r="BT19"/>
  <c r="BS19"/>
  <c r="BR19"/>
  <c r="BQ19"/>
  <c r="BP19"/>
  <c r="BO19"/>
  <c r="BN19"/>
  <c r="BM19"/>
  <c r="BL19"/>
  <c r="BK19"/>
  <c r="BJ19"/>
  <c r="BI19"/>
  <c r="BH19"/>
  <c r="BG19"/>
  <c r="BF19"/>
  <c r="BE19"/>
  <c r="BD19"/>
  <c r="BC19"/>
  <c r="BB19"/>
  <c r="BA19" s="1"/>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c r="BK194"/>
  <c r="BJ194"/>
  <c r="BI194"/>
  <c r="BH194"/>
  <c r="BG194"/>
  <c r="BF194"/>
  <c r="BE194"/>
  <c r="BD194"/>
  <c r="BC194"/>
  <c r="BB194"/>
  <c r="BA194" s="1"/>
  <c r="AX194"/>
  <c r="AW194"/>
  <c r="AV194"/>
  <c r="AC194"/>
  <c r="H194"/>
  <c r="G194" s="1"/>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c r="BK190"/>
  <c r="BJ190"/>
  <c r="BI190"/>
  <c r="BH190"/>
  <c r="BG190"/>
  <c r="BF190"/>
  <c r="BE190"/>
  <c r="BD190"/>
  <c r="BC190"/>
  <c r="BB190"/>
  <c r="BA190" s="1"/>
  <c r="AX190"/>
  <c r="AW190"/>
  <c r="AV190"/>
  <c r="AC190"/>
  <c r="H190"/>
  <c r="G190" s="1"/>
  <c r="BT189"/>
  <c r="BS189"/>
  <c r="BR189"/>
  <c r="BQ189"/>
  <c r="BP189"/>
  <c r="BO189"/>
  <c r="BN189"/>
  <c r="BM189"/>
  <c r="BL189"/>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L178"/>
  <c r="BK178"/>
  <c r="BJ178"/>
  <c r="BI178"/>
  <c r="BH178"/>
  <c r="BG178"/>
  <c r="BF178"/>
  <c r="BE178"/>
  <c r="BD178"/>
  <c r="BC178"/>
  <c r="BB178"/>
  <c r="BA178" s="1"/>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s="1"/>
  <c r="BT173"/>
  <c r="BS173"/>
  <c r="BR173"/>
  <c r="BQ173"/>
  <c r="BP173"/>
  <c r="BO173"/>
  <c r="BN173"/>
  <c r="BM173"/>
  <c r="BL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L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c r="BT301"/>
  <c r="BS301"/>
  <c r="BR301"/>
  <c r="BQ301"/>
  <c r="BP301"/>
  <c r="BO301"/>
  <c r="BN301"/>
  <c r="BM301"/>
  <c r="BL301" s="1"/>
  <c r="BK301"/>
  <c r="BJ301"/>
  <c r="BI301"/>
  <c r="BH301"/>
  <c r="BG301"/>
  <c r="BF301"/>
  <c r="BE301"/>
  <c r="BD301"/>
  <c r="BC301"/>
  <c r="BB301"/>
  <c r="BA30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c r="AX299"/>
  <c r="AW299"/>
  <c r="AV299"/>
  <c r="AC299"/>
  <c r="H299"/>
  <c r="G299"/>
  <c r="BT298"/>
  <c r="BS298"/>
  <c r="BR298"/>
  <c r="BQ298"/>
  <c r="BP298"/>
  <c r="BO298"/>
  <c r="BN298"/>
  <c r="BM298"/>
  <c r="BL298" s="1"/>
  <c r="BK298"/>
  <c r="BJ298"/>
  <c r="BI298"/>
  <c r="BH298"/>
  <c r="BG298"/>
  <c r="BF298"/>
  <c r="BE298"/>
  <c r="BD298"/>
  <c r="BC298"/>
  <c r="BB298"/>
  <c r="BA298"/>
  <c r="AX298"/>
  <c r="AW298"/>
  <c r="AV298"/>
  <c r="AC298"/>
  <c r="H298"/>
  <c r="G298" s="1"/>
  <c r="BT297"/>
  <c r="BS297"/>
  <c r="BR297"/>
  <c r="BQ297"/>
  <c r="BP297"/>
  <c r="BO297"/>
  <c r="BN297"/>
  <c r="BM297"/>
  <c r="BL297"/>
  <c r="BK297"/>
  <c r="BJ297"/>
  <c r="BI297"/>
  <c r="BH297"/>
  <c r="BG297"/>
  <c r="BF297"/>
  <c r="BE297"/>
  <c r="BD297"/>
  <c r="BC297"/>
  <c r="BB297"/>
  <c r="BA297" s="1"/>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Z285" s="1"/>
  <c r="AX285"/>
  <c r="AW285"/>
  <c r="AV285"/>
  <c r="AC285"/>
  <c r="H285"/>
  <c r="G285" s="1"/>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c r="AX283"/>
  <c r="AW283"/>
  <c r="AV283"/>
  <c r="AC283"/>
  <c r="H283"/>
  <c r="G283"/>
  <c r="BT282"/>
  <c r="BS282"/>
  <c r="BR282"/>
  <c r="BQ282"/>
  <c r="BP282"/>
  <c r="BO282"/>
  <c r="BN282"/>
  <c r="BM282"/>
  <c r="BL282" s="1"/>
  <c r="BK282"/>
  <c r="BJ282"/>
  <c r="BI282"/>
  <c r="BH282"/>
  <c r="BG282"/>
  <c r="BF282"/>
  <c r="BE282"/>
  <c r="BD282"/>
  <c r="BC282"/>
  <c r="BB282"/>
  <c r="BA282"/>
  <c r="AZ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Z264" s="1"/>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Z260" s="1"/>
  <c r="AX260"/>
  <c r="AW260"/>
  <c r="AV260"/>
  <c r="AC260"/>
  <c r="H260"/>
  <c r="G260" s="1"/>
  <c r="BT259"/>
  <c r="BS259"/>
  <c r="BR259"/>
  <c r="BQ259"/>
  <c r="BP259"/>
  <c r="BO259"/>
  <c r="BN259"/>
  <c r="BM259"/>
  <c r="BL259"/>
  <c r="BK259"/>
  <c r="BJ259"/>
  <c r="BI259"/>
  <c r="BH259"/>
  <c r="BG259"/>
  <c r="BF259"/>
  <c r="BE259"/>
  <c r="BD259"/>
  <c r="BC259"/>
  <c r="BB259"/>
  <c r="BA259" s="1"/>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s="1"/>
  <c r="BT254"/>
  <c r="BS254"/>
  <c r="BR254"/>
  <c r="BQ254"/>
  <c r="BP254"/>
  <c r="BO254"/>
  <c r="BN254"/>
  <c r="BM254"/>
  <c r="BL254"/>
  <c r="BK254"/>
  <c r="BJ254"/>
  <c r="BI254"/>
  <c r="BH254"/>
  <c r="BG254"/>
  <c r="BF254"/>
  <c r="BE254"/>
  <c r="BD254"/>
  <c r="BC254"/>
  <c r="BB254"/>
  <c r="BA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c r="AZ247" s="1"/>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Z244" s="1"/>
  <c r="AX244"/>
  <c r="AW244"/>
  <c r="AV244"/>
  <c r="AC244"/>
  <c r="H244"/>
  <c r="G244" s="1"/>
  <c r="BT243"/>
  <c r="BS243"/>
  <c r="BR243"/>
  <c r="BQ243"/>
  <c r="BP243"/>
  <c r="BO243"/>
  <c r="BN243"/>
  <c r="BM243"/>
  <c r="BL243"/>
  <c r="BK243"/>
  <c r="BJ243"/>
  <c r="BI243"/>
  <c r="BH243"/>
  <c r="BG243"/>
  <c r="BF243"/>
  <c r="BE243"/>
  <c r="BD243"/>
  <c r="BC243"/>
  <c r="BB243"/>
  <c r="BA243" s="1"/>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s="1"/>
  <c r="BT238"/>
  <c r="BS238"/>
  <c r="BR238"/>
  <c r="BQ238"/>
  <c r="BP238"/>
  <c r="BO238"/>
  <c r="BN238"/>
  <c r="BM238"/>
  <c r="BL238"/>
  <c r="BK238"/>
  <c r="BJ238"/>
  <c r="BI238"/>
  <c r="BH238"/>
  <c r="BG238"/>
  <c r="BF238"/>
  <c r="BE238"/>
  <c r="BD238"/>
  <c r="BC238"/>
  <c r="BB238"/>
  <c r="BA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c r="AZ231" s="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Z228" s="1"/>
  <c r="AX228"/>
  <c r="AW228"/>
  <c r="AV228"/>
  <c r="AC228"/>
  <c r="H228"/>
  <c r="G228" s="1"/>
  <c r="BT227"/>
  <c r="BS227"/>
  <c r="BR227"/>
  <c r="BQ227"/>
  <c r="BP227"/>
  <c r="BO227"/>
  <c r="BN227"/>
  <c r="BM227"/>
  <c r="BL227"/>
  <c r="BK227"/>
  <c r="BJ227"/>
  <c r="BI227"/>
  <c r="BH227"/>
  <c r="BG227"/>
  <c r="BF227"/>
  <c r="BE227"/>
  <c r="BD227"/>
  <c r="BC227"/>
  <c r="BB227"/>
  <c r="BA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X225"/>
  <c r="AW225"/>
  <c r="AV225"/>
  <c r="AC225"/>
  <c r="H225"/>
  <c r="G225" s="1"/>
  <c r="BT224"/>
  <c r="BS224"/>
  <c r="BR224"/>
  <c r="BQ224"/>
  <c r="BP224"/>
  <c r="BO224"/>
  <c r="BN224"/>
  <c r="BM224"/>
  <c r="BL224"/>
  <c r="BK224"/>
  <c r="BJ224"/>
  <c r="BI224"/>
  <c r="BH224"/>
  <c r="BG224"/>
  <c r="BF224"/>
  <c r="BE224"/>
  <c r="BD224"/>
  <c r="BC224"/>
  <c r="BB224"/>
  <c r="BA224" s="1"/>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c r="AZ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c r="AZ397" s="1"/>
  <c r="AX397"/>
  <c r="AW397"/>
  <c r="AV397"/>
  <c r="AC397"/>
  <c r="H397"/>
  <c r="G397" s="1"/>
  <c r="BT396"/>
  <c r="BS396"/>
  <c r="BR396"/>
  <c r="BQ396"/>
  <c r="BP396"/>
  <c r="BO396"/>
  <c r="BN396"/>
  <c r="BM396"/>
  <c r="BL396"/>
  <c r="BK396"/>
  <c r="BJ396"/>
  <c r="BI396"/>
  <c r="BH396"/>
  <c r="BG396"/>
  <c r="BF396"/>
  <c r="BE396"/>
  <c r="BD396"/>
  <c r="BC396"/>
  <c r="BB396"/>
  <c r="BA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BA492"/>
  <c r="AZ492" s="1"/>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c r="BT488"/>
  <c r="BS488"/>
  <c r="BR488"/>
  <c r="BQ488"/>
  <c r="BP488"/>
  <c r="BO488"/>
  <c r="BN488"/>
  <c r="BM488"/>
  <c r="BL488" s="1"/>
  <c r="BK488"/>
  <c r="BJ488"/>
  <c r="BI488"/>
  <c r="BH488"/>
  <c r="BG488"/>
  <c r="BF488"/>
  <c r="BE488"/>
  <c r="BD488"/>
  <c r="BC488"/>
  <c r="BB488"/>
  <c r="BA488"/>
  <c r="AX488"/>
  <c r="AW488"/>
  <c r="AV488"/>
  <c r="AC488"/>
  <c r="H488"/>
  <c r="G488" s="1"/>
  <c r="BT487"/>
  <c r="BS487"/>
  <c r="BR487"/>
  <c r="BQ487"/>
  <c r="BP487"/>
  <c r="BO487"/>
  <c r="BN487"/>
  <c r="BM487"/>
  <c r="BL487"/>
  <c r="BK487"/>
  <c r="BJ487"/>
  <c r="BI487"/>
  <c r="BH487"/>
  <c r="BG487"/>
  <c r="BF487"/>
  <c r="BE487"/>
  <c r="BD487"/>
  <c r="BC487"/>
  <c r="BB487"/>
  <c r="BA487"/>
  <c r="AZ487" s="1"/>
  <c r="AX487"/>
  <c r="AW487"/>
  <c r="AV487"/>
  <c r="AC487"/>
  <c r="H487"/>
  <c r="G487"/>
  <c r="BT486"/>
  <c r="BS486"/>
  <c r="BR486"/>
  <c r="BQ486"/>
  <c r="BP486"/>
  <c r="BO486"/>
  <c r="BN486"/>
  <c r="BM486"/>
  <c r="BL486" s="1"/>
  <c r="BK486"/>
  <c r="BJ486"/>
  <c r="BI486"/>
  <c r="BH486"/>
  <c r="BG486"/>
  <c r="BF486"/>
  <c r="BE486"/>
  <c r="BD486"/>
  <c r="BC486"/>
  <c r="BB486"/>
  <c r="BA486"/>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c r="BT484"/>
  <c r="BS484"/>
  <c r="BR484"/>
  <c r="BQ484"/>
  <c r="BP484"/>
  <c r="BO484"/>
  <c r="BN484"/>
  <c r="BM484"/>
  <c r="BL484" s="1"/>
  <c r="BK484"/>
  <c r="BJ484"/>
  <c r="BI484"/>
  <c r="BH484"/>
  <c r="BG484"/>
  <c r="BF484"/>
  <c r="BE484"/>
  <c r="BD484"/>
  <c r="BC484"/>
  <c r="BB484"/>
  <c r="BA484"/>
  <c r="AZ484" s="1"/>
  <c r="AX484"/>
  <c r="AW484"/>
  <c r="AV484"/>
  <c r="AC484"/>
  <c r="H484"/>
  <c r="G484" s="1"/>
  <c r="BT483"/>
  <c r="BS483"/>
  <c r="BR483"/>
  <c r="BQ483"/>
  <c r="BP483"/>
  <c r="BO483"/>
  <c r="BN483"/>
  <c r="BM483"/>
  <c r="BL483"/>
  <c r="BK483"/>
  <c r="BJ483"/>
  <c r="BI483"/>
  <c r="BH483"/>
  <c r="BG483"/>
  <c r="BF483"/>
  <c r="BE483"/>
  <c r="BD483"/>
  <c r="BC483"/>
  <c r="BB483"/>
  <c r="BA483" s="1"/>
  <c r="AZ483" s="1"/>
  <c r="AX483"/>
  <c r="AW483"/>
  <c r="AV483"/>
  <c r="AC483"/>
  <c r="H483"/>
  <c r="G483"/>
  <c r="BT482"/>
  <c r="BS482"/>
  <c r="BR482"/>
  <c r="BQ482"/>
  <c r="BP482"/>
  <c r="BO482"/>
  <c r="BN482"/>
  <c r="BM482"/>
  <c r="BL482" s="1"/>
  <c r="BK482"/>
  <c r="BJ482"/>
  <c r="BI482"/>
  <c r="BH482"/>
  <c r="BG482"/>
  <c r="BF482"/>
  <c r="BE482"/>
  <c r="BD482"/>
  <c r="BC482"/>
  <c r="BB482"/>
  <c r="BA482"/>
  <c r="AX482"/>
  <c r="AW482"/>
  <c r="AV482"/>
  <c r="AC482"/>
  <c r="H482"/>
  <c r="G482" s="1"/>
  <c r="BT481"/>
  <c r="BS481"/>
  <c r="BR481"/>
  <c r="BQ481"/>
  <c r="BP481"/>
  <c r="BO481"/>
  <c r="BN481"/>
  <c r="BM481"/>
  <c r="BL481"/>
  <c r="BK481"/>
  <c r="BJ481"/>
  <c r="BI481"/>
  <c r="BH481"/>
  <c r="BG481"/>
  <c r="BF481"/>
  <c r="BE481"/>
  <c r="BD481"/>
  <c r="BC481"/>
  <c r="BB481"/>
  <c r="BA481"/>
  <c r="AZ481" s="1"/>
  <c r="AX481"/>
  <c r="AW481"/>
  <c r="AV481"/>
  <c r="AC481"/>
  <c r="H481"/>
  <c r="G481"/>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c r="AZ477" s="1"/>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s="1"/>
  <c r="BT473"/>
  <c r="BS473"/>
  <c r="BR473"/>
  <c r="BQ473"/>
  <c r="BP473"/>
  <c r="BO473"/>
  <c r="BN473"/>
  <c r="BM473"/>
  <c r="BL473"/>
  <c r="BK473"/>
  <c r="BJ473"/>
  <c r="BI473"/>
  <c r="BH473"/>
  <c r="BG473"/>
  <c r="BF473"/>
  <c r="BE473"/>
  <c r="BD473"/>
  <c r="BC473"/>
  <c r="BB473"/>
  <c r="BA473" s="1"/>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s="1"/>
  <c r="AZ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Z462" s="1"/>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c r="AZ459" s="1"/>
  <c r="AX459"/>
  <c r="AW459"/>
  <c r="AV459"/>
  <c r="AC459"/>
  <c r="H459"/>
  <c r="G459"/>
  <c r="BT458"/>
  <c r="BS458"/>
  <c r="BR458"/>
  <c r="BQ458"/>
  <c r="BP458"/>
  <c r="BO458"/>
  <c r="BN458"/>
  <c r="BM458"/>
  <c r="BL458" s="1"/>
  <c r="BK458"/>
  <c r="BJ458"/>
  <c r="BI458"/>
  <c r="BH458"/>
  <c r="BG458"/>
  <c r="BF458"/>
  <c r="BE458"/>
  <c r="BD458"/>
  <c r="BC458"/>
  <c r="BB458"/>
  <c r="BA458" s="1"/>
  <c r="AZ458" s="1"/>
  <c r="AX458"/>
  <c r="AW458"/>
  <c r="AV458"/>
  <c r="AC458"/>
  <c r="H458"/>
  <c r="G458" s="1"/>
  <c r="BT457"/>
  <c r="BS457"/>
  <c r="BR457"/>
  <c r="BQ457"/>
  <c r="BP457"/>
  <c r="BO457"/>
  <c r="BN457"/>
  <c r="BM457"/>
  <c r="BL457"/>
  <c r="BK457"/>
  <c r="BJ457"/>
  <c r="BI457"/>
  <c r="BH457"/>
  <c r="BG457"/>
  <c r="BF457"/>
  <c r="BE457"/>
  <c r="BD457"/>
  <c r="BC457"/>
  <c r="BB457"/>
  <c r="BA457" s="1"/>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s="1"/>
  <c r="BT454"/>
  <c r="BS454"/>
  <c r="BR454"/>
  <c r="BQ454"/>
  <c r="BP454"/>
  <c r="BO454"/>
  <c r="BN454"/>
  <c r="BM454"/>
  <c r="BL454"/>
  <c r="BK454"/>
  <c r="BJ454"/>
  <c r="BI454"/>
  <c r="BH454"/>
  <c r="BG454"/>
  <c r="BF454"/>
  <c r="BE454"/>
  <c r="BD454"/>
  <c r="BC454"/>
  <c r="BB454"/>
  <c r="BA454"/>
  <c r="AZ454" s="1"/>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s="1"/>
  <c r="AZ451" s="1"/>
  <c r="AX451"/>
  <c r="AW451"/>
  <c r="AV451"/>
  <c r="AC451"/>
  <c r="H451"/>
  <c r="G451" s="1"/>
  <c r="BT450"/>
  <c r="BS450"/>
  <c r="BR450"/>
  <c r="BQ450"/>
  <c r="BP450"/>
  <c r="BO450"/>
  <c r="BN450"/>
  <c r="BM450"/>
  <c r="BL450"/>
  <c r="BK450"/>
  <c r="BJ450"/>
  <c r="BI450"/>
  <c r="BH450"/>
  <c r="BG450"/>
  <c r="BF450"/>
  <c r="BE450"/>
  <c r="BD450"/>
  <c r="BC450"/>
  <c r="BB450"/>
  <c r="BA450"/>
  <c r="AZ450" s="1"/>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Z447" s="1"/>
  <c r="AX447"/>
  <c r="AW447"/>
  <c r="AV447"/>
  <c r="AC447"/>
  <c r="H447"/>
  <c r="G447" s="1"/>
  <c r="BT446"/>
  <c r="BS446"/>
  <c r="BR446"/>
  <c r="BQ446"/>
  <c r="BP446"/>
  <c r="BO446"/>
  <c r="BN446"/>
  <c r="BM446"/>
  <c r="BL446"/>
  <c r="BK446"/>
  <c r="BJ446"/>
  <c r="BI446"/>
  <c r="BH446"/>
  <c r="BG446"/>
  <c r="BF446"/>
  <c r="BE446"/>
  <c r="BD446"/>
  <c r="BC446"/>
  <c r="BB446"/>
  <c r="BA446"/>
  <c r="AZ446" s="1"/>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s="1"/>
  <c r="AZ443" s="1"/>
  <c r="AX443"/>
  <c r="AW443"/>
  <c r="AV443"/>
  <c r="AC443"/>
  <c r="H443"/>
  <c r="G443" s="1"/>
  <c r="BT442"/>
  <c r="BS442"/>
  <c r="BR442"/>
  <c r="BQ442"/>
  <c r="BP442"/>
  <c r="BO442"/>
  <c r="BN442"/>
  <c r="BM442"/>
  <c r="BL442"/>
  <c r="BK442"/>
  <c r="BJ442"/>
  <c r="BI442"/>
  <c r="BH442"/>
  <c r="BG442"/>
  <c r="BF442"/>
  <c r="BE442"/>
  <c r="BD442"/>
  <c r="BC442"/>
  <c r="BB442"/>
  <c r="BA442"/>
  <c r="AZ442" s="1"/>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BK438"/>
  <c r="BJ438"/>
  <c r="BI438"/>
  <c r="BH438"/>
  <c r="BG438"/>
  <c r="BF438"/>
  <c r="BE438"/>
  <c r="BD438"/>
  <c r="BC438"/>
  <c r="BB438"/>
  <c r="BA438" s="1"/>
  <c r="AZ438" s="1"/>
  <c r="AX438"/>
  <c r="AW438"/>
  <c r="AV438"/>
  <c r="AC438"/>
  <c r="H438"/>
  <c r="G438" s="1"/>
  <c r="BT437"/>
  <c r="BS437"/>
  <c r="BR437"/>
  <c r="BQ437"/>
  <c r="BP437"/>
  <c r="BO437"/>
  <c r="BN437"/>
  <c r="BM437"/>
  <c r="BL437"/>
  <c r="BK437"/>
  <c r="BJ437"/>
  <c r="BI437"/>
  <c r="BH437"/>
  <c r="BG437"/>
  <c r="BF437"/>
  <c r="BE437"/>
  <c r="BD437"/>
  <c r="BC437"/>
  <c r="BB437"/>
  <c r="BA437" s="1"/>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BK435"/>
  <c r="BJ435"/>
  <c r="BI435"/>
  <c r="BH435"/>
  <c r="BG435"/>
  <c r="BF435"/>
  <c r="BE435"/>
  <c r="BD435"/>
  <c r="BC435"/>
  <c r="BB435"/>
  <c r="BA435" s="1"/>
  <c r="AZ435" s="1"/>
  <c r="AX435"/>
  <c r="AW435"/>
  <c r="AV435"/>
  <c r="AC435"/>
  <c r="H435"/>
  <c r="G435" s="1"/>
  <c r="BT434"/>
  <c r="BS434"/>
  <c r="BR434"/>
  <c r="BQ434"/>
  <c r="BP434"/>
  <c r="BO434"/>
  <c r="BN434"/>
  <c r="BM434"/>
  <c r="BL434"/>
  <c r="BK434"/>
  <c r="BJ434"/>
  <c r="BI434"/>
  <c r="BH434"/>
  <c r="BG434"/>
  <c r="BF434"/>
  <c r="BE434"/>
  <c r="BD434"/>
  <c r="BC434"/>
  <c r="BB434"/>
  <c r="BA434"/>
  <c r="AZ434" s="1"/>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BK430"/>
  <c r="BJ430"/>
  <c r="BI430"/>
  <c r="BH430"/>
  <c r="BG430"/>
  <c r="BF430"/>
  <c r="BE430"/>
  <c r="BD430"/>
  <c r="BC430"/>
  <c r="BB430"/>
  <c r="BA430"/>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s="1"/>
  <c r="BT422"/>
  <c r="BS422"/>
  <c r="BR422"/>
  <c r="BQ422"/>
  <c r="BP422"/>
  <c r="BO422"/>
  <c r="BN422"/>
  <c r="BM422"/>
  <c r="BL422"/>
  <c r="BK422"/>
  <c r="BJ422"/>
  <c r="BI422"/>
  <c r="BH422"/>
  <c r="BG422"/>
  <c r="BF422"/>
  <c r="BE422"/>
  <c r="BD422"/>
  <c r="BC422"/>
  <c r="BB422"/>
  <c r="BA422"/>
  <c r="AZ422" s="1"/>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s="1"/>
  <c r="AZ419" s="1"/>
  <c r="AX419"/>
  <c r="AW419"/>
  <c r="AV419"/>
  <c r="AC419"/>
  <c r="H419"/>
  <c r="G419" s="1"/>
  <c r="BT418"/>
  <c r="BS418"/>
  <c r="BR418"/>
  <c r="BQ418"/>
  <c r="BP418"/>
  <c r="BO418"/>
  <c r="BN418"/>
  <c r="BM418"/>
  <c r="BL418"/>
  <c r="BK418"/>
  <c r="BJ418"/>
  <c r="BI418"/>
  <c r="BH418"/>
  <c r="BG418"/>
  <c r="BF418"/>
  <c r="BE418"/>
  <c r="BD418"/>
  <c r="BC418"/>
  <c r="BB418"/>
  <c r="BA418"/>
  <c r="AZ418" s="1"/>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s="1"/>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c r="AZ403" s="1"/>
  <c r="AX403"/>
  <c r="AW403"/>
  <c r="AV403"/>
  <c r="AC403"/>
  <c r="H403"/>
  <c r="G403"/>
  <c r="BT402"/>
  <c r="BS402"/>
  <c r="BR402"/>
  <c r="BQ402"/>
  <c r="BP402"/>
  <c r="BO402"/>
  <c r="BN402"/>
  <c r="BM402"/>
  <c r="BL402" s="1"/>
  <c r="BK402"/>
  <c r="BJ402"/>
  <c r="BI402"/>
  <c r="BH402"/>
  <c r="BG402"/>
  <c r="BF402"/>
  <c r="BE402"/>
  <c r="BD402"/>
  <c r="BC402"/>
  <c r="BB402"/>
  <c r="BA402" s="1"/>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c r="H60" i="40"/>
  <c r="I60" s="1"/>
  <c r="C60" s="1"/>
  <c r="H59"/>
  <c r="I59" s="1"/>
  <c r="C59" s="1"/>
  <c r="H58"/>
  <c r="I58" s="1"/>
  <c r="C58" s="1"/>
  <c r="H57"/>
  <c r="I57" s="1"/>
  <c r="C57" s="1"/>
  <c r="H56"/>
  <c r="I56" s="1"/>
  <c r="C56" s="1"/>
  <c r="H55"/>
  <c r="I55" s="1"/>
  <c r="C55" s="1"/>
  <c r="H54"/>
  <c r="I54"/>
  <c r="C54" s="1"/>
  <c r="H53"/>
  <c r="I53" s="1"/>
  <c r="C53" s="1"/>
  <c r="H52"/>
  <c r="I52" s="1"/>
  <c r="C52" s="1"/>
  <c r="H65" i="39"/>
  <c r="I65" s="1"/>
  <c r="C65" s="1"/>
  <c r="H64"/>
  <c r="I64"/>
  <c r="C64" s="1"/>
  <c r="H60"/>
  <c r="I60" s="1"/>
  <c r="C60" s="1"/>
  <c r="H59"/>
  <c r="I59" s="1"/>
  <c r="C59" s="1"/>
  <c r="H58"/>
  <c r="I58" s="1"/>
  <c r="C58" s="1"/>
  <c r="H57"/>
  <c r="I57"/>
  <c r="C57" s="1"/>
  <c r="H61"/>
  <c r="I61" s="1"/>
  <c r="C61" s="1"/>
  <c r="H63"/>
  <c r="I63" s="1"/>
  <c r="C63" s="1"/>
  <c r="H62"/>
  <c r="I62" s="1"/>
  <c r="C62" s="1"/>
  <c r="C145" i="21"/>
  <c r="K139"/>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c r="R258"/>
  <c r="R259"/>
  <c r="S259" s="1"/>
  <c r="R260"/>
  <c r="R261"/>
  <c r="S261"/>
  <c r="R262"/>
  <c r="R263"/>
  <c r="S263" s="1"/>
  <c r="R264"/>
  <c r="R265"/>
  <c r="S265"/>
  <c r="R266"/>
  <c r="R267"/>
  <c r="S267" s="1"/>
  <c r="R268"/>
  <c r="R269"/>
  <c r="S269"/>
  <c r="R270"/>
  <c r="R271"/>
  <c r="S271" s="1"/>
  <c r="R272"/>
  <c r="R273"/>
  <c r="S273"/>
  <c r="R274"/>
  <c r="R275"/>
  <c r="S275" s="1"/>
  <c r="R276"/>
  <c r="R277"/>
  <c r="S277"/>
  <c r="R278"/>
  <c r="R279"/>
  <c r="S279" s="1"/>
  <c r="R280"/>
  <c r="R281"/>
  <c r="S281"/>
  <c r="R282"/>
  <c r="R283"/>
  <c r="S283" s="1"/>
  <c r="R284"/>
  <c r="R285"/>
  <c r="S285"/>
  <c r="R286"/>
  <c r="R287"/>
  <c r="S287" s="1"/>
  <c r="R288"/>
  <c r="R289"/>
  <c r="S289"/>
  <c r="R290"/>
  <c r="R291"/>
  <c r="S291" s="1"/>
  <c r="R292"/>
  <c r="R293"/>
  <c r="S293"/>
  <c r="R294"/>
  <c r="R295"/>
  <c r="S295" s="1"/>
  <c r="R296"/>
  <c r="R297"/>
  <c r="S297"/>
  <c r="R298"/>
  <c r="R299"/>
  <c r="S299" s="1"/>
  <c r="R300"/>
  <c r="R301"/>
  <c r="S301"/>
  <c r="R302"/>
  <c r="R303"/>
  <c r="S303" s="1"/>
  <c r="R304"/>
  <c r="R305"/>
  <c r="S305"/>
  <c r="R306"/>
  <c r="R307"/>
  <c r="S307" s="1"/>
  <c r="R308"/>
  <c r="R309"/>
  <c r="S309"/>
  <c r="R310"/>
  <c r="R311"/>
  <c r="S311" s="1"/>
  <c r="R312"/>
  <c r="R313"/>
  <c r="S313"/>
  <c r="R314"/>
  <c r="R315"/>
  <c r="S315" s="1"/>
  <c r="R316"/>
  <c r="R317"/>
  <c r="S317"/>
  <c r="R318"/>
  <c r="R319"/>
  <c r="S319" s="1"/>
  <c r="R320"/>
  <c r="R321"/>
  <c r="S321"/>
  <c r="R322"/>
  <c r="R323"/>
  <c r="S323" s="1"/>
  <c r="R324"/>
  <c r="R325"/>
  <c r="S325"/>
  <c r="R326"/>
  <c r="R327"/>
  <c r="S327" s="1"/>
  <c r="R328"/>
  <c r="R329"/>
  <c r="S329"/>
  <c r="R330"/>
  <c r="R331"/>
  <c r="S331" s="1"/>
  <c r="R332"/>
  <c r="R333"/>
  <c r="S333"/>
  <c r="R334"/>
  <c r="R335"/>
  <c r="S335" s="1"/>
  <c r="R336"/>
  <c r="R337"/>
  <c r="S337"/>
  <c r="R338"/>
  <c r="R339"/>
  <c r="S339" s="1"/>
  <c r="R340"/>
  <c r="R341"/>
  <c r="S341"/>
  <c r="R342"/>
  <c r="R343"/>
  <c r="S343" s="1"/>
  <c r="R344"/>
  <c r="R345"/>
  <c r="S345"/>
  <c r="R346"/>
  <c r="R347"/>
  <c r="S347" s="1"/>
  <c r="R348"/>
  <c r="R349"/>
  <c r="S349"/>
  <c r="R350"/>
  <c r="R351"/>
  <c r="S351" s="1"/>
  <c r="R352"/>
  <c r="R353"/>
  <c r="S353"/>
  <c r="R354"/>
  <c r="R355"/>
  <c r="S355" s="1"/>
  <c r="R356"/>
  <c r="R357"/>
  <c r="S357"/>
  <c r="R358"/>
  <c r="R359"/>
  <c r="S359" s="1"/>
  <c r="R360"/>
  <c r="R361"/>
  <c r="S361"/>
  <c r="R362"/>
  <c r="R363"/>
  <c r="S363" s="1"/>
  <c r="R364"/>
  <c r="R365"/>
  <c r="S365"/>
  <c r="R366"/>
  <c r="R367"/>
  <c r="S367" s="1"/>
  <c r="R368"/>
  <c r="R369"/>
  <c r="S369"/>
  <c r="R370"/>
  <c r="R371"/>
  <c r="S371" s="1"/>
  <c r="R372"/>
  <c r="R373"/>
  <c r="S373"/>
  <c r="R374"/>
  <c r="R375"/>
  <c r="S375" s="1"/>
  <c r="R376"/>
  <c r="R377"/>
  <c r="S377"/>
  <c r="R378"/>
  <c r="R379"/>
  <c r="S379" s="1"/>
  <c r="R380"/>
  <c r="R381"/>
  <c r="S381"/>
  <c r="R382"/>
  <c r="R383"/>
  <c r="S383" s="1"/>
  <c r="R384"/>
  <c r="R385"/>
  <c r="S385"/>
  <c r="R386"/>
  <c r="R387"/>
  <c r="S387" s="1"/>
  <c r="R388"/>
  <c r="R389"/>
  <c r="S389"/>
  <c r="R390"/>
  <c r="R391"/>
  <c r="S391" s="1"/>
  <c r="R392"/>
  <c r="R393"/>
  <c r="S393"/>
  <c r="R394"/>
  <c r="R395"/>
  <c r="S395" s="1"/>
  <c r="R396"/>
  <c r="R397"/>
  <c r="S397"/>
  <c r="R398"/>
  <c r="R399"/>
  <c r="S399" s="1"/>
  <c r="R400"/>
  <c r="R401"/>
  <c r="S401"/>
  <c r="R402"/>
  <c r="R403"/>
  <c r="S403" s="1"/>
  <c r="R404"/>
  <c r="R405"/>
  <c r="S405"/>
  <c r="R406"/>
  <c r="R407"/>
  <c r="S407" s="1"/>
  <c r="R408"/>
  <c r="R409"/>
  <c r="S409"/>
  <c r="R410"/>
  <c r="R411"/>
  <c r="S411" s="1"/>
  <c r="R412"/>
  <c r="R413"/>
  <c r="S413"/>
  <c r="R414"/>
  <c r="R415"/>
  <c r="S415" s="1"/>
  <c r="R416"/>
  <c r="R417"/>
  <c r="S417"/>
  <c r="R418"/>
  <c r="R419"/>
  <c r="S419" s="1"/>
  <c r="R420"/>
  <c r="R421"/>
  <c r="S42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K4" i="9"/>
  <c r="L22" i="4"/>
  <c r="L20"/>
  <c r="A5" i="62"/>
  <c r="B72" i="72" s="1"/>
  <c r="A4" i="62"/>
  <c r="B70" i="72" s="1"/>
  <c r="F33" i="9"/>
  <c r="R35" i="4"/>
  <c r="Q35"/>
  <c r="P35"/>
  <c r="O35"/>
  <c r="N35"/>
  <c r="M35"/>
  <c r="L35"/>
  <c r="K34"/>
  <c r="T34" s="1"/>
  <c r="T35" s="1"/>
  <c r="A19" i="51" s="1"/>
  <c r="B14" i="72" s="1"/>
  <c r="G13" i="1"/>
  <c r="G11"/>
  <c r="I15" i="4"/>
  <c r="H15"/>
  <c r="G15"/>
  <c r="E15"/>
  <c r="D15"/>
  <c r="F7" i="1"/>
  <c r="G7" s="1"/>
  <c r="L21" i="4"/>
  <c r="F19"/>
  <c r="F2" i="52"/>
  <c r="B50" i="72" s="1"/>
  <c r="D2" i="52"/>
  <c r="B46" i="72" s="1"/>
  <c r="B8" i="53"/>
  <c r="B23" i="72" s="1"/>
  <c r="L4" i="9"/>
  <c r="B17" i="72"/>
  <c r="B15"/>
  <c r="A3" i="51"/>
  <c r="C8" i="11"/>
  <c r="B2" i="49"/>
  <c r="B23" s="1"/>
  <c r="B40" i="48"/>
  <c r="B3" i="72"/>
  <c r="I2" i="43"/>
  <c r="N1"/>
  <c r="F35" i="4"/>
  <c r="J55" i="39"/>
  <c r="H34" i="43"/>
  <c r="H35"/>
  <c r="H36"/>
  <c r="H37"/>
  <c r="H38"/>
  <c r="H39"/>
  <c r="H33"/>
  <c r="J20"/>
  <c r="C18"/>
  <c r="F15"/>
  <c r="E15"/>
  <c r="D15"/>
  <c r="C15"/>
  <c r="C10"/>
  <c r="C11" s="1"/>
  <c r="C9"/>
  <c r="A7"/>
  <c r="F33" i="15"/>
  <c r="F61" s="1"/>
  <c r="M19"/>
  <c r="BR13" i="3"/>
  <c r="M10" i="1"/>
  <c r="O10" s="1"/>
  <c r="B22"/>
  <c r="E1" i="73" s="1"/>
  <c r="B23" i="1"/>
  <c r="B24"/>
  <c r="B43"/>
  <c r="D78" i="9"/>
  <c r="BQ13" i="3"/>
  <c r="BQ14"/>
  <c r="BQ15"/>
  <c r="BQ16"/>
  <c r="BQ17"/>
  <c r="BS13"/>
  <c r="BS14"/>
  <c r="BS15"/>
  <c r="BS16"/>
  <c r="BS17"/>
  <c r="BR14"/>
  <c r="BR15"/>
  <c r="BR16"/>
  <c r="BR17"/>
  <c r="BT13"/>
  <c r="BT14"/>
  <c r="BT15"/>
  <c r="BT16"/>
  <c r="BT17"/>
  <c r="BM14"/>
  <c r="BM15"/>
  <c r="BM16"/>
  <c r="BM17"/>
  <c r="BO13"/>
  <c r="BO14"/>
  <c r="BO15"/>
  <c r="BO16"/>
  <c r="BO17"/>
  <c r="BN13"/>
  <c r="BN14"/>
  <c r="BN15"/>
  <c r="BL15" s="1"/>
  <c r="BN16"/>
  <c r="BN17"/>
  <c r="BP13"/>
  <c r="BP14"/>
  <c r="BP15"/>
  <c r="BP16"/>
  <c r="BP17"/>
  <c r="E19" i="6"/>
  <c r="E20"/>
  <c r="E21"/>
  <c r="K8" i="1"/>
  <c r="M8" s="1"/>
  <c r="F23" i="15"/>
  <c r="D24" s="1"/>
  <c r="M13" i="1"/>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c r="K55"/>
  <c r="F59"/>
  <c r="O55" s="1"/>
  <c r="N54"/>
  <c r="N53"/>
  <c r="E48"/>
  <c r="N52"/>
  <c r="F56"/>
  <c r="O54" s="1"/>
  <c r="D101"/>
  <c r="C101"/>
  <c r="H104"/>
  <c r="D10" i="53" s="1"/>
  <c r="B26" i="72" s="1"/>
  <c r="C30" i="40"/>
  <c r="C28"/>
  <c r="C23" i="39"/>
  <c r="C19" i="40"/>
  <c r="D27" i="9"/>
  <c r="C25"/>
  <c r="D77"/>
  <c r="E90"/>
  <c r="H77"/>
  <c r="H105"/>
  <c r="D11" i="53" s="1"/>
  <c r="B27" i="72" s="1"/>
  <c r="H106" i="9"/>
  <c r="D12" i="53"/>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L548" s="1"/>
  <c r="BR548"/>
  <c r="BS548"/>
  <c r="BT548"/>
  <c r="H549"/>
  <c r="AC549"/>
  <c r="BB549"/>
  <c r="BC549"/>
  <c r="BD549"/>
  <c r="BE549"/>
  <c r="BF549"/>
  <c r="BG549"/>
  <c r="BH549"/>
  <c r="BI549"/>
  <c r="BJ549"/>
  <c r="BK549"/>
  <c r="BM549"/>
  <c r="BN549"/>
  <c r="BO549"/>
  <c r="BP549"/>
  <c r="BR549"/>
  <c r="BS549"/>
  <c r="BT549"/>
  <c r="H550"/>
  <c r="AC550"/>
  <c r="BB550"/>
  <c r="BC550"/>
  <c r="BD550"/>
  <c r="BA550" s="1"/>
  <c r="BE550"/>
  <c r="BF550"/>
  <c r="BG550"/>
  <c r="BH550"/>
  <c r="BI550"/>
  <c r="BJ550"/>
  <c r="BK550"/>
  <c r="BM550"/>
  <c r="BL550" s="1"/>
  <c r="BN550"/>
  <c r="BO550"/>
  <c r="BP550"/>
  <c r="BQ550"/>
  <c r="BR550"/>
  <c r="BS550"/>
  <c r="BT550"/>
  <c r="H551"/>
  <c r="G551"/>
  <c r="AC551"/>
  <c r="BB551"/>
  <c r="BA551" s="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s="1"/>
  <c r="G87" s="1"/>
  <c r="H87" s="1"/>
  <c r="I87" s="1"/>
  <c r="J87" s="1"/>
  <c r="K87" s="1"/>
  <c r="L87" s="1"/>
  <c r="M87" s="1"/>
  <c r="H34" i="37"/>
  <c r="D101"/>
  <c r="F34"/>
  <c r="D99"/>
  <c r="E99" s="1"/>
  <c r="F99" s="1"/>
  <c r="G99" s="1"/>
  <c r="H99" s="1"/>
  <c r="I99" s="1"/>
  <c r="J99" s="1"/>
  <c r="K99" s="1"/>
  <c r="L99" s="1"/>
  <c r="M99" s="1"/>
  <c r="H42" i="34"/>
  <c r="J42"/>
  <c r="W42"/>
  <c r="F42"/>
  <c r="J38"/>
  <c r="W38" s="1"/>
  <c r="D114"/>
  <c r="F38"/>
  <c r="S38"/>
  <c r="D112"/>
  <c r="E112"/>
  <c r="F112" s="1"/>
  <c r="G112" s="1"/>
  <c r="H112" s="1"/>
  <c r="I112" s="1"/>
  <c r="J112" s="1"/>
  <c r="K112" s="1"/>
  <c r="L112" s="1"/>
  <c r="M112" s="1"/>
  <c r="F40" i="33"/>
  <c r="J41"/>
  <c r="D113"/>
  <c r="F37"/>
  <c r="D111"/>
  <c r="E111"/>
  <c r="F111" s="1"/>
  <c r="S515" i="31"/>
  <c r="S516"/>
  <c r="S517"/>
  <c r="S518"/>
  <c r="S519"/>
  <c r="S520"/>
  <c r="S521"/>
  <c r="S522"/>
  <c r="S523"/>
  <c r="S524"/>
  <c r="F41" i="21"/>
  <c r="J41"/>
  <c r="AC41"/>
  <c r="H41"/>
  <c r="U41"/>
  <c r="D81" i="39"/>
  <c r="E81"/>
  <c r="F81" s="1"/>
  <c r="G81" s="1"/>
  <c r="H81" s="1"/>
  <c r="I81" s="1"/>
  <c r="J81" s="1"/>
  <c r="K81" s="1"/>
  <c r="L81" s="1"/>
  <c r="M81" s="1"/>
  <c r="D76" i="40"/>
  <c r="E76"/>
  <c r="F76" s="1"/>
  <c r="G76" s="1"/>
  <c r="H76" s="1"/>
  <c r="I76" s="1"/>
  <c r="J76" s="1"/>
  <c r="K76" s="1"/>
  <c r="L76" s="1"/>
  <c r="M76" s="1"/>
  <c r="B120"/>
  <c r="B118"/>
  <c r="J39" s="1"/>
  <c r="B116"/>
  <c r="F38" s="1"/>
  <c r="AA38" s="1"/>
  <c r="D115"/>
  <c r="E115"/>
  <c r="F115" s="1"/>
  <c r="G115" s="1"/>
  <c r="H115" s="1"/>
  <c r="I115" s="1"/>
  <c r="J115" s="1"/>
  <c r="K115" s="1"/>
  <c r="L115" s="1"/>
  <c r="M115" s="1"/>
  <c r="D113"/>
  <c r="E113"/>
  <c r="F113" s="1"/>
  <c r="G113" s="1"/>
  <c r="H113" s="1"/>
  <c r="I113" s="1"/>
  <c r="J113" s="1"/>
  <c r="K113" s="1"/>
  <c r="L113" s="1"/>
  <c r="M113" s="1"/>
  <c r="D111"/>
  <c r="E111"/>
  <c r="M107"/>
  <c r="L107"/>
  <c r="K107"/>
  <c r="J107"/>
  <c r="H107"/>
  <c r="G107"/>
  <c r="F107"/>
  <c r="E107"/>
  <c r="D107"/>
  <c r="C107"/>
  <c r="B105"/>
  <c r="J33"/>
  <c r="W33" s="1"/>
  <c r="B103"/>
  <c r="J32" s="1"/>
  <c r="AC32" s="1"/>
  <c r="B101"/>
  <c r="J31"/>
  <c r="AC31" s="1"/>
  <c r="D100"/>
  <c r="E100" s="1"/>
  <c r="F100" s="1"/>
  <c r="G100" s="1"/>
  <c r="H100" s="1"/>
  <c r="I100" s="1"/>
  <c r="J100" s="1"/>
  <c r="K100" s="1"/>
  <c r="L100" s="1"/>
  <c r="M100" s="1"/>
  <c r="D98"/>
  <c r="J28"/>
  <c r="AC28"/>
  <c r="D96"/>
  <c r="E96"/>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c r="J40"/>
  <c r="W40"/>
  <c r="H40"/>
  <c r="AB40"/>
  <c r="F40"/>
  <c r="AA40"/>
  <c r="Q39"/>
  <c r="Z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s="1"/>
  <c r="G124" s="1"/>
  <c r="H124" s="1"/>
  <c r="I124" s="1"/>
  <c r="J124" s="1"/>
  <c r="K124" s="1"/>
  <c r="L124" s="1"/>
  <c r="M124" s="1"/>
  <c r="D120"/>
  <c r="E120"/>
  <c r="F120" s="1"/>
  <c r="G120" s="1"/>
  <c r="H120" s="1"/>
  <c r="I120" s="1"/>
  <c r="J120" s="1"/>
  <c r="K120" s="1"/>
  <c r="L120" s="1"/>
  <c r="M120" s="1"/>
  <c r="B114"/>
  <c r="J37"/>
  <c r="D109"/>
  <c r="F34"/>
  <c r="AA34" s="1"/>
  <c r="D107"/>
  <c r="E107" s="1"/>
  <c r="D105"/>
  <c r="E105" s="1"/>
  <c r="F105" s="1"/>
  <c r="G105" s="1"/>
  <c r="H105" s="1"/>
  <c r="I105" s="1"/>
  <c r="J105" s="1"/>
  <c r="K105" s="1"/>
  <c r="L105" s="1"/>
  <c r="M105" s="1"/>
  <c r="D101"/>
  <c r="D99"/>
  <c r="E99"/>
  <c r="F99" s="1"/>
  <c r="G99" s="1"/>
  <c r="Q39"/>
  <c r="Z39"/>
  <c r="Q40"/>
  <c r="Z40"/>
  <c r="Q41"/>
  <c r="Z41"/>
  <c r="Q42"/>
  <c r="Z42"/>
  <c r="Q43"/>
  <c r="Z43"/>
  <c r="Q44"/>
  <c r="Z44"/>
  <c r="Q45"/>
  <c r="Z45"/>
  <c r="Q38"/>
  <c r="Z38"/>
  <c r="Q36"/>
  <c r="Z36"/>
  <c r="Q37"/>
  <c r="Z37"/>
  <c r="B131"/>
  <c r="H45"/>
  <c r="B129"/>
  <c r="H44"/>
  <c r="B127"/>
  <c r="J43"/>
  <c r="D126"/>
  <c r="E126"/>
  <c r="F126" s="1"/>
  <c r="G126" s="1"/>
  <c r="H126" s="1"/>
  <c r="I126" s="1"/>
  <c r="J126" s="1"/>
  <c r="K126" s="1"/>
  <c r="L126" s="1"/>
  <c r="M126" s="1"/>
  <c r="D122"/>
  <c r="E122"/>
  <c r="F122" s="1"/>
  <c r="G122" s="1"/>
  <c r="H122" s="1"/>
  <c r="I122" s="1"/>
  <c r="J122" s="1"/>
  <c r="K122" s="1"/>
  <c r="L122" s="1"/>
  <c r="M122" s="1"/>
  <c r="H35"/>
  <c r="AB35"/>
  <c r="B104"/>
  <c r="D97"/>
  <c r="J23"/>
  <c r="AC23"/>
  <c r="D95"/>
  <c r="E95"/>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s="1"/>
  <c r="B110"/>
  <c r="J39" s="1"/>
  <c r="AC39" s="1"/>
  <c r="B108"/>
  <c r="C23"/>
  <c r="C19"/>
  <c r="C17"/>
  <c r="C15"/>
  <c r="B112"/>
  <c r="D107"/>
  <c r="E107"/>
  <c r="D105"/>
  <c r="E105"/>
  <c r="D103"/>
  <c r="J35"/>
  <c r="W35" s="1"/>
  <c r="F97"/>
  <c r="E97"/>
  <c r="D97"/>
  <c r="C97"/>
  <c r="D96"/>
  <c r="E96" s="1"/>
  <c r="D94"/>
  <c r="M90"/>
  <c r="L90"/>
  <c r="K90"/>
  <c r="J90"/>
  <c r="I90"/>
  <c r="H90"/>
  <c r="G90"/>
  <c r="F90"/>
  <c r="E90"/>
  <c r="D90"/>
  <c r="C90"/>
  <c r="D89"/>
  <c r="B86"/>
  <c r="B84"/>
  <c r="H27" s="1"/>
  <c r="U27" s="1"/>
  <c r="B82"/>
  <c r="D79"/>
  <c r="E79" s="1"/>
  <c r="D75"/>
  <c r="E75" s="1"/>
  <c r="D73"/>
  <c r="E73" s="1"/>
  <c r="F73" s="1"/>
  <c r="D71"/>
  <c r="H15"/>
  <c r="AB15" s="1"/>
  <c r="B68"/>
  <c r="H14" s="1"/>
  <c r="AB14" s="1"/>
  <c r="B66"/>
  <c r="B64"/>
  <c r="D63"/>
  <c r="E63"/>
  <c r="M61"/>
  <c r="L61"/>
  <c r="K61"/>
  <c r="J61"/>
  <c r="I61"/>
  <c r="H61"/>
  <c r="G61"/>
  <c r="F61"/>
  <c r="E61"/>
  <c r="D61"/>
  <c r="C61"/>
  <c r="F60"/>
  <c r="G60" s="1"/>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s="1"/>
  <c r="F31"/>
  <c r="S31" s="1"/>
  <c r="M86"/>
  <c r="L86"/>
  <c r="K86"/>
  <c r="J86"/>
  <c r="I86"/>
  <c r="H86"/>
  <c r="G86"/>
  <c r="F86"/>
  <c r="E86"/>
  <c r="D86"/>
  <c r="C86"/>
  <c r="D85"/>
  <c r="H29"/>
  <c r="D81"/>
  <c r="E81"/>
  <c r="F81" s="1"/>
  <c r="G81" s="1"/>
  <c r="H81" s="1"/>
  <c r="I81" s="1"/>
  <c r="J81" s="1"/>
  <c r="K81" s="1"/>
  <c r="L81" s="1"/>
  <c r="M81" s="1"/>
  <c r="F79"/>
  <c r="E79"/>
  <c r="D79"/>
  <c r="C79"/>
  <c r="B93"/>
  <c r="H33"/>
  <c r="B91"/>
  <c r="F32"/>
  <c r="B95"/>
  <c r="H34"/>
  <c r="D83"/>
  <c r="E83"/>
  <c r="F83" s="1"/>
  <c r="G83" s="1"/>
  <c r="H83" s="1"/>
  <c r="I83" s="1"/>
  <c r="J83" s="1"/>
  <c r="K83" s="1"/>
  <c r="L83" s="1"/>
  <c r="M83" s="1"/>
  <c r="D78"/>
  <c r="E78"/>
  <c r="F78" s="1"/>
  <c r="G78" s="1"/>
  <c r="H78" s="1"/>
  <c r="I78" s="1"/>
  <c r="J78" s="1"/>
  <c r="K78" s="1"/>
  <c r="L78" s="1"/>
  <c r="M78" s="1"/>
  <c r="B75"/>
  <c r="B73"/>
  <c r="J24" s="1"/>
  <c r="AC24" s="1"/>
  <c r="B71"/>
  <c r="D70"/>
  <c r="H22"/>
  <c r="AB22"/>
  <c r="D68"/>
  <c r="E68"/>
  <c r="F68" s="1"/>
  <c r="G68" s="1"/>
  <c r="D64"/>
  <c r="E64"/>
  <c r="F64" s="1"/>
  <c r="G64" s="1"/>
  <c r="J16"/>
  <c r="W16"/>
  <c r="D62"/>
  <c r="E62"/>
  <c r="F62" s="1"/>
  <c r="G62" s="1"/>
  <c r="B59"/>
  <c r="B57"/>
  <c r="J12" s="1"/>
  <c r="B55"/>
  <c r="F54"/>
  <c r="G54"/>
  <c r="H54" s="1"/>
  <c r="I54" s="1"/>
  <c r="C51"/>
  <c r="P37"/>
  <c r="P36"/>
  <c r="V35"/>
  <c r="T35"/>
  <c r="R35"/>
  <c r="P35"/>
  <c r="Q34"/>
  <c r="Z34" s="1"/>
  <c r="Q33"/>
  <c r="Z33" s="1"/>
  <c r="Q32"/>
  <c r="Z32" s="1"/>
  <c r="Q31"/>
  <c r="Z31" s="1"/>
  <c r="Q30"/>
  <c r="Z30" s="1"/>
  <c r="AC30"/>
  <c r="Q29"/>
  <c r="Z29"/>
  <c r="Q28"/>
  <c r="Z28"/>
  <c r="J28"/>
  <c r="AC28"/>
  <c r="Q27"/>
  <c r="Z27"/>
  <c r="Q26"/>
  <c r="Z26"/>
  <c r="H26"/>
  <c r="AB26"/>
  <c r="Q25"/>
  <c r="Z25"/>
  <c r="Q24"/>
  <c r="Z24"/>
  <c r="Q23"/>
  <c r="Z23"/>
  <c r="J23"/>
  <c r="AC23"/>
  <c r="H23"/>
  <c r="AB23"/>
  <c r="F23"/>
  <c r="AA23"/>
  <c r="Q22"/>
  <c r="Z22"/>
  <c r="J22"/>
  <c r="AC22"/>
  <c r="Q20"/>
  <c r="Z20"/>
  <c r="Q16"/>
  <c r="Z16"/>
  <c r="Q14"/>
  <c r="Z14"/>
  <c r="Q13"/>
  <c r="Z13"/>
  <c r="Q12"/>
  <c r="Z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s="1"/>
  <c r="B99"/>
  <c r="B97"/>
  <c r="B77"/>
  <c r="B75"/>
  <c r="J24"/>
  <c r="AC24" s="1"/>
  <c r="B73"/>
  <c r="H23" s="1"/>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c r="I84" s="1"/>
  <c r="J84" s="1"/>
  <c r="K84" s="1"/>
  <c r="L84" s="1"/>
  <c r="M84" s="1"/>
  <c r="D80"/>
  <c r="E80" s="1"/>
  <c r="F80"/>
  <c r="G80" s="1"/>
  <c r="H80" s="1"/>
  <c r="I80" s="1"/>
  <c r="J80" s="1"/>
  <c r="K80" s="1"/>
  <c r="L80" s="1"/>
  <c r="M80" s="1"/>
  <c r="D72"/>
  <c r="E72" s="1"/>
  <c r="F72" s="1"/>
  <c r="G72" s="1"/>
  <c r="D70"/>
  <c r="E70" s="1"/>
  <c r="F70" s="1"/>
  <c r="G70" s="1"/>
  <c r="D66"/>
  <c r="E66" s="1"/>
  <c r="F66" s="1"/>
  <c r="G66" s="1"/>
  <c r="D64"/>
  <c r="E64" s="1"/>
  <c r="F64" s="1"/>
  <c r="G64" s="1"/>
  <c r="J14"/>
  <c r="W14" s="1"/>
  <c r="F56"/>
  <c r="G56" s="1"/>
  <c r="H56"/>
  <c r="I56" s="1"/>
  <c r="C53"/>
  <c r="J9" s="1"/>
  <c r="P39"/>
  <c r="P38"/>
  <c r="V37"/>
  <c r="T37"/>
  <c r="R37"/>
  <c r="P37"/>
  <c r="Q36"/>
  <c r="Z36" s="1"/>
  <c r="J36"/>
  <c r="AC36" s="1"/>
  <c r="Q35"/>
  <c r="Z35" s="1"/>
  <c r="Q34"/>
  <c r="Z34" s="1"/>
  <c r="J34"/>
  <c r="AC34" s="1"/>
  <c r="H34"/>
  <c r="AB34" s="1"/>
  <c r="F34"/>
  <c r="AA34" s="1"/>
  <c r="Q33"/>
  <c r="Z33" s="1"/>
  <c r="Q32"/>
  <c r="Z32" s="1"/>
  <c r="H32"/>
  <c r="AB32" s="1"/>
  <c r="F32"/>
  <c r="AA32" s="1"/>
  <c r="Q31"/>
  <c r="Z31" s="1"/>
  <c r="AC31"/>
  <c r="AB31"/>
  <c r="AA31"/>
  <c r="Q30"/>
  <c r="Z30"/>
  <c r="Q29"/>
  <c r="Z29"/>
  <c r="Q28"/>
  <c r="Z28"/>
  <c r="J28"/>
  <c r="AC28"/>
  <c r="H28"/>
  <c r="AB28"/>
  <c r="F28"/>
  <c r="AA28"/>
  <c r="Q27"/>
  <c r="Z27"/>
  <c r="Q26"/>
  <c r="Z26"/>
  <c r="Q25"/>
  <c r="Z25"/>
  <c r="Q24"/>
  <c r="Z24"/>
  <c r="Q23"/>
  <c r="Z23"/>
  <c r="Q22"/>
  <c r="Z22"/>
  <c r="Q20"/>
  <c r="Z20"/>
  <c r="Q16"/>
  <c r="Z16"/>
  <c r="Q14"/>
  <c r="Z14"/>
  <c r="Q13"/>
  <c r="Z13"/>
  <c r="Q12"/>
  <c r="Z12"/>
  <c r="J12"/>
  <c r="W12"/>
  <c r="H12"/>
  <c r="U12"/>
  <c r="F12"/>
  <c r="S12"/>
  <c r="Q11"/>
  <c r="Z11"/>
  <c r="Q10"/>
  <c r="Z10"/>
  <c r="Q9"/>
  <c r="Z9"/>
  <c r="J8"/>
  <c r="W8"/>
  <c r="H8"/>
  <c r="AB8"/>
  <c r="F8"/>
  <c r="AA8"/>
  <c r="D120" i="34"/>
  <c r="E120"/>
  <c r="F120" s="1"/>
  <c r="G120"/>
  <c r="H120" s="1"/>
  <c r="I120" s="1"/>
  <c r="J120" s="1"/>
  <c r="K120" s="1"/>
  <c r="L120" s="1"/>
  <c r="M120" s="1"/>
  <c r="D90"/>
  <c r="E90"/>
  <c r="F90" s="1"/>
  <c r="G90"/>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c r="F102" s="1"/>
  <c r="G102" s="1"/>
  <c r="H102" s="1"/>
  <c r="I102" s="1"/>
  <c r="J102" s="1"/>
  <c r="K102" s="1"/>
  <c r="L102" s="1"/>
  <c r="M102" s="1"/>
  <c r="D92"/>
  <c r="E92"/>
  <c r="F92" s="1"/>
  <c r="G92" s="1"/>
  <c r="H92" s="1"/>
  <c r="I92" s="1"/>
  <c r="J92" s="1"/>
  <c r="K92" s="1"/>
  <c r="L92" s="1"/>
  <c r="M92" s="1"/>
  <c r="B91"/>
  <c r="B89"/>
  <c r="J27" s="1"/>
  <c r="D88"/>
  <c r="E88" s="1"/>
  <c r="F88" s="1"/>
  <c r="G88" s="1"/>
  <c r="H88" s="1"/>
  <c r="I88" s="1"/>
  <c r="J88" s="1"/>
  <c r="K88" s="1"/>
  <c r="L88" s="1"/>
  <c r="M88" s="1"/>
  <c r="D86"/>
  <c r="E86" s="1"/>
  <c r="F86"/>
  <c r="G86" s="1"/>
  <c r="D82"/>
  <c r="E82" s="1"/>
  <c r="F82"/>
  <c r="G82" s="1"/>
  <c r="D80"/>
  <c r="E80" s="1"/>
  <c r="F80"/>
  <c r="G80" s="1"/>
  <c r="D78"/>
  <c r="E78" s="1"/>
  <c r="F78"/>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J12"/>
  <c r="W12"/>
  <c r="H12"/>
  <c r="F12"/>
  <c r="S12" s="1"/>
  <c r="Q11"/>
  <c r="Z11" s="1"/>
  <c r="Q10"/>
  <c r="Z10" s="1"/>
  <c r="F10"/>
  <c r="AA10" s="1"/>
  <c r="Q9"/>
  <c r="Z9" s="1"/>
  <c r="J9"/>
  <c r="AC9" s="1"/>
  <c r="H9"/>
  <c r="F9"/>
  <c r="AA9"/>
  <c r="J8"/>
  <c r="AC8"/>
  <c r="H8"/>
  <c r="U8" s="1"/>
  <c r="F8"/>
  <c r="D121" i="33"/>
  <c r="E121"/>
  <c r="F109"/>
  <c r="E109"/>
  <c r="D109"/>
  <c r="C109"/>
  <c r="D91"/>
  <c r="E91"/>
  <c r="B88"/>
  <c r="J26"/>
  <c r="C23"/>
  <c r="C19"/>
  <c r="C17"/>
  <c r="C15"/>
  <c r="C15" i="21"/>
  <c r="D125" i="33"/>
  <c r="D123"/>
  <c r="D117"/>
  <c r="E117" s="1"/>
  <c r="F117" s="1"/>
  <c r="G117" s="1"/>
  <c r="D115"/>
  <c r="E115" s="1"/>
  <c r="F115" s="1"/>
  <c r="G115" s="1"/>
  <c r="H115" s="1"/>
  <c r="I115" s="1"/>
  <c r="J115" s="1"/>
  <c r="K115" s="1"/>
  <c r="L115" s="1"/>
  <c r="M115" s="1"/>
  <c r="D108"/>
  <c r="E108" s="1"/>
  <c r="F108" s="1"/>
  <c r="G108" s="1"/>
  <c r="D106"/>
  <c r="E106"/>
  <c r="M102"/>
  <c r="L102"/>
  <c r="K102"/>
  <c r="J102"/>
  <c r="I102"/>
  <c r="H102"/>
  <c r="G102"/>
  <c r="F102"/>
  <c r="E102"/>
  <c r="D102"/>
  <c r="C102"/>
  <c r="D101"/>
  <c r="E101" s="1"/>
  <c r="B92"/>
  <c r="B90"/>
  <c r="D87"/>
  <c r="E87" s="1"/>
  <c r="D85"/>
  <c r="E85" s="1"/>
  <c r="D81"/>
  <c r="E81" s="1"/>
  <c r="D79"/>
  <c r="E79" s="1"/>
  <c r="F79" s="1"/>
  <c r="G79" s="1"/>
  <c r="D77"/>
  <c r="E77" s="1"/>
  <c r="F77" s="1"/>
  <c r="G77" s="1"/>
  <c r="D69"/>
  <c r="E69" s="1"/>
  <c r="F69" s="1"/>
  <c r="G69" s="1"/>
  <c r="H69" s="1"/>
  <c r="I69" s="1"/>
  <c r="J69" s="1"/>
  <c r="K69" s="1"/>
  <c r="L69" s="1"/>
  <c r="M69" s="1"/>
  <c r="M67"/>
  <c r="L67"/>
  <c r="K67"/>
  <c r="J67"/>
  <c r="I67"/>
  <c r="H67"/>
  <c r="G67"/>
  <c r="F67"/>
  <c r="E67"/>
  <c r="D67"/>
  <c r="C67"/>
  <c r="G66"/>
  <c r="H66"/>
  <c r="C63"/>
  <c r="H54"/>
  <c r="F54"/>
  <c r="P49"/>
  <c r="P48"/>
  <c r="V47"/>
  <c r="T47"/>
  <c r="R47"/>
  <c r="P47"/>
  <c r="Q46"/>
  <c r="Z46" s="1"/>
  <c r="Q45"/>
  <c r="Z45" s="1"/>
  <c r="Q44"/>
  <c r="Z44" s="1"/>
  <c r="Q43"/>
  <c r="Z43" s="1"/>
  <c r="Q42"/>
  <c r="Z42" s="1"/>
  <c r="J42"/>
  <c r="AC42" s="1"/>
  <c r="AC41"/>
  <c r="W41"/>
  <c r="Q41"/>
  <c r="Z41" s="1"/>
  <c r="Q40"/>
  <c r="Z40" s="1"/>
  <c r="J40"/>
  <c r="AC40" s="1"/>
  <c r="H40"/>
  <c r="AB40" s="1"/>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s="1"/>
  <c r="H9"/>
  <c r="AB9" s="1"/>
  <c r="F9"/>
  <c r="AA9" s="1"/>
  <c r="J8"/>
  <c r="AC8" s="1"/>
  <c r="H8"/>
  <c r="AB8" s="1"/>
  <c r="F8"/>
  <c r="AA8" s="1"/>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s="1"/>
  <c r="G125" s="1"/>
  <c r="D123"/>
  <c r="E123"/>
  <c r="F123" s="1"/>
  <c r="G123" s="1"/>
  <c r="H123" s="1"/>
  <c r="I123" s="1"/>
  <c r="J123" s="1"/>
  <c r="K123" s="1"/>
  <c r="L123" s="1"/>
  <c r="M123" s="1"/>
  <c r="F42"/>
  <c r="AA42" s="1"/>
  <c r="D119"/>
  <c r="F40"/>
  <c r="AA40"/>
  <c r="D117"/>
  <c r="E117"/>
  <c r="F117" s="1"/>
  <c r="G117" s="1"/>
  <c r="D115"/>
  <c r="E115"/>
  <c r="F115" s="1"/>
  <c r="G115" s="1"/>
  <c r="H115" s="1"/>
  <c r="I115" s="1"/>
  <c r="J115" s="1"/>
  <c r="K115" s="1"/>
  <c r="L115" s="1"/>
  <c r="M115" s="1"/>
  <c r="D113"/>
  <c r="E113"/>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c r="E81"/>
  <c r="F81"/>
  <c r="G81" s="1"/>
  <c r="D77"/>
  <c r="E77" s="1"/>
  <c r="B130"/>
  <c r="B128"/>
  <c r="J45"/>
  <c r="W45" s="1"/>
  <c r="B126"/>
  <c r="B98"/>
  <c r="H31"/>
  <c r="B96"/>
  <c r="B94"/>
  <c r="J29" s="1"/>
  <c r="AC29" s="1"/>
  <c r="B92"/>
  <c r="B90"/>
  <c r="J27" s="1"/>
  <c r="B74"/>
  <c r="B72"/>
  <c r="H13" s="1"/>
  <c r="AB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c r="J5" i="3"/>
  <c r="BE10"/>
  <c r="BB585"/>
  <c r="BC585"/>
  <c r="BD585"/>
  <c r="BE585"/>
  <c r="BF585"/>
  <c r="BG585"/>
  <c r="BH585"/>
  <c r="BI585"/>
  <c r="BJ585"/>
  <c r="BK585"/>
  <c r="BM585"/>
  <c r="BN585"/>
  <c r="BO585"/>
  <c r="BP585"/>
  <c r="BQ585"/>
  <c r="BR585"/>
  <c r="BS585"/>
  <c r="BT585"/>
  <c r="BL585" s="1"/>
  <c r="BB586"/>
  <c r="BC586"/>
  <c r="BD586"/>
  <c r="BE586"/>
  <c r="BF586"/>
  <c r="BG586"/>
  <c r="BH586"/>
  <c r="BI586"/>
  <c r="BJ586"/>
  <c r="BK586"/>
  <c r="BM586"/>
  <c r="BN586"/>
  <c r="BO586"/>
  <c r="BL586" s="1"/>
  <c r="AZ586" s="1"/>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c r="J12"/>
  <c r="AC12"/>
  <c r="H12"/>
  <c r="AB12"/>
  <c r="J26"/>
  <c r="W26"/>
  <c r="F26"/>
  <c r="S26"/>
  <c r="AB41"/>
  <c r="S41"/>
  <c r="AA41"/>
  <c r="F45" i="39"/>
  <c r="S45" s="1"/>
  <c r="J45"/>
  <c r="W45" s="1"/>
  <c r="J44"/>
  <c r="AC44" s="1"/>
  <c r="F36"/>
  <c r="S36" s="1"/>
  <c r="H36"/>
  <c r="AB36" s="1"/>
  <c r="J35"/>
  <c r="AC35" s="1"/>
  <c r="F35"/>
  <c r="AA35" s="1"/>
  <c r="J36"/>
  <c r="AC36" s="1"/>
  <c r="U9"/>
  <c r="W40"/>
  <c r="W25" i="37"/>
  <c r="U30"/>
  <c r="W31"/>
  <c r="E103"/>
  <c r="F103"/>
  <c r="G103" s="1"/>
  <c r="H103" s="1"/>
  <c r="I103" s="1"/>
  <c r="J103" s="1"/>
  <c r="K103" s="1"/>
  <c r="L103" s="1"/>
  <c r="M103" s="1"/>
  <c r="F39"/>
  <c r="S39" s="1"/>
  <c r="U14"/>
  <c r="F29" i="36"/>
  <c r="AA29"/>
  <c r="W8"/>
  <c r="F16"/>
  <c r="AA16" s="1"/>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s="1"/>
  <c r="H11"/>
  <c r="AB11" s="1"/>
  <c r="W8"/>
  <c r="AC40"/>
  <c r="AA9"/>
  <c r="AC9"/>
  <c r="U9"/>
  <c r="S34"/>
  <c r="S40"/>
  <c r="W31"/>
  <c r="U34"/>
  <c r="S38"/>
  <c r="U40"/>
  <c r="F42" i="39"/>
  <c r="AA42"/>
  <c r="F41"/>
  <c r="S41"/>
  <c r="H40"/>
  <c r="AB40"/>
  <c r="H39"/>
  <c r="U39"/>
  <c r="S38"/>
  <c r="S34"/>
  <c r="H34"/>
  <c r="U34"/>
  <c r="E109"/>
  <c r="H31"/>
  <c r="AB31" s="1"/>
  <c r="F31"/>
  <c r="AA31" s="1"/>
  <c r="E101"/>
  <c r="H19"/>
  <c r="AB19"/>
  <c r="F19"/>
  <c r="AA19"/>
  <c r="H17"/>
  <c r="AB17"/>
  <c r="F17"/>
  <c r="AA17"/>
  <c r="J23" i="40"/>
  <c r="AC23"/>
  <c r="F21"/>
  <c r="AA21"/>
  <c r="J21"/>
  <c r="W21"/>
  <c r="H42" i="39"/>
  <c r="AB42"/>
  <c r="J34"/>
  <c r="AC34"/>
  <c r="F109"/>
  <c r="G109"/>
  <c r="H109" s="1"/>
  <c r="I109" s="1"/>
  <c r="J109" s="1"/>
  <c r="K109" s="1"/>
  <c r="L109" s="1"/>
  <c r="M109" s="1"/>
  <c r="J31"/>
  <c r="F101"/>
  <c r="H27"/>
  <c r="U27"/>
  <c r="J19"/>
  <c r="AC19"/>
  <c r="J17"/>
  <c r="J27"/>
  <c r="AC27" s="1"/>
  <c r="F27"/>
  <c r="F11" i="21"/>
  <c r="S11"/>
  <c r="S40"/>
  <c r="U34"/>
  <c r="S34"/>
  <c r="C25" i="39"/>
  <c r="C27"/>
  <c r="C21"/>
  <c r="H11"/>
  <c r="S40"/>
  <c r="C15"/>
  <c r="H32" i="33"/>
  <c r="AB32" s="1"/>
  <c r="H11" i="21"/>
  <c r="U11" s="1"/>
  <c r="J11"/>
  <c r="W11" s="1"/>
  <c r="H37" i="40"/>
  <c r="U37" s="1"/>
  <c r="H36"/>
  <c r="AB36" s="1"/>
  <c r="F35"/>
  <c r="AA35" s="1"/>
  <c r="H23"/>
  <c r="AB23" s="1"/>
  <c r="H17"/>
  <c r="U17" s="1"/>
  <c r="J15"/>
  <c r="W15" s="1"/>
  <c r="J11"/>
  <c r="W11" s="1"/>
  <c r="AB8" i="39"/>
  <c r="AB12" i="33"/>
  <c r="AC12" i="34"/>
  <c r="AA12"/>
  <c r="AB12" i="35"/>
  <c r="W32" i="40"/>
  <c r="S44" i="39"/>
  <c r="F37"/>
  <c r="AA37" s="1"/>
  <c r="J34" i="36"/>
  <c r="W34" s="1"/>
  <c r="U30"/>
  <c r="J30" i="35"/>
  <c r="W30"/>
  <c r="H30"/>
  <c r="AB30"/>
  <c r="F22"/>
  <c r="AA22"/>
  <c r="H10"/>
  <c r="U10"/>
  <c r="AC16" i="36"/>
  <c r="F33"/>
  <c r="AA33" s="1"/>
  <c r="W30"/>
  <c r="H16"/>
  <c r="AB16"/>
  <c r="E85"/>
  <c r="F85"/>
  <c r="G85" s="1"/>
  <c r="H85" s="1"/>
  <c r="I85" s="1"/>
  <c r="J85" s="1"/>
  <c r="K85" s="1"/>
  <c r="L85" s="1"/>
  <c r="M85" s="1"/>
  <c r="J29"/>
  <c r="AC29" s="1"/>
  <c r="F12"/>
  <c r="F24"/>
  <c r="AA24"/>
  <c r="F34"/>
  <c r="S34"/>
  <c r="S10"/>
  <c r="AB8"/>
  <c r="S8"/>
  <c r="U8" i="35"/>
  <c r="F14"/>
  <c r="AA14"/>
  <c r="F23"/>
  <c r="AA23"/>
  <c r="J32"/>
  <c r="AC32"/>
  <c r="J16"/>
  <c r="AC16"/>
  <c r="H16"/>
  <c r="U16"/>
  <c r="F16"/>
  <c r="S16"/>
  <c r="H14"/>
  <c r="AB14"/>
  <c r="J29"/>
  <c r="H33"/>
  <c r="AB33" s="1"/>
  <c r="AC8"/>
  <c r="J20"/>
  <c r="W20"/>
  <c r="F35" i="37"/>
  <c r="S35"/>
  <c r="E101"/>
  <c r="F101"/>
  <c r="G101" s="1"/>
  <c r="H101" s="1"/>
  <c r="I101" s="1"/>
  <c r="J101" s="1"/>
  <c r="K101" s="1"/>
  <c r="L101" s="1"/>
  <c r="M101" s="1"/>
  <c r="J34"/>
  <c r="W34" s="1"/>
  <c r="S10"/>
  <c r="AA39"/>
  <c r="AB34"/>
  <c r="J33"/>
  <c r="AC33"/>
  <c r="U42" i="34"/>
  <c r="H40"/>
  <c r="U40" s="1"/>
  <c r="E114"/>
  <c r="H36"/>
  <c r="U36"/>
  <c r="F37"/>
  <c r="AA37"/>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c r="F36"/>
  <c r="AA36"/>
  <c r="H28"/>
  <c r="U28"/>
  <c r="F23"/>
  <c r="AA23"/>
  <c r="F17"/>
  <c r="AA17"/>
  <c r="J17"/>
  <c r="W17"/>
  <c r="F15"/>
  <c r="S15"/>
  <c r="H15"/>
  <c r="AB15"/>
  <c r="AC11"/>
  <c r="S12" i="36"/>
  <c r="AA12"/>
  <c r="AB30"/>
  <c r="AC34"/>
  <c r="U30" i="35"/>
  <c r="U33"/>
  <c r="F29"/>
  <c r="S29" s="1"/>
  <c r="H29"/>
  <c r="AB29" s="1"/>
  <c r="H33" i="37"/>
  <c r="AB33" s="1"/>
  <c r="F33"/>
  <c r="AA33" s="1"/>
  <c r="U34"/>
  <c r="W33"/>
  <c r="S34"/>
  <c r="AA34"/>
  <c r="J43" i="34"/>
  <c r="AB42"/>
  <c r="J40"/>
  <c r="F114"/>
  <c r="G114"/>
  <c r="H114" s="1"/>
  <c r="I114" s="1"/>
  <c r="J114" s="1"/>
  <c r="K114" s="1"/>
  <c r="L114" s="1"/>
  <c r="M114" s="1"/>
  <c r="H38"/>
  <c r="AB38"/>
  <c r="J36"/>
  <c r="W36"/>
  <c r="H37"/>
  <c r="U37"/>
  <c r="H25"/>
  <c r="AB25"/>
  <c r="J25"/>
  <c r="AC25"/>
  <c r="AB23"/>
  <c r="F23"/>
  <c r="AA23" s="1"/>
  <c r="J19"/>
  <c r="AC19" s="1"/>
  <c r="F17"/>
  <c r="AA17" s="1"/>
  <c r="J17"/>
  <c r="W17" s="1"/>
  <c r="AB17"/>
  <c r="AA15"/>
  <c r="S15"/>
  <c r="F113" i="33"/>
  <c r="G113" s="1"/>
  <c r="H113" s="1"/>
  <c r="I113" s="1"/>
  <c r="J113" s="1"/>
  <c r="K113" s="1"/>
  <c r="L113" s="1"/>
  <c r="M113" s="1"/>
  <c r="H37"/>
  <c r="AB37" s="1"/>
  <c r="H15"/>
  <c r="AB15" s="1"/>
  <c r="H11"/>
  <c r="AB11" s="1"/>
  <c r="F28" i="40"/>
  <c r="AA28" s="1"/>
  <c r="AA29" i="35"/>
  <c r="AA42" i="34"/>
  <c r="S42"/>
  <c r="AC38"/>
  <c r="AA38"/>
  <c r="J37"/>
  <c r="AC37"/>
  <c r="J11" i="33"/>
  <c r="W11"/>
  <c r="S28" i="34"/>
  <c r="U23" i="40"/>
  <c r="J42" i="21"/>
  <c r="AC42" s="1"/>
  <c r="H42"/>
  <c r="U42" s="1"/>
  <c r="J44" i="34"/>
  <c r="F44"/>
  <c r="AA44"/>
  <c r="J10" i="35"/>
  <c r="W10"/>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c r="H28"/>
  <c r="U28"/>
  <c r="F28"/>
  <c r="AA28"/>
  <c r="J28"/>
  <c r="W28"/>
  <c r="F33" i="35"/>
  <c r="S33"/>
  <c r="J33"/>
  <c r="AC33"/>
  <c r="F30"/>
  <c r="S30"/>
  <c r="E89"/>
  <c r="F89"/>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s="1"/>
  <c r="E89" i="37"/>
  <c r="F89" s="1"/>
  <c r="G89" s="1"/>
  <c r="H89" s="1"/>
  <c r="I89" s="1"/>
  <c r="J89" s="1"/>
  <c r="K89" s="1"/>
  <c r="L89" s="1"/>
  <c r="M89" s="1"/>
  <c r="J29"/>
  <c r="W29"/>
  <c r="F29"/>
  <c r="S29"/>
  <c r="F105"/>
  <c r="H36"/>
  <c r="AB36" s="1"/>
  <c r="F107"/>
  <c r="J37"/>
  <c r="AC37"/>
  <c r="H37"/>
  <c r="U37"/>
  <c r="H40"/>
  <c r="U40"/>
  <c r="J40"/>
  <c r="AC40"/>
  <c r="F40"/>
  <c r="AA40"/>
  <c r="AC12" i="40"/>
  <c r="W12"/>
  <c r="H14" i="33"/>
  <c r="U14"/>
  <c r="F14"/>
  <c r="S14"/>
  <c r="J14"/>
  <c r="H30"/>
  <c r="AB30" s="1"/>
  <c r="F30"/>
  <c r="J30"/>
  <c r="H44"/>
  <c r="J44"/>
  <c r="AC44"/>
  <c r="F44"/>
  <c r="S44"/>
  <c r="J46"/>
  <c r="AC46"/>
  <c r="F46"/>
  <c r="AA46"/>
  <c r="H46"/>
  <c r="AB46"/>
  <c r="H13" i="34"/>
  <c r="U13"/>
  <c r="J13"/>
  <c r="W13"/>
  <c r="F13"/>
  <c r="AA13"/>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c r="F14"/>
  <c r="H14"/>
  <c r="AB14" s="1"/>
  <c r="F12" i="40"/>
  <c r="S12" s="1"/>
  <c r="H12"/>
  <c r="AB12" s="1"/>
  <c r="H30"/>
  <c r="AB30" s="1"/>
  <c r="F33"/>
  <c r="AA33" s="1"/>
  <c r="H33"/>
  <c r="U33" s="1"/>
  <c r="J35"/>
  <c r="AC35" s="1"/>
  <c r="J37"/>
  <c r="AC37" s="1"/>
  <c r="H13"/>
  <c r="U13" s="1"/>
  <c r="J13"/>
  <c r="W13" s="1"/>
  <c r="F13"/>
  <c r="AA13" s="1"/>
  <c r="F14" i="37"/>
  <c r="S14" s="1"/>
  <c r="F27"/>
  <c r="AA27" s="1"/>
  <c r="F13" i="39"/>
  <c r="J13"/>
  <c r="W13"/>
  <c r="H13"/>
  <c r="H14" i="40"/>
  <c r="AB14" s="1"/>
  <c r="J14"/>
  <c r="W14" s="1"/>
  <c r="F14"/>
  <c r="AA14" s="1"/>
  <c r="J14" i="37"/>
  <c r="AC14" s="1"/>
  <c r="J27"/>
  <c r="AC27" s="1"/>
  <c r="AA44" i="33"/>
  <c r="U31" i="34"/>
  <c r="U46" i="33"/>
  <c r="AA14"/>
  <c r="J36" i="37"/>
  <c r="AC36"/>
  <c r="G105"/>
  <c r="AB11" i="36"/>
  <c r="AB11" i="35"/>
  <c r="J10" i="36"/>
  <c r="AC10" s="1"/>
  <c r="AB26" i="33"/>
  <c r="AA14" i="37"/>
  <c r="AC13" i="36"/>
  <c r="W13"/>
  <c r="S11"/>
  <c r="W11"/>
  <c r="W11" i="35"/>
  <c r="AB46" i="34"/>
  <c r="AC30"/>
  <c r="AA14"/>
  <c r="S45" i="33"/>
  <c r="AB45"/>
  <c r="AB31"/>
  <c r="U31"/>
  <c r="W29"/>
  <c r="U13"/>
  <c r="AC28" i="21"/>
  <c r="S44" i="34"/>
  <c r="BA586" i="3"/>
  <c r="BA585"/>
  <c r="AZ585" s="1"/>
  <c r="F17" i="21"/>
  <c r="AA17" s="1"/>
  <c r="H17"/>
  <c r="AB17" s="1"/>
  <c r="F15"/>
  <c r="S15" s="1"/>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AZ584" s="1"/>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s="1"/>
  <c r="BA578"/>
  <c r="AZ578" s="1"/>
  <c r="BA576"/>
  <c r="AZ576" s="1"/>
  <c r="BA574"/>
  <c r="AZ574" s="1"/>
  <c r="BA572"/>
  <c r="AZ572" s="1"/>
  <c r="BA570"/>
  <c r="AZ570" s="1"/>
  <c r="BA568"/>
  <c r="AZ568" s="1"/>
  <c r="BA566"/>
  <c r="AZ566" s="1"/>
  <c r="BA564"/>
  <c r="AZ564" s="1"/>
  <c r="BA562"/>
  <c r="AZ562" s="1"/>
  <c r="BA560"/>
  <c r="BA558"/>
  <c r="AZ558"/>
  <c r="BA556"/>
  <c r="AZ556"/>
  <c r="BA554"/>
  <c r="AZ554"/>
  <c r="BA552"/>
  <c r="AZ552"/>
  <c r="BA548"/>
  <c r="AZ548" s="1"/>
  <c r="BA546"/>
  <c r="BA544"/>
  <c r="AZ544"/>
  <c r="BA542"/>
  <c r="AZ542"/>
  <c r="BA540"/>
  <c r="AZ540"/>
  <c r="BA538"/>
  <c r="AZ538"/>
  <c r="BA536"/>
  <c r="AZ536"/>
  <c r="BA534"/>
  <c r="AZ534"/>
  <c r="BA532"/>
  <c r="AZ532"/>
  <c r="BA530"/>
  <c r="BA528"/>
  <c r="AZ528" s="1"/>
  <c r="BA526"/>
  <c r="AZ526" s="1"/>
  <c r="BA524"/>
  <c r="AZ524" s="1"/>
  <c r="BA522"/>
  <c r="BA520"/>
  <c r="BA518"/>
  <c r="AZ518" s="1"/>
  <c r="BA516"/>
  <c r="AZ516" s="1"/>
  <c r="BA514"/>
  <c r="BA512"/>
  <c r="AZ512"/>
  <c r="BA510"/>
  <c r="AZ510"/>
  <c r="BA508"/>
  <c r="BA506"/>
  <c r="BA504"/>
  <c r="AZ504"/>
  <c r="BA502"/>
  <c r="BA500"/>
  <c r="BA498"/>
  <c r="AZ498"/>
  <c r="BA496"/>
  <c r="BA494"/>
  <c r="BA587"/>
  <c r="AZ587"/>
  <c r="BA583"/>
  <c r="BA581"/>
  <c r="AZ581" s="1"/>
  <c r="BA579"/>
  <c r="AZ579" s="1"/>
  <c r="BA577"/>
  <c r="BA575"/>
  <c r="AZ575" s="1"/>
  <c r="BA573"/>
  <c r="BA571"/>
  <c r="AZ571" s="1"/>
  <c r="BA569"/>
  <c r="BA567"/>
  <c r="AZ567" s="1"/>
  <c r="BA565"/>
  <c r="BA563"/>
  <c r="BA561"/>
  <c r="BA559"/>
  <c r="BA555"/>
  <c r="BA553"/>
  <c r="BA549"/>
  <c r="BA547"/>
  <c r="BA545"/>
  <c r="BA543"/>
  <c r="BA541"/>
  <c r="BA539"/>
  <c r="BA537"/>
  <c r="BA535"/>
  <c r="BA533"/>
  <c r="BA531"/>
  <c r="BA529"/>
  <c r="BA527"/>
  <c r="BA525"/>
  <c r="BA523"/>
  <c r="BA519"/>
  <c r="BA517"/>
  <c r="AZ517" s="1"/>
  <c r="BA515"/>
  <c r="BA513"/>
  <c r="AZ513" s="1"/>
  <c r="BA511"/>
  <c r="BA507"/>
  <c r="BA505"/>
  <c r="BA503"/>
  <c r="BA501"/>
  <c r="BA499"/>
  <c r="BA497"/>
  <c r="BA495"/>
  <c r="AZ495" s="1"/>
  <c r="BA493"/>
  <c r="AZ560"/>
  <c r="G583"/>
  <c r="G581"/>
  <c r="G579"/>
  <c r="G577"/>
  <c r="G575"/>
  <c r="G573"/>
  <c r="G571"/>
  <c r="G569"/>
  <c r="G567"/>
  <c r="G565"/>
  <c r="G563"/>
  <c r="G561"/>
  <c r="BL558"/>
  <c r="BA557"/>
  <c r="AC557"/>
  <c r="G557" s="1"/>
  <c r="BQ557"/>
  <c r="BL557" s="1"/>
  <c r="BQ583"/>
  <c r="BL583" s="1"/>
  <c r="AZ583" s="1"/>
  <c r="BQ581"/>
  <c r="BL581"/>
  <c r="BQ579"/>
  <c r="BL579"/>
  <c r="BQ577"/>
  <c r="BL577" s="1"/>
  <c r="AZ577" s="1"/>
  <c r="BQ575"/>
  <c r="BL575"/>
  <c r="BQ573"/>
  <c r="BL573" s="1"/>
  <c r="AZ573" s="1"/>
  <c r="BQ571"/>
  <c r="BL571"/>
  <c r="BQ569"/>
  <c r="BL569" s="1"/>
  <c r="AZ569" s="1"/>
  <c r="BQ567"/>
  <c r="BL567"/>
  <c r="BQ565"/>
  <c r="BL565" s="1"/>
  <c r="AZ565" s="1"/>
  <c r="BQ563"/>
  <c r="BL563"/>
  <c r="BQ561"/>
  <c r="BL561"/>
  <c r="AZ561" s="1"/>
  <c r="BQ559"/>
  <c r="BL559" s="1"/>
  <c r="AZ559" s="1"/>
  <c r="G559"/>
  <c r="G555"/>
  <c r="G553"/>
  <c r="G549"/>
  <c r="G547"/>
  <c r="G545"/>
  <c r="G543"/>
  <c r="G541"/>
  <c r="G539"/>
  <c r="G537"/>
  <c r="BQ555"/>
  <c r="BL555"/>
  <c r="AZ555" s="1"/>
  <c r="BQ553"/>
  <c r="BL553" s="1"/>
  <c r="AZ553" s="1"/>
  <c r="BQ551"/>
  <c r="BL551"/>
  <c r="BQ549"/>
  <c r="BQ547"/>
  <c r="BL547" s="1"/>
  <c r="AZ547" s="1"/>
  <c r="BQ545"/>
  <c r="BL545"/>
  <c r="AZ545" s="1"/>
  <c r="BQ543"/>
  <c r="BL543" s="1"/>
  <c r="AZ543" s="1"/>
  <c r="BQ541"/>
  <c r="BL541"/>
  <c r="AZ541" s="1"/>
  <c r="BQ539"/>
  <c r="BL539" s="1"/>
  <c r="AZ539" s="1"/>
  <c r="BQ537"/>
  <c r="BL537"/>
  <c r="AZ537" s="1"/>
  <c r="BQ535"/>
  <c r="BL535" s="1"/>
  <c r="AZ535" s="1"/>
  <c r="BQ533"/>
  <c r="BL533"/>
  <c r="AZ533" s="1"/>
  <c r="BQ531"/>
  <c r="BL531" s="1"/>
  <c r="AZ531" s="1"/>
  <c r="BQ529"/>
  <c r="BL529"/>
  <c r="AZ529" s="1"/>
  <c r="BQ527"/>
  <c r="BL527" s="1"/>
  <c r="AZ527" s="1"/>
  <c r="BQ525"/>
  <c r="BL525"/>
  <c r="AZ525" s="1"/>
  <c r="BQ523"/>
  <c r="BL523" s="1"/>
  <c r="AZ523" s="1"/>
  <c r="BA521"/>
  <c r="AC521"/>
  <c r="G521"/>
  <c r="BQ521"/>
  <c r="BL521"/>
  <c r="AZ521" s="1"/>
  <c r="BL520"/>
  <c r="AZ520"/>
  <c r="G519"/>
  <c r="G517"/>
  <c r="G515"/>
  <c r="G513"/>
  <c r="G511"/>
  <c r="BQ519"/>
  <c r="BL519" s="1"/>
  <c r="AZ519" s="1"/>
  <c r="BQ517"/>
  <c r="BL517"/>
  <c r="BQ515"/>
  <c r="BL515" s="1"/>
  <c r="AZ515" s="1"/>
  <c r="BQ513"/>
  <c r="BL513"/>
  <c r="BQ511"/>
  <c r="BL511" s="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BQ493"/>
  <c r="S505" i="31"/>
  <c r="S503"/>
  <c r="S501"/>
  <c r="S499"/>
  <c r="O27"/>
  <c r="O28"/>
  <c r="O26"/>
  <c r="M27"/>
  <c r="M28"/>
  <c r="M26"/>
  <c r="I26"/>
  <c r="I25"/>
  <c r="S25"/>
  <c r="Q26"/>
  <c r="K26"/>
  <c r="I27"/>
  <c r="Q27"/>
  <c r="K27"/>
  <c r="I28"/>
  <c r="Q28"/>
  <c r="K28"/>
  <c r="AC28" i="34"/>
  <c r="S21" i="40"/>
  <c r="H25" i="21"/>
  <c r="U25" s="1"/>
  <c r="F25"/>
  <c r="S25" s="1"/>
  <c r="J25"/>
  <c r="AC25" s="1"/>
  <c r="E125" i="33"/>
  <c r="F125" s="1"/>
  <c r="G125" s="1"/>
  <c r="H43"/>
  <c r="AB43" s="1"/>
  <c r="H17" i="37"/>
  <c r="U17" s="1"/>
  <c r="AB27"/>
  <c r="U32" i="33"/>
  <c r="AA36" i="39"/>
  <c r="F39" i="33"/>
  <c r="AA39"/>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c r="F123" i="33"/>
  <c r="G123"/>
  <c r="H123" s="1"/>
  <c r="I123" s="1"/>
  <c r="J123" s="1"/>
  <c r="K123" s="1"/>
  <c r="L123" s="1"/>
  <c r="M123" s="1"/>
  <c r="H42"/>
  <c r="AB42"/>
  <c r="J43"/>
  <c r="AC43" s="1"/>
  <c r="U43"/>
  <c r="S28" i="31"/>
  <c r="S27"/>
  <c r="S26"/>
  <c r="U14" i="40"/>
  <c r="AC32" i="36"/>
  <c r="AC33"/>
  <c r="AA12" i="35"/>
  <c r="W14" i="37"/>
  <c r="U33"/>
  <c r="U39"/>
  <c r="W26"/>
  <c r="AC8"/>
  <c r="U26"/>
  <c r="AB13" i="34"/>
  <c r="W37"/>
  <c r="AB37"/>
  <c r="AC36"/>
  <c r="AA13" i="33"/>
  <c r="AC31"/>
  <c r="AC45"/>
  <c r="W44"/>
  <c r="U11"/>
  <c r="U19" i="21"/>
  <c r="W44"/>
  <c r="U26"/>
  <c r="AC46"/>
  <c r="U12"/>
  <c r="AB38"/>
  <c r="F43" i="33"/>
  <c r="AA43"/>
  <c r="W15" i="34"/>
  <c r="AC15"/>
  <c r="W16" i="35"/>
  <c r="W40" i="37"/>
  <c r="G107"/>
  <c r="H107"/>
  <c r="I107" s="1"/>
  <c r="J107" s="1"/>
  <c r="K107" s="1"/>
  <c r="L107" s="1"/>
  <c r="M107" s="1"/>
  <c r="H37" i="21"/>
  <c r="U37" s="1"/>
  <c r="S42"/>
  <c r="H19" i="34"/>
  <c r="AB19"/>
  <c r="F36" i="35"/>
  <c r="S36"/>
  <c r="J9" i="37"/>
  <c r="W9"/>
  <c r="H9"/>
  <c r="AB9"/>
  <c r="F9"/>
  <c r="S9"/>
  <c r="J12"/>
  <c r="W12"/>
  <c r="H12"/>
  <c r="AB12"/>
  <c r="F12"/>
  <c r="S12"/>
  <c r="E71"/>
  <c r="F15"/>
  <c r="AA15" s="1"/>
  <c r="E94"/>
  <c r="F31"/>
  <c r="S31"/>
  <c r="F12" i="39"/>
  <c r="S12"/>
  <c r="J42"/>
  <c r="AC42"/>
  <c r="H21" i="40"/>
  <c r="AB21"/>
  <c r="AC12" i="37"/>
  <c r="F94"/>
  <c r="G94" s="1"/>
  <c r="H94" s="1"/>
  <c r="I94" s="1"/>
  <c r="J94" s="1"/>
  <c r="K94" s="1"/>
  <c r="L94" s="1"/>
  <c r="M94" s="1"/>
  <c r="H31"/>
  <c r="U31" s="1"/>
  <c r="F71"/>
  <c r="G71" s="1"/>
  <c r="J15"/>
  <c r="W15" s="1"/>
  <c r="U12"/>
  <c r="AT6" i="3"/>
  <c r="H5"/>
  <c r="C12" i="43"/>
  <c r="H19" i="40"/>
  <c r="U19"/>
  <c r="F88"/>
  <c r="G88"/>
  <c r="F19"/>
  <c r="S19"/>
  <c r="S14"/>
  <c r="AC13"/>
  <c r="AB33"/>
  <c r="W23" i="39"/>
  <c r="AC43"/>
  <c r="W43"/>
  <c r="U45"/>
  <c r="AB45"/>
  <c r="AB44"/>
  <c r="U44"/>
  <c r="G101"/>
  <c r="H37"/>
  <c r="AB37" s="1"/>
  <c r="AC37"/>
  <c r="W37"/>
  <c r="H25"/>
  <c r="AB25" s="1"/>
  <c r="J25"/>
  <c r="F25"/>
  <c r="AA25"/>
  <c r="F15"/>
  <c r="AA15"/>
  <c r="H15"/>
  <c r="U15"/>
  <c r="J15"/>
  <c r="W15"/>
  <c r="H41"/>
  <c r="W27"/>
  <c r="AB34"/>
  <c r="U40"/>
  <c r="S42"/>
  <c r="W14"/>
  <c r="AA41"/>
  <c r="W9"/>
  <c r="W8"/>
  <c r="J19" i="40"/>
  <c r="AC19" s="1"/>
  <c r="J50"/>
  <c r="H103" i="9"/>
  <c r="D8" i="53" s="1"/>
  <c r="B16"/>
  <c r="B33" i="72" s="1"/>
  <c r="C7" i="37"/>
  <c r="C7" i="34"/>
  <c r="C7" i="36"/>
  <c r="W35" i="40"/>
  <c r="A118" i="9"/>
  <c r="A4" i="52"/>
  <c r="B41" i="72" s="1"/>
  <c r="J11" i="39"/>
  <c r="W11"/>
  <c r="F11"/>
  <c r="AA11"/>
  <c r="A12" i="52"/>
  <c r="B56" i="72" s="1"/>
  <c r="S11" i="39"/>
  <c r="G4" i="4"/>
  <c r="I4"/>
  <c r="K5"/>
  <c r="B47" i="48" s="1"/>
  <c r="A2" i="9"/>
  <c r="N2" i="43"/>
  <c r="F59"/>
  <c r="AZ20" i="3"/>
  <c r="AZ24"/>
  <c r="AZ28"/>
  <c r="AZ32"/>
  <c r="AZ497"/>
  <c r="BL549"/>
  <c r="AZ494"/>
  <c r="AZ502"/>
  <c r="AZ514"/>
  <c r="AZ522"/>
  <c r="AZ530"/>
  <c r="AZ546"/>
  <c r="G546"/>
  <c r="G524"/>
  <c r="G303"/>
  <c r="BL304"/>
  <c r="G305"/>
  <c r="BL306"/>
  <c r="BA308"/>
  <c r="AZ308" s="1"/>
  <c r="BA309"/>
  <c r="AZ309" s="1"/>
  <c r="BL309"/>
  <c r="G310"/>
  <c r="BA311"/>
  <c r="G319"/>
  <c r="BL320"/>
  <c r="G321"/>
  <c r="BL322"/>
  <c r="BA324"/>
  <c r="AZ324" s="1"/>
  <c r="BA325"/>
  <c r="AZ325" s="1"/>
  <c r="BL325"/>
  <c r="G326"/>
  <c r="BA327"/>
  <c r="G335"/>
  <c r="BL336"/>
  <c r="G337"/>
  <c r="BL338"/>
  <c r="BA340"/>
  <c r="AZ340" s="1"/>
  <c r="BA341"/>
  <c r="AZ341" s="1"/>
  <c r="BL341"/>
  <c r="BA343"/>
  <c r="BA345"/>
  <c r="BL355"/>
  <c r="G356"/>
  <c r="BL357"/>
  <c r="BA359"/>
  <c r="AZ359"/>
  <c r="BA360"/>
  <c r="BL360"/>
  <c r="G361"/>
  <c r="BA362"/>
  <c r="AZ362" s="1"/>
  <c r="G370"/>
  <c r="BL371"/>
  <c r="G372"/>
  <c r="BL373"/>
  <c r="BA375"/>
  <c r="AZ375" s="1"/>
  <c r="BA376"/>
  <c r="AZ376" s="1"/>
  <c r="BL376"/>
  <c r="G377"/>
  <c r="BA378"/>
  <c r="AZ378"/>
  <c r="BL378"/>
  <c r="G379"/>
  <c r="BA380"/>
  <c r="G388"/>
  <c r="BL389"/>
  <c r="G390"/>
  <c r="BL391"/>
  <c r="BA393"/>
  <c r="AZ393" s="1"/>
  <c r="BA394"/>
  <c r="AZ394" s="1"/>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s="1"/>
  <c r="BA313"/>
  <c r="BL313"/>
  <c r="AZ313"/>
  <c r="G314"/>
  <c r="G317"/>
  <c r="BL318"/>
  <c r="BA320"/>
  <c r="AZ320" s="1"/>
  <c r="BA321"/>
  <c r="AZ321" s="1"/>
  <c r="BL321"/>
  <c r="G322"/>
  <c r="G325"/>
  <c r="BL326"/>
  <c r="BA328"/>
  <c r="AZ328" s="1"/>
  <c r="BA329"/>
  <c r="BL329"/>
  <c r="AZ329"/>
  <c r="G330"/>
  <c r="G333"/>
  <c r="BL334"/>
  <c r="BA336"/>
  <c r="AZ336" s="1"/>
  <c r="BA337"/>
  <c r="AZ337" s="1"/>
  <c r="BL337"/>
  <c r="G338"/>
  <c r="G341"/>
  <c r="BA342"/>
  <c r="BL342"/>
  <c r="AZ342" s="1"/>
  <c r="BA344"/>
  <c r="BL344"/>
  <c r="AZ344"/>
  <c r="BA346"/>
  <c r="AZ346"/>
  <c r="BA347"/>
  <c r="AZ347"/>
  <c r="BL347"/>
  <c r="G350"/>
  <c r="BA351"/>
  <c r="AZ351"/>
  <c r="BL351"/>
  <c r="G352"/>
  <c r="G354"/>
  <c r="BA355"/>
  <c r="AZ355" s="1"/>
  <c r="BA356"/>
  <c r="AZ356" s="1"/>
  <c r="BL356"/>
  <c r="G357"/>
  <c r="G360"/>
  <c r="BL361"/>
  <c r="BA363"/>
  <c r="AZ363"/>
  <c r="BA364"/>
  <c r="BL364"/>
  <c r="AZ364" s="1"/>
  <c r="G365"/>
  <c r="G368"/>
  <c r="BL369"/>
  <c r="BA371"/>
  <c r="AZ371" s="1"/>
  <c r="BA372"/>
  <c r="AZ372" s="1"/>
  <c r="BL372"/>
  <c r="G373"/>
  <c r="G376"/>
  <c r="BL377"/>
  <c r="BL379"/>
  <c r="BA381"/>
  <c r="AZ381"/>
  <c r="BA382"/>
  <c r="BL382"/>
  <c r="AZ382" s="1"/>
  <c r="G383"/>
  <c r="G386"/>
  <c r="BL387"/>
  <c r="BA389"/>
  <c r="AZ389" s="1"/>
  <c r="BA390"/>
  <c r="BL390"/>
  <c r="G391"/>
  <c r="G394"/>
  <c r="AZ138"/>
  <c r="AZ142"/>
  <c r="AZ146"/>
  <c r="AZ150"/>
  <c r="AZ154"/>
  <c r="AZ158"/>
  <c r="AZ162"/>
  <c r="AZ166"/>
  <c r="AZ170"/>
  <c r="AZ174"/>
  <c r="AZ178"/>
  <c r="AZ182"/>
  <c r="AZ186"/>
  <c r="AZ190"/>
  <c r="AZ194"/>
  <c r="AZ198"/>
  <c r="AZ202"/>
  <c r="AZ206"/>
  <c r="AZ500"/>
  <c r="BA16"/>
  <c r="AZ16"/>
  <c r="BL303"/>
  <c r="G304"/>
  <c r="BA306"/>
  <c r="AZ306"/>
  <c r="BL307"/>
  <c r="AZ307"/>
  <c r="G308"/>
  <c r="BA310"/>
  <c r="AZ310" s="1"/>
  <c r="BL311"/>
  <c r="AZ311" s="1"/>
  <c r="G312"/>
  <c r="BA314"/>
  <c r="AZ314"/>
  <c r="BL315"/>
  <c r="AZ315"/>
  <c r="G316"/>
  <c r="BA318"/>
  <c r="AZ318" s="1"/>
  <c r="BL319"/>
  <c r="AZ319" s="1"/>
  <c r="G320"/>
  <c r="BA322"/>
  <c r="AZ322" s="1"/>
  <c r="BL323"/>
  <c r="AZ323" s="1"/>
  <c r="G324"/>
  <c r="BA326"/>
  <c r="AZ326"/>
  <c r="BL327"/>
  <c r="AZ327"/>
  <c r="G328"/>
  <c r="BA330"/>
  <c r="AZ330" s="1"/>
  <c r="BL331"/>
  <c r="AZ331" s="1"/>
  <c r="G332"/>
  <c r="BA334"/>
  <c r="AZ334"/>
  <c r="BL335"/>
  <c r="G336"/>
  <c r="BA338"/>
  <c r="AZ338"/>
  <c r="BL339"/>
  <c r="AZ339"/>
  <c r="G340"/>
  <c r="BL343"/>
  <c r="G344"/>
  <c r="G348"/>
  <c r="G355"/>
  <c r="AZ209"/>
  <c r="AZ214"/>
  <c r="AZ218"/>
  <c r="AZ222"/>
  <c r="AZ303"/>
  <c r="AZ335"/>
  <c r="G342"/>
  <c r="BL345"/>
  <c r="AZ345" s="1"/>
  <c r="G346"/>
  <c r="AZ348"/>
  <c r="BL349"/>
  <c r="AZ349" s="1"/>
  <c r="BL352"/>
  <c r="G353"/>
  <c r="BA357"/>
  <c r="AZ357" s="1"/>
  <c r="BL358"/>
  <c r="AZ358" s="1"/>
  <c r="G359"/>
  <c r="BA361"/>
  <c r="AZ361"/>
  <c r="BL362"/>
  <c r="G363"/>
  <c r="BA365"/>
  <c r="AZ365"/>
  <c r="BL366"/>
  <c r="AZ366"/>
  <c r="G367"/>
  <c r="BA369"/>
  <c r="AZ369" s="1"/>
  <c r="BL370"/>
  <c r="AZ370" s="1"/>
  <c r="G371"/>
  <c r="BA373"/>
  <c r="AZ373" s="1"/>
  <c r="BL374"/>
  <c r="AZ374" s="1"/>
  <c r="G375"/>
  <c r="BA377"/>
  <c r="AZ377"/>
  <c r="AZ229"/>
  <c r="AZ233"/>
  <c r="AZ237"/>
  <c r="AZ241"/>
  <c r="AZ245"/>
  <c r="AZ249"/>
  <c r="AZ253"/>
  <c r="AZ257"/>
  <c r="AZ261"/>
  <c r="AZ265"/>
  <c r="AZ269"/>
  <c r="AZ273"/>
  <c r="BA379"/>
  <c r="AZ379" s="1"/>
  <c r="BL380"/>
  <c r="G381"/>
  <c r="BA383"/>
  <c r="AZ383" s="1"/>
  <c r="BL384"/>
  <c r="AZ384" s="1"/>
  <c r="G385"/>
  <c r="BA387"/>
  <c r="AZ387" s="1"/>
  <c r="BL388"/>
  <c r="G389"/>
  <c r="BA391"/>
  <c r="AZ391" s="1"/>
  <c r="BL392"/>
  <c r="AZ392" s="1"/>
  <c r="G393"/>
  <c r="AZ263"/>
  <c r="AZ275"/>
  <c r="AZ279"/>
  <c r="AZ283"/>
  <c r="AZ287"/>
  <c r="AZ291"/>
  <c r="AZ295"/>
  <c r="AZ299"/>
  <c r="BO5"/>
  <c r="BM5"/>
  <c r="F29" i="6"/>
  <c r="BJ5" i="3"/>
  <c r="BH5"/>
  <c r="BF5"/>
  <c r="BD5"/>
  <c r="AZ317"/>
  <c r="AZ333"/>
  <c r="BQ5"/>
  <c r="AC5"/>
  <c r="AZ549"/>
  <c r="AZ506"/>
  <c r="AZ496"/>
  <c r="G548"/>
  <c r="G538"/>
  <c r="G520"/>
  <c r="G502"/>
  <c r="BS5"/>
  <c r="BP5"/>
  <c r="BN5"/>
  <c r="AZ343"/>
  <c r="BK5"/>
  <c r="BI5"/>
  <c r="BG5"/>
  <c r="BE5"/>
  <c r="BC5"/>
  <c r="G17"/>
  <c r="BA17"/>
  <c r="BT5"/>
  <c r="AZ350"/>
  <c r="AZ352"/>
  <c r="AZ360"/>
  <c r="AZ368"/>
  <c r="BA15"/>
  <c r="AZ15"/>
  <c r="BB5"/>
  <c r="E8" i="6" s="1"/>
  <c r="BR5" i="3"/>
  <c r="G28" i="6" s="1"/>
  <c r="AZ380" i="3"/>
  <c r="AZ388"/>
  <c r="AZ396"/>
  <c r="AZ499"/>
  <c r="AZ509"/>
  <c r="G509"/>
  <c r="BL493"/>
  <c r="AZ491"/>
  <c r="AZ390"/>
  <c r="AZ493"/>
  <c r="U36" i="40"/>
  <c r="N4" i="43"/>
  <c r="F36"/>
  <c r="H113"/>
  <c r="F48"/>
  <c r="H52" s="1"/>
  <c r="N7"/>
  <c r="F70"/>
  <c r="H73" s="1"/>
  <c r="M6"/>
  <c r="M11"/>
  <c r="E17"/>
  <c r="F39"/>
  <c r="I17"/>
  <c r="F35"/>
  <c r="J17"/>
  <c r="F6" i="1"/>
  <c r="G6" s="1"/>
  <c r="U17" i="39"/>
  <c r="S14" i="35"/>
  <c r="U43" i="21"/>
  <c r="U35"/>
  <c r="AC35"/>
  <c r="U10"/>
  <c r="G8" i="1"/>
  <c r="G9"/>
  <c r="G10"/>
  <c r="F48" i="9"/>
  <c r="O52" s="1"/>
  <c r="AC11" i="39"/>
  <c r="AZ563" i="3"/>
  <c r="AZ501"/>
  <c r="W37" i="37"/>
  <c r="W44" i="34"/>
  <c r="AC44"/>
  <c r="S15" i="37"/>
  <c r="U13"/>
  <c r="U12" i="40"/>
  <c r="AA12"/>
  <c r="J37" i="33"/>
  <c r="W37"/>
  <c r="AC17" i="34"/>
  <c r="F106" i="33"/>
  <c r="G106" s="1"/>
  <c r="H106" s="1"/>
  <c r="I106" s="1"/>
  <c r="J106" s="1"/>
  <c r="K106" s="1"/>
  <c r="L106" s="1"/>
  <c r="M106" s="1"/>
  <c r="J34"/>
  <c r="W34" s="1"/>
  <c r="F33" i="34"/>
  <c r="S33" s="1"/>
  <c r="W12" i="36"/>
  <c r="AC12"/>
  <c r="H20"/>
  <c r="U20" s="1"/>
  <c r="J20"/>
  <c r="W20" s="1"/>
  <c r="W24"/>
  <c r="J27"/>
  <c r="W27"/>
  <c r="AB25" i="37"/>
  <c r="AC33" i="40"/>
  <c r="F111"/>
  <c r="G111"/>
  <c r="H111" s="1"/>
  <c r="I111" s="1"/>
  <c r="J111" s="1"/>
  <c r="K111" s="1"/>
  <c r="L111" s="1"/>
  <c r="M111" s="1"/>
  <c r="H35"/>
  <c r="AB35"/>
  <c r="AC29" i="35"/>
  <c r="W29"/>
  <c r="H35" i="37"/>
  <c r="U35"/>
  <c r="AC14" i="35"/>
  <c r="H20"/>
  <c r="U20" s="1"/>
  <c r="F20"/>
  <c r="AA20" s="1"/>
  <c r="AB23"/>
  <c r="AB29" i="36"/>
  <c r="U29"/>
  <c r="H32" i="37"/>
  <c r="AB32"/>
  <c r="F96"/>
  <c r="H27" i="40"/>
  <c r="U27" s="1"/>
  <c r="J27"/>
  <c r="AC27" s="1"/>
  <c r="F27"/>
  <c r="S27" s="1"/>
  <c r="J30"/>
  <c r="AC30" s="1"/>
  <c r="F30"/>
  <c r="AA30" s="1"/>
  <c r="AC21"/>
  <c r="S31" i="39"/>
  <c r="S11" i="40"/>
  <c r="E98"/>
  <c r="F98"/>
  <c r="G98" s="1"/>
  <c r="H98" s="1"/>
  <c r="I98" s="1"/>
  <c r="J98" s="1"/>
  <c r="K98" s="1"/>
  <c r="L98" s="1"/>
  <c r="M98" s="1"/>
  <c r="F10" i="33"/>
  <c r="S10" s="1"/>
  <c r="F34"/>
  <c r="S34" s="1"/>
  <c r="H34"/>
  <c r="U34" s="1"/>
  <c r="F35"/>
  <c r="S35" s="1"/>
  <c r="F39" i="34"/>
  <c r="S39" s="1"/>
  <c r="J39"/>
  <c r="W39" s="1"/>
  <c r="F40"/>
  <c r="S40" s="1"/>
  <c r="F43"/>
  <c r="AA43" s="1"/>
  <c r="H44"/>
  <c r="AB44" s="1"/>
  <c r="AC38" i="39"/>
  <c r="F39"/>
  <c r="S39"/>
  <c r="J39"/>
  <c r="AC39"/>
  <c r="E97"/>
  <c r="F97"/>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49"/>
  <c r="H48"/>
  <c r="I20"/>
  <c r="F23" i="39"/>
  <c r="AA23"/>
  <c r="H27" i="36"/>
  <c r="U27"/>
  <c r="F27"/>
  <c r="AA27"/>
  <c r="H33" i="34"/>
  <c r="U33"/>
  <c r="F32" i="37"/>
  <c r="AA32"/>
  <c r="G96"/>
  <c r="H96"/>
  <c r="I96" s="1"/>
  <c r="J96" s="1"/>
  <c r="K96" s="1"/>
  <c r="L96" s="1"/>
  <c r="M96" s="1"/>
  <c r="F20" i="36"/>
  <c r="AA20" s="1"/>
  <c r="J33" i="34"/>
  <c r="AC33" s="1"/>
  <c r="H23" i="39"/>
  <c r="U23" s="1"/>
  <c r="D48" i="9"/>
  <c r="M52" s="1"/>
  <c r="K9" i="1"/>
  <c r="M9" s="1"/>
  <c r="O9" s="1"/>
  <c r="P9" s="1"/>
  <c r="AE9"/>
  <c r="D93" i="9"/>
  <c r="K6" i="1"/>
  <c r="G29" i="6"/>
  <c r="E29"/>
  <c r="AC26" i="33"/>
  <c r="W26"/>
  <c r="W27" i="34"/>
  <c r="AC27"/>
  <c r="AB34" i="36"/>
  <c r="U34"/>
  <c r="AB33"/>
  <c r="U33"/>
  <c r="AC12" i="39"/>
  <c r="W12"/>
  <c r="AC39" i="40"/>
  <c r="W39"/>
  <c r="AZ401" i="3"/>
  <c r="AZ412"/>
  <c r="AZ417"/>
  <c r="AZ428"/>
  <c r="AZ433"/>
  <c r="AZ465"/>
  <c r="W12" i="33"/>
  <c r="AC12"/>
  <c r="AA32" i="36"/>
  <c r="S32"/>
  <c r="AZ551" i="3"/>
  <c r="AZ550"/>
  <c r="AZ408"/>
  <c r="AZ437"/>
  <c r="AZ441"/>
  <c r="AZ457"/>
  <c r="AZ473"/>
  <c r="AZ490"/>
  <c r="AA39" i="34"/>
  <c r="F28" i="6"/>
  <c r="BL14" i="3"/>
  <c r="AZ266"/>
  <c r="U30" i="33"/>
  <c r="AC13" i="34"/>
  <c r="AA47"/>
  <c r="W28" i="37"/>
  <c r="S19" i="39"/>
  <c r="F12" i="33"/>
  <c r="S12" s="1"/>
  <c r="H12" i="39"/>
  <c r="AB12"/>
  <c r="F39" i="40"/>
  <c r="BA14" i="3"/>
  <c r="AZ14" s="1"/>
  <c r="AZ367"/>
  <c r="AZ213"/>
  <c r="AZ224"/>
  <c r="AZ234"/>
  <c r="AZ238"/>
  <c r="AZ250"/>
  <c r="AZ254"/>
  <c r="AZ281"/>
  <c r="AZ286"/>
  <c r="AZ297"/>
  <c r="AZ149"/>
  <c r="AZ157"/>
  <c r="AZ165"/>
  <c r="AZ173"/>
  <c r="AZ181"/>
  <c r="AZ189"/>
  <c r="AZ197"/>
  <c r="AZ19"/>
  <c r="AZ26"/>
  <c r="AZ35"/>
  <c r="AZ41"/>
  <c r="S12" i="1"/>
  <c r="AQ12" s="1"/>
  <c r="R12"/>
  <c r="B12"/>
  <c r="E12"/>
  <c r="S10"/>
  <c r="AQ10" s="1"/>
  <c r="R10"/>
  <c r="B10"/>
  <c r="E10" s="1"/>
  <c r="D1" i="66"/>
  <c r="E10" s="1"/>
  <c r="AZ80" i="3"/>
  <c r="AZ84"/>
  <c r="AZ88"/>
  <c r="AZ107"/>
  <c r="AZ111"/>
  <c r="K12" i="1"/>
  <c r="M12" s="1"/>
  <c r="O12" s="1"/>
  <c r="S13"/>
  <c r="AR13" s="1"/>
  <c r="R13"/>
  <c r="S11"/>
  <c r="R11"/>
  <c r="S9"/>
  <c r="AR9" s="1"/>
  <c r="R9"/>
  <c r="J51" i="67"/>
  <c r="C42" i="1"/>
  <c r="C30" i="69" s="1"/>
  <c r="H100" i="43"/>
  <c r="C30" i="66"/>
  <c r="E26"/>
  <c r="AC34" i="33"/>
  <c r="AA34"/>
  <c r="B41" i="1"/>
  <c r="S22" i="31"/>
  <c r="J100" i="43"/>
  <c r="AB37" i="40"/>
  <c r="S35"/>
  <c r="U35"/>
  <c r="AC36"/>
  <c r="AA32"/>
  <c r="S17"/>
  <c r="S23"/>
  <c r="AC17"/>
  <c r="AC15"/>
  <c r="AB27"/>
  <c r="S30"/>
  <c r="AA19"/>
  <c r="S28"/>
  <c r="AA27"/>
  <c r="U21"/>
  <c r="AB19"/>
  <c r="W42" i="39"/>
  <c r="U37"/>
  <c r="W39"/>
  <c r="S43"/>
  <c r="S37"/>
  <c r="U35"/>
  <c r="F32"/>
  <c r="F107"/>
  <c r="G107" s="1"/>
  <c r="H107" s="1"/>
  <c r="U25"/>
  <c r="AB27"/>
  <c r="U31"/>
  <c r="S25"/>
  <c r="J21"/>
  <c r="W21" s="1"/>
  <c r="F21"/>
  <c r="G95"/>
  <c r="H21"/>
  <c r="W19"/>
  <c r="U19"/>
  <c r="S17"/>
  <c r="AC15"/>
  <c r="S15"/>
  <c r="AB15"/>
  <c r="AA12"/>
  <c r="S9"/>
  <c r="U14"/>
  <c r="AC13"/>
  <c r="U12"/>
  <c r="S23" i="36"/>
  <c r="U13"/>
  <c r="AC27"/>
  <c r="AB27"/>
  <c r="U26"/>
  <c r="S33"/>
  <c r="S27"/>
  <c r="AA26"/>
  <c r="AA34"/>
  <c r="S29"/>
  <c r="AC26"/>
  <c r="AA22"/>
  <c r="W14"/>
  <c r="AB14"/>
  <c r="U22"/>
  <c r="S16"/>
  <c r="AA25"/>
  <c r="S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AA9" s="1"/>
  <c r="H9"/>
  <c r="F26"/>
  <c r="AA26" s="1"/>
  <c r="J26"/>
  <c r="AC26" s="1"/>
  <c r="H26"/>
  <c r="AB40" i="37"/>
  <c r="S25"/>
  <c r="W27"/>
  <c r="S26"/>
  <c r="AC9"/>
  <c r="AC29"/>
  <c r="U29"/>
  <c r="S32"/>
  <c r="AB31"/>
  <c r="W30"/>
  <c r="S36"/>
  <c r="AA38"/>
  <c r="U32"/>
  <c r="W38"/>
  <c r="AC35"/>
  <c r="W39"/>
  <c r="S30"/>
  <c r="S37"/>
  <c r="AC15"/>
  <c r="J17"/>
  <c r="W17"/>
  <c r="G73"/>
  <c r="F17"/>
  <c r="AA17" s="1"/>
  <c r="AB17"/>
  <c r="F75"/>
  <c r="F19"/>
  <c r="S19" s="1"/>
  <c r="F79"/>
  <c r="F23"/>
  <c r="U23"/>
  <c r="U15"/>
  <c r="AC13"/>
  <c r="U9"/>
  <c r="AA13"/>
  <c r="AA12"/>
  <c r="AA9"/>
  <c r="H10"/>
  <c r="H60"/>
  <c r="I60" s="1"/>
  <c r="F63"/>
  <c r="F11"/>
  <c r="S27" i="34"/>
  <c r="W25"/>
  <c r="AB8"/>
  <c r="AA33"/>
  <c r="U44"/>
  <c r="U43"/>
  <c r="AC39"/>
  <c r="W41"/>
  <c r="AC42"/>
  <c r="AB35"/>
  <c r="U39"/>
  <c r="S43"/>
  <c r="AB41"/>
  <c r="AA45"/>
  <c r="W34"/>
  <c r="AA25"/>
  <c r="U28"/>
  <c r="S17"/>
  <c r="AA29"/>
  <c r="U27"/>
  <c r="S23"/>
  <c r="U15"/>
  <c r="S10"/>
  <c r="S13"/>
  <c r="H67"/>
  <c r="I67" s="1"/>
  <c r="H10"/>
  <c r="F11"/>
  <c r="S11" s="1"/>
  <c r="F70"/>
  <c r="W42" i="33"/>
  <c r="AA35"/>
  <c r="S27"/>
  <c r="S32"/>
  <c r="AA29"/>
  <c r="AB29"/>
  <c r="W38"/>
  <c r="H41"/>
  <c r="U41" s="1"/>
  <c r="F121"/>
  <c r="G121"/>
  <c r="H121" s="1"/>
  <c r="I121"/>
  <c r="J121" s="1"/>
  <c r="K121" s="1"/>
  <c r="L121" s="1"/>
  <c r="M121" s="1"/>
  <c r="U42"/>
  <c r="S42"/>
  <c r="F36"/>
  <c r="G111"/>
  <c r="H108"/>
  <c r="I108" s="1"/>
  <c r="J108"/>
  <c r="K108" s="1"/>
  <c r="L108" s="1"/>
  <c r="M108" s="1"/>
  <c r="J35"/>
  <c r="AC35" s="1"/>
  <c r="S37"/>
  <c r="AA37"/>
  <c r="S39"/>
  <c r="F101"/>
  <c r="G101" s="1"/>
  <c r="H101" s="1"/>
  <c r="I101" s="1"/>
  <c r="J101" s="1"/>
  <c r="K101" s="1"/>
  <c r="L101" s="1"/>
  <c r="M101" s="1"/>
  <c r="J32"/>
  <c r="W32" s="1"/>
  <c r="S46"/>
  <c r="W43"/>
  <c r="S43"/>
  <c r="F91"/>
  <c r="H27"/>
  <c r="F87"/>
  <c r="H25"/>
  <c r="F25"/>
  <c r="AA25" s="1"/>
  <c r="J23"/>
  <c r="F85"/>
  <c r="G85" s="1"/>
  <c r="H23"/>
  <c r="F81"/>
  <c r="F19"/>
  <c r="S19"/>
  <c r="W19"/>
  <c r="J17"/>
  <c r="AC17" s="1"/>
  <c r="S15"/>
  <c r="W15"/>
  <c r="U9"/>
  <c r="I66"/>
  <c r="J10"/>
  <c r="W10" s="1"/>
  <c r="H10"/>
  <c r="AA10"/>
  <c r="AC11"/>
  <c r="AB14"/>
  <c r="W43" i="21"/>
  <c r="W36"/>
  <c r="W41"/>
  <c r="AB39"/>
  <c r="AA43"/>
  <c r="S39"/>
  <c r="AA38"/>
  <c r="AA36"/>
  <c r="AC40"/>
  <c r="J15"/>
  <c r="F77"/>
  <c r="G77" s="1"/>
  <c r="F23"/>
  <c r="E85"/>
  <c r="AC11"/>
  <c r="AA14"/>
  <c r="AB8"/>
  <c r="S8"/>
  <c r="M3" i="43"/>
  <c r="N10"/>
  <c r="M1"/>
  <c r="M8"/>
  <c r="N8"/>
  <c r="N9"/>
  <c r="D120" i="9"/>
  <c r="C18"/>
  <c r="D18" s="1"/>
  <c r="F34" i="67"/>
  <c r="F62" s="1"/>
  <c r="M20"/>
  <c r="F34" i="15"/>
  <c r="F62" s="1"/>
  <c r="G13" i="3"/>
  <c r="G5" s="1"/>
  <c r="B3" s="1"/>
  <c r="E268" s="1"/>
  <c r="BA13"/>
  <c r="AZ13" s="1"/>
  <c r="E10" i="6"/>
  <c r="BA5" i="3"/>
  <c r="E11" i="6"/>
  <c r="E61" i="39" s="1"/>
  <c r="BL17" i="3"/>
  <c r="AZ17" s="1"/>
  <c r="BL13"/>
  <c r="G30" i="6"/>
  <c r="G31" s="1"/>
  <c r="A24" i="51"/>
  <c r="B18" i="72" s="1"/>
  <c r="U29" i="34"/>
  <c r="E14" i="6"/>
  <c r="E64" i="39" s="1"/>
  <c r="E5" i="6"/>
  <c r="D9" i="69" s="1"/>
  <c r="C9" s="1"/>
  <c r="P10" i="1"/>
  <c r="E32" i="6"/>
  <c r="L19"/>
  <c r="G1" i="68"/>
  <c r="K1" i="12"/>
  <c r="F30" i="6"/>
  <c r="E28"/>
  <c r="AR12" i="1"/>
  <c r="T10"/>
  <c r="E19" i="69"/>
  <c r="E19" i="68"/>
  <c r="E19" i="11"/>
  <c r="G41" i="69"/>
  <c r="G22"/>
  <c r="G27" i="12"/>
  <c r="G26"/>
  <c r="G25"/>
  <c r="C100" i="43"/>
  <c r="E48"/>
  <c r="B46" s="1"/>
  <c r="E70"/>
  <c r="B68" s="1"/>
  <c r="F100"/>
  <c r="H17"/>
  <c r="H53"/>
  <c r="H54"/>
  <c r="H78"/>
  <c r="H70"/>
  <c r="H71"/>
  <c r="C17"/>
  <c r="F33"/>
  <c r="G17"/>
  <c r="F34"/>
  <c r="M7"/>
  <c r="N6"/>
  <c r="M2"/>
  <c r="C6"/>
  <c r="M10"/>
  <c r="N3"/>
  <c r="F81" s="1"/>
  <c r="N11"/>
  <c r="F38"/>
  <c r="F37"/>
  <c r="M9"/>
  <c r="N12"/>
  <c r="N5"/>
  <c r="M5"/>
  <c r="M12"/>
  <c r="M4"/>
  <c r="B19" i="53"/>
  <c r="B37" i="72" s="1"/>
  <c r="C7" i="39"/>
  <c r="C68" s="1"/>
  <c r="C7" i="35"/>
  <c r="C48" s="1"/>
  <c r="D48" s="1"/>
  <c r="E48" s="1"/>
  <c r="F48" s="1"/>
  <c r="G48" s="1"/>
  <c r="H48" s="1"/>
  <c r="C7" i="33"/>
  <c r="C58"/>
  <c r="D58" s="1"/>
  <c r="E58" s="1"/>
  <c r="C7" i="21"/>
  <c r="C7" i="40"/>
  <c r="C63" s="1"/>
  <c r="D63" s="1"/>
  <c r="M47" i="9"/>
  <c r="G19" i="43"/>
  <c r="O19" s="1"/>
  <c r="C46" i="36"/>
  <c r="D46" s="1"/>
  <c r="E46" s="1"/>
  <c r="F46" s="1"/>
  <c r="G46" s="1"/>
  <c r="C59" i="34"/>
  <c r="D59" s="1"/>
  <c r="E59" s="1"/>
  <c r="F59" s="1"/>
  <c r="G59" s="1"/>
  <c r="H59" s="1"/>
  <c r="I59" s="1"/>
  <c r="C52" i="37"/>
  <c r="D52" s="1"/>
  <c r="A4" i="51"/>
  <c r="B6" i="72" s="1"/>
  <c r="C58" i="21"/>
  <c r="D58" s="1"/>
  <c r="E58" s="1"/>
  <c r="F58" s="1"/>
  <c r="G58" s="1"/>
  <c r="H58" s="1"/>
  <c r="C94" i="9"/>
  <c r="C4" i="12"/>
  <c r="C92" i="9"/>
  <c r="H62" i="43"/>
  <c r="H66"/>
  <c r="H61"/>
  <c r="H65"/>
  <c r="H60"/>
  <c r="H64"/>
  <c r="H59"/>
  <c r="H63"/>
  <c r="H67"/>
  <c r="H55"/>
  <c r="H51"/>
  <c r="H56"/>
  <c r="H76"/>
  <c r="H72"/>
  <c r="H77"/>
  <c r="L20" i="6"/>
  <c r="B6" i="1"/>
  <c r="E6" s="1"/>
  <c r="S8"/>
  <c r="AQ8" s="1"/>
  <c r="K11"/>
  <c r="M11" s="1"/>
  <c r="O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c r="L101" s="1"/>
  <c r="M101" s="1"/>
  <c r="F33"/>
  <c r="J33"/>
  <c r="H33"/>
  <c r="AB33"/>
  <c r="F37"/>
  <c r="AA37"/>
  <c r="AA26"/>
  <c r="AB14"/>
  <c r="AB46"/>
  <c r="U40"/>
  <c r="AB31"/>
  <c r="U31"/>
  <c r="U13"/>
  <c r="W8"/>
  <c r="S35"/>
  <c r="AB37"/>
  <c r="J37"/>
  <c r="W37"/>
  <c r="H15"/>
  <c r="U15"/>
  <c r="J17"/>
  <c r="AC17"/>
  <c r="AC19"/>
  <c r="W39"/>
  <c r="AC14"/>
  <c r="W30"/>
  <c r="S46"/>
  <c r="H45"/>
  <c r="U45" s="1"/>
  <c r="F29"/>
  <c r="S29" s="1"/>
  <c r="F13"/>
  <c r="AC38"/>
  <c r="H32"/>
  <c r="H9"/>
  <c r="J9"/>
  <c r="J32"/>
  <c r="F32"/>
  <c r="AA31"/>
  <c r="U17"/>
  <c r="W29"/>
  <c r="S19"/>
  <c r="S9"/>
  <c r="AA9"/>
  <c r="K141"/>
  <c r="K144"/>
  <c r="K143"/>
  <c r="U27"/>
  <c r="AB25"/>
  <c r="AB44"/>
  <c r="AA30"/>
  <c r="W13"/>
  <c r="W42"/>
  <c r="AC45"/>
  <c r="F10"/>
  <c r="K145"/>
  <c r="W17"/>
  <c r="W25"/>
  <c r="AA29"/>
  <c r="W31"/>
  <c r="S27"/>
  <c r="S17"/>
  <c r="AA15"/>
  <c r="AC26"/>
  <c r="AB29"/>
  <c r="S28"/>
  <c r="AC34"/>
  <c r="W10"/>
  <c r="W12"/>
  <c r="AB36"/>
  <c r="W30" i="40"/>
  <c r="C19" i="39"/>
  <c r="C15" i="40"/>
  <c r="C17"/>
  <c r="C23"/>
  <c r="C21"/>
  <c r="U30"/>
  <c r="B54" i="43"/>
  <c r="B65"/>
  <c r="B49"/>
  <c r="B52"/>
  <c r="B56"/>
  <c r="B60"/>
  <c r="B63"/>
  <c r="B67"/>
  <c r="J53" i="67"/>
  <c r="F1" s="1"/>
  <c r="M6" i="1"/>
  <c r="O6" s="1"/>
  <c r="F30" i="68"/>
  <c r="C30" s="1"/>
  <c r="F30" i="11"/>
  <c r="C48" s="1"/>
  <c r="F28" i="67"/>
  <c r="C28" s="1"/>
  <c r="F31" i="12"/>
  <c r="F32" i="67"/>
  <c r="F60" s="1"/>
  <c r="F30" i="69"/>
  <c r="F32" i="15"/>
  <c r="F60" s="1"/>
  <c r="M18"/>
  <c r="E59" i="40"/>
  <c r="E30" i="6"/>
  <c r="K15" i="1"/>
  <c r="T13"/>
  <c r="E217" i="3"/>
  <c r="AJ6"/>
  <c r="C77" i="9"/>
  <c r="C74" s="1"/>
  <c r="S7" i="1"/>
  <c r="AQ7" s="1"/>
  <c r="E7" i="70"/>
  <c r="C24" i="12"/>
  <c r="AA39" i="40"/>
  <c r="S39"/>
  <c r="AA12" i="33"/>
  <c r="D68" i="9"/>
  <c r="J32" i="39"/>
  <c r="I107"/>
  <c r="J107" s="1"/>
  <c r="K107"/>
  <c r="L107" s="1"/>
  <c r="M107" s="1"/>
  <c r="H32"/>
  <c r="AA32"/>
  <c r="S32"/>
  <c r="AB21"/>
  <c r="U21"/>
  <c r="AA21"/>
  <c r="S21"/>
  <c r="AC21"/>
  <c r="S26" i="35"/>
  <c r="U9"/>
  <c r="AB9"/>
  <c r="S9"/>
  <c r="W26"/>
  <c r="AB26"/>
  <c r="U26"/>
  <c r="AC17" i="37"/>
  <c r="S17"/>
  <c r="J19"/>
  <c r="G75"/>
  <c r="AA19"/>
  <c r="J23"/>
  <c r="G79"/>
  <c r="J10"/>
  <c r="G63"/>
  <c r="H11"/>
  <c r="AB10"/>
  <c r="U10"/>
  <c r="G70" i="34"/>
  <c r="H11"/>
  <c r="AB10"/>
  <c r="U10"/>
  <c r="J10"/>
  <c r="AB41" i="33"/>
  <c r="W35"/>
  <c r="H111"/>
  <c r="I111" s="1"/>
  <c r="J111" s="1"/>
  <c r="K111" s="1"/>
  <c r="L111" s="1"/>
  <c r="M111" s="1"/>
  <c r="J36"/>
  <c r="H36"/>
  <c r="S36"/>
  <c r="AA36"/>
  <c r="AC32"/>
  <c r="U27"/>
  <c r="AB27"/>
  <c r="G91"/>
  <c r="H91" s="1"/>
  <c r="I91" s="1"/>
  <c r="J91" s="1"/>
  <c r="K91" s="1"/>
  <c r="L91" s="1"/>
  <c r="M91" s="1"/>
  <c r="J27"/>
  <c r="U25"/>
  <c r="AB25"/>
  <c r="S25"/>
  <c r="G87"/>
  <c r="H87" s="1"/>
  <c r="I87" s="1"/>
  <c r="J87" s="1"/>
  <c r="K87" s="1"/>
  <c r="L87" s="1"/>
  <c r="M87" s="1"/>
  <c r="J25"/>
  <c r="AB23"/>
  <c r="U23"/>
  <c r="F23"/>
  <c r="AC23"/>
  <c r="W23"/>
  <c r="AA19"/>
  <c r="H19"/>
  <c r="G81"/>
  <c r="H17"/>
  <c r="F17"/>
  <c r="W17"/>
  <c r="U10"/>
  <c r="AB10"/>
  <c r="AC10"/>
  <c r="AC37" i="21"/>
  <c r="U33"/>
  <c r="S37"/>
  <c r="AB15"/>
  <c r="J23"/>
  <c r="F85"/>
  <c r="G85" s="1"/>
  <c r="H23"/>
  <c r="D6" i="52"/>
  <c r="D121" i="9"/>
  <c r="D7" i="52"/>
  <c r="K120" i="9"/>
  <c r="A18" i="62" s="1"/>
  <c r="B64" i="72" s="1"/>
  <c r="E509" i="3"/>
  <c r="E280"/>
  <c r="K14" i="1"/>
  <c r="M14" s="1"/>
  <c r="O14" s="1"/>
  <c r="P14" s="1"/>
  <c r="BL5" i="3"/>
  <c r="E270"/>
  <c r="E533"/>
  <c r="AR6"/>
  <c r="E561"/>
  <c r="E538"/>
  <c r="E439"/>
  <c r="E380"/>
  <c r="E231"/>
  <c r="E216"/>
  <c r="E185"/>
  <c r="E135"/>
  <c r="E161"/>
  <c r="E120"/>
  <c r="E277"/>
  <c r="E177"/>
  <c r="E133"/>
  <c r="E330"/>
  <c r="E525"/>
  <c r="E493"/>
  <c r="E534"/>
  <c r="E564"/>
  <c r="T6"/>
  <c r="E543"/>
  <c r="E405"/>
  <c r="E427"/>
  <c r="E456"/>
  <c r="E486"/>
  <c r="E469"/>
  <c r="E507"/>
  <c r="E512"/>
  <c r="E422"/>
  <c r="E408"/>
  <c r="E440"/>
  <c r="E451"/>
  <c r="E490"/>
  <c r="E360"/>
  <c r="E376"/>
  <c r="E556"/>
  <c r="E587"/>
  <c r="AH6"/>
  <c r="W6"/>
  <c r="E497"/>
  <c r="AE6"/>
  <c r="J6"/>
  <c r="E571"/>
  <c r="E13"/>
  <c r="E577"/>
  <c r="E498"/>
  <c r="E537"/>
  <c r="E494"/>
  <c r="E429"/>
  <c r="E419"/>
  <c r="E450"/>
  <c r="E452"/>
  <c r="E468"/>
  <c r="E483"/>
  <c r="E471"/>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T8"/>
  <c r="R22" i="31"/>
  <c r="B21" s="1"/>
  <c r="E52" i="37"/>
  <c r="C65" i="40"/>
  <c r="L27" i="6"/>
  <c r="AP7" i="1"/>
  <c r="M7"/>
  <c r="O7" s="1"/>
  <c r="AB45" i="21"/>
  <c r="AC33"/>
  <c r="W33"/>
  <c r="S33"/>
  <c r="AA33"/>
  <c r="W32"/>
  <c r="AC32"/>
  <c r="AB9"/>
  <c r="U9"/>
  <c r="AA32"/>
  <c r="S32"/>
  <c r="W9"/>
  <c r="AC9"/>
  <c r="AB32"/>
  <c r="U32"/>
  <c r="AA10"/>
  <c r="S10"/>
  <c r="C30" i="11"/>
  <c r="U32" i="39"/>
  <c r="AB32"/>
  <c r="AC32"/>
  <c r="W32"/>
  <c r="W19" i="37"/>
  <c r="AC19"/>
  <c r="W23"/>
  <c r="AC23"/>
  <c r="AB11"/>
  <c r="U11"/>
  <c r="H63"/>
  <c r="I63"/>
  <c r="J63" s="1"/>
  <c r="K63"/>
  <c r="L63" s="1"/>
  <c r="M63" s="1"/>
  <c r="J11"/>
  <c r="W10"/>
  <c r="AC10"/>
  <c r="U11" i="34"/>
  <c r="AB11"/>
  <c r="AC10"/>
  <c r="W10"/>
  <c r="H70"/>
  <c r="I70" s="1"/>
  <c r="J70"/>
  <c r="K70" s="1"/>
  <c r="L70" s="1"/>
  <c r="M70" s="1"/>
  <c r="J11"/>
  <c r="AC36" i="33"/>
  <c r="W36"/>
  <c r="U36"/>
  <c r="AB36"/>
  <c r="W27"/>
  <c r="AC27"/>
  <c r="W25"/>
  <c r="AC25"/>
  <c r="AA23"/>
  <c r="S23"/>
  <c r="AB19"/>
  <c r="U19"/>
  <c r="AA17"/>
  <c r="S17"/>
  <c r="U17"/>
  <c r="AB17"/>
  <c r="U23" i="21"/>
  <c r="AB23"/>
  <c r="AC23"/>
  <c r="W23"/>
  <c r="AC11" i="37"/>
  <c r="W11"/>
  <c r="W11" i="34"/>
  <c r="AC11"/>
  <c r="R7" i="1"/>
  <c r="C13" i="12"/>
  <c r="F34" i="11"/>
  <c r="F11" i="12"/>
  <c r="F34" i="68"/>
  <c r="R8" i="1"/>
  <c r="AE7"/>
  <c r="AE8"/>
  <c r="AG6"/>
  <c r="H109" i="9"/>
  <c r="D16" i="53" s="1"/>
  <c r="H110" i="9"/>
  <c r="D18" i="53" s="1"/>
  <c r="B35" i="72" s="1"/>
  <c r="D124" i="9"/>
  <c r="H14" i="74" s="1"/>
  <c r="B7" s="1"/>
  <c r="H112" i="9"/>
  <c r="D21" i="53" s="1"/>
  <c r="B39" i="72" s="1"/>
  <c r="H111" i="9"/>
  <c r="D126"/>
  <c r="D19" i="53"/>
  <c r="D59" i="9"/>
  <c r="M55" s="1"/>
  <c r="B38" i="72"/>
  <c r="D20" i="53"/>
  <c r="B40" i="72" s="1"/>
  <c r="AD3" i="71"/>
  <c r="F31" i="67"/>
  <c r="F31" i="15"/>
  <c r="F41" i="67"/>
  <c r="E12" i="76"/>
  <c r="M8" i="67"/>
  <c r="F6" i="15"/>
  <c r="J15" i="67"/>
  <c r="M28" i="15"/>
  <c r="F26" i="67"/>
  <c r="F8" i="15"/>
  <c r="F43"/>
  <c r="M9" i="67"/>
  <c r="C76"/>
  <c r="M23" i="15"/>
  <c r="F36"/>
  <c r="E11" i="76"/>
  <c r="E9"/>
  <c r="B13"/>
  <c r="E10"/>
  <c r="D2" i="35"/>
  <c r="F13" i="15"/>
  <c r="M27"/>
  <c r="AO7" i="1"/>
  <c r="C76" i="15"/>
  <c r="AO11" i="1"/>
  <c r="M21" i="67"/>
  <c r="D2" i="21"/>
  <c r="D2" i="33"/>
  <c r="B8" i="76"/>
  <c r="M6" i="15"/>
  <c r="M29"/>
  <c r="F38" i="67"/>
  <c r="F9"/>
  <c r="M28"/>
  <c r="F40"/>
  <c r="L48"/>
  <c r="M24"/>
  <c r="AO8" i="1"/>
  <c r="F43" i="67"/>
  <c r="L47"/>
  <c r="AO12" i="1"/>
  <c r="AO13"/>
  <c r="F7" i="15"/>
  <c r="E13" i="76"/>
  <c r="M26" i="67"/>
  <c r="F13"/>
  <c r="M9" i="15"/>
  <c r="M6" i="67"/>
  <c r="M22"/>
  <c r="F42" i="15"/>
  <c r="B9" i="76"/>
  <c r="AO10" i="1"/>
  <c r="E7" i="76"/>
  <c r="F9" i="15"/>
  <c r="E2" i="69"/>
  <c r="D2" i="34"/>
  <c r="E2" i="68"/>
  <c r="L47" i="15"/>
  <c r="F37"/>
  <c r="D2" i="37"/>
  <c r="M23" i="67"/>
  <c r="F26" i="15"/>
  <c r="B12" i="76"/>
  <c r="L48" i="15"/>
  <c r="D2" i="36"/>
  <c r="F38" i="15"/>
  <c r="F8" i="67"/>
  <c r="J15" i="15"/>
  <c r="F16"/>
  <c r="F7" i="67"/>
  <c r="F36"/>
  <c r="F37"/>
  <c r="F42"/>
  <c r="F16"/>
  <c r="F6"/>
  <c r="M29"/>
  <c r="AO9" i="1"/>
  <c r="M8" i="15"/>
  <c r="E8" i="76"/>
  <c r="F20" i="31"/>
  <c r="B10" i="76"/>
  <c r="M27" i="67"/>
  <c r="F35"/>
  <c r="B7" i="76"/>
  <c r="F40" i="15"/>
  <c r="M26"/>
  <c r="M24"/>
  <c r="M22"/>
  <c r="B11" i="76"/>
  <c r="D23" i="15" l="1"/>
  <c r="G41" i="11"/>
  <c r="G41" i="68"/>
  <c r="D22" i="15"/>
  <c r="G22" i="11"/>
  <c r="G22" i="68"/>
  <c r="C23" i="12"/>
  <c r="T7" i="1"/>
  <c r="Q16"/>
  <c r="T12"/>
  <c r="AR7"/>
  <c r="E489" i="3"/>
  <c r="E491"/>
  <c r="E476"/>
  <c r="E460"/>
  <c r="E444"/>
  <c r="E435"/>
  <c r="E403"/>
  <c r="E413"/>
  <c r="E531"/>
  <c r="E517"/>
  <c r="AS6"/>
  <c r="E582"/>
  <c r="E581"/>
  <c r="E554"/>
  <c r="E547"/>
  <c r="E500"/>
  <c r="E557"/>
  <c r="AP6"/>
  <c r="E505"/>
  <c r="E566"/>
  <c r="E562"/>
  <c r="E344"/>
  <c r="E288"/>
  <c r="E465"/>
  <c r="E457"/>
  <c r="E424"/>
  <c r="E438"/>
  <c r="E406"/>
  <c r="E527"/>
  <c r="E481"/>
  <c r="E474"/>
  <c r="E472"/>
  <c r="E458"/>
  <c r="E437"/>
  <c r="E529"/>
  <c r="E560"/>
  <c r="E573"/>
  <c r="Q6"/>
  <c r="E532"/>
  <c r="K6"/>
  <c r="E519"/>
  <c r="E313"/>
  <c r="E193"/>
  <c r="E224"/>
  <c r="E45"/>
  <c r="E117"/>
  <c r="E290"/>
  <c r="E61"/>
  <c r="E169"/>
  <c r="E298"/>
  <c r="E321"/>
  <c r="E338"/>
  <c r="E418"/>
  <c r="E506"/>
  <c r="E523"/>
  <c r="S6"/>
  <c r="E390"/>
  <c r="E124"/>
  <c r="E399"/>
  <c r="E526"/>
  <c r="E322"/>
  <c r="E579"/>
  <c r="E336"/>
  <c r="E246"/>
  <c r="E293"/>
  <c r="E311"/>
  <c r="E358"/>
  <c r="E514"/>
  <c r="E559"/>
  <c r="E570"/>
  <c r="E551"/>
  <c r="M6"/>
  <c r="V6"/>
  <c r="AB6"/>
  <c r="E407"/>
  <c r="E387"/>
  <c r="E320"/>
  <c r="E335"/>
  <c r="E294"/>
  <c r="E215"/>
  <c r="E230"/>
  <c r="E189"/>
  <c r="E130"/>
  <c r="E134"/>
  <c r="E254"/>
  <c r="E91"/>
  <c r="E221"/>
  <c r="E180"/>
  <c r="E140"/>
  <c r="E85"/>
  <c r="E223"/>
  <c r="E238"/>
  <c r="E197"/>
  <c r="E116"/>
  <c r="E173"/>
  <c r="E105"/>
  <c r="E369"/>
  <c r="E393"/>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13" i="6"/>
  <c r="E15"/>
  <c r="E63" i="40"/>
  <c r="D65"/>
  <c r="C36" i="68"/>
  <c r="C36" i="11"/>
  <c r="C48" i="69"/>
  <c r="C31" i="12"/>
  <c r="E53" i="3"/>
  <c r="E125"/>
  <c r="E366"/>
  <c r="E553"/>
  <c r="E282"/>
  <c r="N6"/>
  <c r="E239"/>
  <c r="E516"/>
  <c r="E569"/>
  <c r="E461"/>
  <c r="E352"/>
  <c r="E227"/>
  <c r="E205"/>
  <c r="E165"/>
  <c r="E128"/>
  <c r="E397"/>
  <c r="E353"/>
  <c r="E314"/>
  <c r="E385"/>
  <c r="E568"/>
  <c r="E495"/>
  <c r="E511"/>
  <c r="E518"/>
  <c r="I6"/>
  <c r="AN6"/>
  <c r="E16"/>
  <c r="AI6"/>
  <c r="E536"/>
  <c r="E586"/>
  <c r="AK6"/>
  <c r="E578"/>
  <c r="E549"/>
  <c r="E402"/>
  <c r="E434"/>
  <c r="E423"/>
  <c r="E453"/>
  <c r="E350"/>
  <c r="E306"/>
  <c r="E382"/>
  <c r="E368"/>
  <c r="E303"/>
  <c r="E296"/>
  <c r="E263"/>
  <c r="E244"/>
  <c r="E301"/>
  <c r="E262"/>
  <c r="E245"/>
  <c r="E196"/>
  <c r="E159"/>
  <c r="E136"/>
  <c r="E191"/>
  <c r="E156"/>
  <c r="E99"/>
  <c r="E236"/>
  <c r="E188"/>
  <c r="E148"/>
  <c r="E228"/>
  <c r="E269"/>
  <c r="E181"/>
  <c r="E122"/>
  <c r="E157"/>
  <c r="E89"/>
  <c r="E149"/>
  <c r="E207"/>
  <c r="E77"/>
  <c r="E252"/>
  <c r="E212"/>
  <c r="E271"/>
  <c r="E253"/>
  <c r="E204"/>
  <c r="E167"/>
  <c r="E145"/>
  <c r="E199"/>
  <c r="E164"/>
  <c r="E141"/>
  <c r="E107"/>
  <c r="E286"/>
  <c r="E327"/>
  <c r="E312"/>
  <c r="E379"/>
  <c r="E575"/>
  <c r="T9" i="1"/>
  <c r="AQ9"/>
  <c r="AQ13"/>
  <c r="AR10"/>
  <c r="D88" i="43"/>
  <c r="D86"/>
  <c r="D84"/>
  <c r="D82"/>
  <c r="E81" s="1"/>
  <c r="B79" s="1"/>
  <c r="C24" s="1"/>
  <c r="N83"/>
  <c r="J85"/>
  <c r="N81"/>
  <c r="E10"/>
  <c r="E8"/>
  <c r="E11"/>
  <c r="E9"/>
  <c r="H50"/>
  <c r="Q52" i="67"/>
  <c r="P7" i="1"/>
  <c r="H16"/>
  <c r="C36" i="69"/>
  <c r="F27"/>
  <c r="C47" s="1"/>
  <c r="D45" s="1"/>
  <c r="F28" i="12"/>
  <c r="C29" s="1"/>
  <c r="D28" s="1"/>
  <c r="C34" i="69"/>
  <c r="C35" s="1"/>
  <c r="F27" i="6"/>
  <c r="E27" s="1"/>
  <c r="E56" i="39"/>
  <c r="E51" i="40"/>
  <c r="F27" i="11"/>
  <c r="C47" s="1"/>
  <c r="D45" s="1"/>
  <c r="E151" i="3"/>
  <c r="E97"/>
  <c r="E201"/>
  <c r="E143"/>
  <c r="E229"/>
  <c r="E285"/>
  <c r="E247"/>
  <c r="E337"/>
  <c r="E396"/>
  <c r="E359"/>
  <c r="E431"/>
  <c r="E410"/>
  <c r="E574"/>
  <c r="E555"/>
  <c r="O6"/>
  <c r="E388"/>
  <c r="E328"/>
  <c r="E508"/>
  <c r="E426"/>
  <c r="E305"/>
  <c r="E153"/>
  <c r="E343"/>
  <c r="E501"/>
  <c r="E530"/>
  <c r="E319"/>
  <c r="E175"/>
  <c r="D19" i="12"/>
  <c r="C19" s="1"/>
  <c r="E56" i="40"/>
  <c r="E12" i="6"/>
  <c r="E16" s="1"/>
  <c r="F63" i="40"/>
  <c r="E65"/>
  <c r="F58" i="33"/>
  <c r="G58" s="1"/>
  <c r="H58" s="1"/>
  <c r="I58" s="1"/>
  <c r="J58" s="1"/>
  <c r="K58" s="1"/>
  <c r="L58" s="1"/>
  <c r="M58" s="1"/>
  <c r="N58" s="1"/>
  <c r="O58" s="1"/>
  <c r="F7" s="1"/>
  <c r="H7"/>
  <c r="A15" i="62"/>
  <c r="B61" i="72" s="1"/>
  <c r="J56" i="9"/>
  <c r="J57" s="1"/>
  <c r="J59" s="1"/>
  <c r="J61" s="1"/>
  <c r="K56"/>
  <c r="N56"/>
  <c r="E11" i="49"/>
  <c r="E6"/>
  <c r="B34" i="72"/>
  <c r="D17" i="53"/>
  <c r="B36" i="72" s="1"/>
  <c r="D125" i="9"/>
  <c r="D11" i="52" s="1"/>
  <c r="D10"/>
  <c r="E10" i="49"/>
  <c r="B13" i="53"/>
  <c r="B29" i="72" s="1"/>
  <c r="B4" i="49"/>
  <c r="E16"/>
  <c r="B16"/>
  <c r="B8"/>
  <c r="E5"/>
  <c r="E8"/>
  <c r="B9"/>
  <c r="E7"/>
  <c r="B10"/>
  <c r="E4"/>
  <c r="B6"/>
  <c r="E9"/>
  <c r="E21"/>
  <c r="B11"/>
  <c r="B13"/>
  <c r="E4" i="4" s="1"/>
  <c r="B5" i="62" s="1"/>
  <c r="B73" i="72" s="1"/>
  <c r="B5" i="49"/>
  <c r="E22"/>
  <c r="B14"/>
  <c r="B7"/>
  <c r="C4" i="4" s="1"/>
  <c r="B4" i="62" s="1"/>
  <c r="B71" i="72" s="1"/>
  <c r="B22" i="49"/>
  <c r="P61" i="15"/>
  <c r="J53"/>
  <c r="K16" i="1"/>
  <c r="P6"/>
  <c r="O8"/>
  <c r="P8" s="1"/>
  <c r="M16"/>
  <c r="L16" s="1"/>
  <c r="F27" i="68"/>
  <c r="C47" s="1"/>
  <c r="D45" s="1"/>
  <c r="G16" i="1"/>
  <c r="J10" i="39" s="1"/>
  <c r="C48" i="68"/>
  <c r="H83" i="43"/>
  <c r="H86"/>
  <c r="H87"/>
  <c r="H81"/>
  <c r="H88"/>
  <c r="H82"/>
  <c r="H85"/>
  <c r="H84"/>
  <c r="H74"/>
  <c r="B20" i="31"/>
  <c r="B7" i="70"/>
  <c r="J20" i="67"/>
  <c r="F69"/>
  <c r="B8" i="70"/>
  <c r="F63" i="67"/>
  <c r="C62" s="1"/>
  <c r="C34"/>
  <c r="F68"/>
  <c r="F66"/>
  <c r="N59"/>
  <c r="M59"/>
  <c r="L58"/>
  <c r="L59"/>
  <c r="F68" i="15"/>
  <c r="L58"/>
  <c r="N59"/>
  <c r="M59"/>
  <c r="L59"/>
  <c r="F65"/>
  <c r="C6"/>
  <c r="Q71" i="67"/>
  <c r="C27" i="15"/>
  <c r="F51"/>
  <c r="F64"/>
  <c r="I54" i="67"/>
  <c r="J57"/>
  <c r="J55" s="1"/>
  <c r="J58" s="1"/>
  <c r="Q50" s="1"/>
  <c r="L56"/>
  <c r="C27"/>
  <c r="F70"/>
  <c r="F71" i="15"/>
  <c r="F64" i="67"/>
  <c r="F65"/>
  <c r="I54" i="15"/>
  <c r="L56"/>
  <c r="J57"/>
  <c r="J55" s="1"/>
  <c r="J58" s="1"/>
  <c r="Q50" s="1"/>
  <c r="Q71"/>
  <c r="F71" i="67"/>
  <c r="M7"/>
  <c r="J6" s="1"/>
  <c r="F50"/>
  <c r="F66" i="15"/>
  <c r="F51" i="67"/>
  <c r="C6"/>
  <c r="M7" i="15"/>
  <c r="J6" s="1"/>
  <c r="F50"/>
  <c r="B10" i="70"/>
  <c r="B11"/>
  <c r="B12"/>
  <c r="B13"/>
  <c r="B9"/>
  <c r="P21" i="43"/>
  <c r="P23"/>
  <c r="B71" i="39" s="1"/>
  <c r="P24" i="43"/>
  <c r="B66" i="40" s="1"/>
  <c r="P25" i="43"/>
  <c r="I58" i="21"/>
  <c r="J58" s="1"/>
  <c r="K58" s="1"/>
  <c r="L58" s="1"/>
  <c r="M58" s="1"/>
  <c r="N58" s="1"/>
  <c r="O58" s="1"/>
  <c r="H7"/>
  <c r="P22" i="43"/>
  <c r="I14" i="74"/>
  <c r="B8" s="1"/>
  <c r="D127" i="9"/>
  <c r="D13" i="52" s="1"/>
  <c r="D12"/>
  <c r="J59" i="34"/>
  <c r="I48" i="35"/>
  <c r="J48" s="1"/>
  <c r="K48" s="1"/>
  <c r="L48" s="1"/>
  <c r="M48" s="1"/>
  <c r="N48" s="1"/>
  <c r="O48" s="1"/>
  <c r="H7"/>
  <c r="H46" i="36"/>
  <c r="F52" i="37"/>
  <c r="C70" i="39"/>
  <c r="D68"/>
  <c r="C16" i="43"/>
  <c r="C5" s="1"/>
  <c r="S23" i="21"/>
  <c r="AA23"/>
  <c r="W15"/>
  <c r="AC15"/>
  <c r="S11" i="37"/>
  <c r="AA11"/>
  <c r="F53" i="9"/>
  <c r="F52"/>
  <c r="M18" i="67"/>
  <c r="F28" i="15"/>
  <c r="C28" s="1"/>
  <c r="F54" i="9"/>
  <c r="F31" i="6"/>
  <c r="D9" i="53"/>
  <c r="B25" i="72" s="1"/>
  <c r="B24"/>
  <c r="AC27" i="21"/>
  <c r="W27"/>
  <c r="AA13"/>
  <c r="S13"/>
  <c r="P11" i="1"/>
  <c r="D9" i="11"/>
  <c r="C9" s="1"/>
  <c r="D9" i="68"/>
  <c r="E69" i="3"/>
  <c r="E237"/>
  <c r="E114"/>
  <c r="E261"/>
  <c r="E278"/>
  <c r="E304"/>
  <c r="E415"/>
  <c r="E528"/>
  <c r="E563"/>
  <c r="E565"/>
  <c r="E395"/>
  <c r="E183"/>
  <c r="E172"/>
  <c r="E213"/>
  <c r="E260"/>
  <c r="E361"/>
  <c r="E445"/>
  <c r="E17"/>
  <c r="E550"/>
  <c r="E503"/>
  <c r="E535"/>
  <c r="E302"/>
  <c r="E329"/>
  <c r="E347"/>
  <c r="E539"/>
  <c r="E583"/>
  <c r="E545"/>
  <c r="AA6"/>
  <c r="E567"/>
  <c r="X6"/>
  <c r="E510"/>
  <c r="S23" i="37"/>
  <c r="AA23"/>
  <c r="AQ11" i="1"/>
  <c r="T11"/>
  <c r="AR11"/>
  <c r="P12"/>
  <c r="AZ557" i="3"/>
  <c r="AA12" i="21"/>
  <c r="S12"/>
  <c r="AZ409" i="3"/>
  <c r="AZ425"/>
  <c r="AZ432"/>
  <c r="AZ464"/>
  <c r="AZ467"/>
  <c r="AZ474"/>
  <c r="AZ480"/>
  <c r="AZ482"/>
  <c r="AZ486"/>
  <c r="AZ488"/>
  <c r="AA25" i="21"/>
  <c r="W47" i="34"/>
  <c r="AB28" i="37"/>
  <c r="U35" i="35"/>
  <c r="W31" i="34"/>
  <c r="AB30" i="21"/>
  <c r="AA13" i="35"/>
  <c r="S41" i="33"/>
  <c r="AZ399" i="3"/>
  <c r="AZ404"/>
  <c r="AZ414"/>
  <c r="AZ421"/>
  <c r="AZ423"/>
  <c r="AZ427"/>
  <c r="AZ449"/>
  <c r="AZ453"/>
  <c r="AZ455"/>
  <c r="AZ460"/>
  <c r="AZ169"/>
  <c r="AZ22"/>
  <c r="AZ44"/>
  <c r="AZ48"/>
  <c r="J23" i="35"/>
  <c r="H12" i="36"/>
  <c r="H24"/>
  <c r="H38" i="40"/>
  <c r="J38"/>
  <c r="H39"/>
  <c r="AZ385" i="3"/>
  <c r="AZ210"/>
  <c r="AZ225"/>
  <c r="AZ239"/>
  <c r="AZ255"/>
  <c r="AZ270"/>
  <c r="AZ274"/>
  <c r="AZ277"/>
  <c r="AZ298"/>
  <c r="AZ301"/>
  <c r="AZ122"/>
  <c r="AZ125"/>
  <c r="AZ36"/>
  <c r="AZ64"/>
  <c r="AZ68"/>
  <c r="AZ98"/>
  <c r="AZ104"/>
  <c r="AZ108"/>
  <c r="D24" i="67"/>
  <c r="D23"/>
  <c r="T42" i="71"/>
  <c r="D42"/>
  <c r="T14"/>
  <c r="D14"/>
  <c r="D22" i="67"/>
  <c r="AB21" i="33"/>
  <c r="D48" i="71"/>
  <c r="O48"/>
  <c r="O47"/>
  <c r="E9"/>
  <c r="E8" s="1"/>
  <c r="V10"/>
  <c r="T34"/>
  <c r="D34"/>
  <c r="D21"/>
  <c r="C22"/>
  <c r="T18"/>
  <c r="D18"/>
  <c r="T10"/>
  <c r="C9"/>
  <c r="D10"/>
  <c r="U10" s="1"/>
  <c r="C37"/>
  <c r="D36"/>
  <c r="D49"/>
  <c r="AA9"/>
  <c r="AA7"/>
  <c r="X10"/>
  <c r="X9"/>
  <c r="AA18"/>
  <c r="AB15"/>
  <c r="Y15"/>
  <c r="Z15" s="1"/>
  <c r="X14"/>
  <c r="X19"/>
  <c r="AA11"/>
  <c r="Y6"/>
  <c r="Z6" s="1"/>
  <c r="AB6"/>
  <c r="AA5"/>
  <c r="X6"/>
  <c r="AB5"/>
  <c r="F49"/>
  <c r="J1" i="73"/>
  <c r="AA6" i="71"/>
  <c r="Y5"/>
  <c r="Z5" s="1"/>
  <c r="X5"/>
  <c r="F59" i="67"/>
  <c r="M17" i="15"/>
  <c r="M17" i="67"/>
  <c r="F59" i="15"/>
  <c r="C17" i="67"/>
  <c r="F4" i="73"/>
  <c r="F7"/>
  <c r="F6"/>
  <c r="F5"/>
  <c r="C16" i="15"/>
  <c r="F3" i="73"/>
  <c r="C16" i="67"/>
  <c r="C14"/>
  <c r="C34" i="68" l="1"/>
  <c r="C35" s="1"/>
  <c r="E60" i="40"/>
  <c r="E65" i="39"/>
  <c r="E58" i="40"/>
  <c r="E63" i="39"/>
  <c r="AC6" i="3"/>
  <c r="C7" i="43"/>
  <c r="G39"/>
  <c r="I39" s="1"/>
  <c r="C38" i="69"/>
  <c r="C29"/>
  <c r="D27" s="1"/>
  <c r="N16" i="1"/>
  <c r="F50" i="11" s="1"/>
  <c r="H10" i="40"/>
  <c r="AB10" s="1"/>
  <c r="C29" i="11"/>
  <c r="D27" s="1"/>
  <c r="E31" i="6"/>
  <c r="K21"/>
  <c r="M21" s="1"/>
  <c r="I21" s="1"/>
  <c r="S21" s="1"/>
  <c r="K22"/>
  <c r="M22" s="1"/>
  <c r="I22" s="1"/>
  <c r="S22" s="1"/>
  <c r="K25"/>
  <c r="M25" s="1"/>
  <c r="I25" s="1"/>
  <c r="S25" s="1"/>
  <c r="K23"/>
  <c r="M23" s="1"/>
  <c r="I23" s="1"/>
  <c r="S23" s="1"/>
  <c r="K24"/>
  <c r="M24" s="1"/>
  <c r="I24" s="1"/>
  <c r="S24" s="1"/>
  <c r="K26"/>
  <c r="M26" s="1"/>
  <c r="I26" s="1"/>
  <c r="S26" s="1"/>
  <c r="K19"/>
  <c r="S6" i="1" s="1"/>
  <c r="K20" i="6"/>
  <c r="M20" s="1"/>
  <c r="I20" s="1"/>
  <c r="S20" s="1"/>
  <c r="H6" i="3"/>
  <c r="E6" s="1"/>
  <c r="E57" i="40"/>
  <c r="E62" i="39"/>
  <c r="E66" s="1"/>
  <c r="S7" i="33"/>
  <c r="AA7"/>
  <c r="R48" s="1"/>
  <c r="F7" i="35"/>
  <c r="J7"/>
  <c r="F7" i="21"/>
  <c r="S7" s="1"/>
  <c r="J7"/>
  <c r="J7" i="33"/>
  <c r="AB7"/>
  <c r="T48" s="1"/>
  <c r="G48" s="1"/>
  <c r="G52" s="1"/>
  <c r="H52" s="1"/>
  <c r="U7"/>
  <c r="F65" i="40"/>
  <c r="G63"/>
  <c r="C29" i="68"/>
  <c r="D27" s="1"/>
  <c r="F10" i="40"/>
  <c r="AA10" s="1"/>
  <c r="C49" i="67"/>
  <c r="K4" i="4"/>
  <c r="B46" i="48" s="1"/>
  <c r="B4" i="72" s="1"/>
  <c r="Q52" i="15"/>
  <c r="F1"/>
  <c r="O16" i="1"/>
  <c r="F10" i="39"/>
  <c r="S10" s="1"/>
  <c r="H10"/>
  <c r="U10" s="1"/>
  <c r="J10" i="40"/>
  <c r="AC10" s="1"/>
  <c r="F50" i="69"/>
  <c r="C34" i="11"/>
  <c r="W10" i="40"/>
  <c r="W10" i="39"/>
  <c r="AC10"/>
  <c r="I1" i="73"/>
  <c r="B39" i="1" s="1"/>
  <c r="C15" i="67"/>
  <c r="C18"/>
  <c r="D37" i="71"/>
  <c r="C38"/>
  <c r="C8"/>
  <c r="D9"/>
  <c r="T22"/>
  <c r="D22"/>
  <c r="AC38" i="40"/>
  <c r="W38"/>
  <c r="AB24" i="36"/>
  <c r="U24"/>
  <c r="W23" i="35"/>
  <c r="AC23"/>
  <c r="C9" i="68"/>
  <c r="G52" i="37"/>
  <c r="H52" s="1"/>
  <c r="I52" s="1"/>
  <c r="J52" s="1"/>
  <c r="K52" s="1"/>
  <c r="L52" s="1"/>
  <c r="M52" s="1"/>
  <c r="N52" s="1"/>
  <c r="O52" s="1"/>
  <c r="AA7" i="35"/>
  <c r="R38" s="1"/>
  <c r="S7"/>
  <c r="AC7"/>
  <c r="V38" s="1"/>
  <c r="I38" s="1"/>
  <c r="W7"/>
  <c r="AA7" i="21"/>
  <c r="R48" s="1"/>
  <c r="AC7"/>
  <c r="V48" s="1"/>
  <c r="I48" s="1"/>
  <c r="W7"/>
  <c r="C49" i="15"/>
  <c r="Q73"/>
  <c r="Q60"/>
  <c r="Q74" i="67"/>
  <c r="Q61"/>
  <c r="F48" i="71"/>
  <c r="Q49"/>
  <c r="U39" i="40"/>
  <c r="AB39"/>
  <c r="AB38"/>
  <c r="U38"/>
  <c r="U12" i="36"/>
  <c r="AB12"/>
  <c r="AZ5" i="3"/>
  <c r="P16" i="1"/>
  <c r="C11" i="12" s="1"/>
  <c r="D70" i="39"/>
  <c r="E68"/>
  <c r="I46" i="36"/>
  <c r="U7" i="35"/>
  <c r="AB7"/>
  <c r="T38" s="1"/>
  <c r="G38" s="1"/>
  <c r="K59" i="34"/>
  <c r="U7" i="21"/>
  <c r="AB7"/>
  <c r="T48" s="1"/>
  <c r="G48" s="1"/>
  <c r="Q74" i="15"/>
  <c r="Q61"/>
  <c r="Q60" i="67"/>
  <c r="Q73"/>
  <c r="D3" i="73"/>
  <c r="C17" i="15"/>
  <c r="D7" i="73"/>
  <c r="D5"/>
  <c r="D6"/>
  <c r="AE6" i="1"/>
  <c r="D4" i="73"/>
  <c r="C38" i="68" l="1"/>
  <c r="AB10" i="39"/>
  <c r="F50" i="68"/>
  <c r="E6" i="70"/>
  <c r="E2" s="1"/>
  <c r="U10" i="40"/>
  <c r="AQ6" i="1"/>
  <c r="S16"/>
  <c r="T6"/>
  <c r="AR6"/>
  <c r="AA10" i="39"/>
  <c r="S10" i="40"/>
  <c r="M19" i="6"/>
  <c r="K27"/>
  <c r="H7" i="37"/>
  <c r="AB7" s="1"/>
  <c r="T42" s="1"/>
  <c r="G42" s="1"/>
  <c r="E48" i="33"/>
  <c r="R49"/>
  <c r="G65" i="40"/>
  <c r="H63"/>
  <c r="W7" i="33"/>
  <c r="AC7"/>
  <c r="V48" s="1"/>
  <c r="I48" s="1"/>
  <c r="C35" i="11"/>
  <c r="C38"/>
  <c r="C19" i="67"/>
  <c r="C20" s="1"/>
  <c r="C26" s="1"/>
  <c r="E20" i="43"/>
  <c r="K1" i="73"/>
  <c r="L59" i="34"/>
  <c r="M59" s="1"/>
  <c r="N59" s="1"/>
  <c r="O59" s="1"/>
  <c r="AY6" i="3"/>
  <c r="E3" i="6"/>
  <c r="Q48" i="71"/>
  <c r="Q47"/>
  <c r="I52" i="21"/>
  <c r="J52" s="1"/>
  <c r="I42" i="35"/>
  <c r="J42" s="1"/>
  <c r="I43"/>
  <c r="J43" s="1"/>
  <c r="E38"/>
  <c r="R39"/>
  <c r="D8" i="71"/>
  <c r="M20" i="43"/>
  <c r="C19" s="1"/>
  <c r="M11" i="15"/>
  <c r="J10" s="1"/>
  <c r="J5" s="1"/>
  <c r="F11" i="67"/>
  <c r="F11" i="15"/>
  <c r="M11" i="67"/>
  <c r="J10" s="1"/>
  <c r="J5" s="1"/>
  <c r="G52" i="21"/>
  <c r="H52" s="1"/>
  <c r="G53"/>
  <c r="H53" s="1"/>
  <c r="G42" i="35"/>
  <c r="H42" s="1"/>
  <c r="G43"/>
  <c r="H43" s="1"/>
  <c r="J46" i="36"/>
  <c r="F68" i="39"/>
  <c r="E70"/>
  <c r="C15" i="12"/>
  <c r="C12"/>
  <c r="R49" i="21"/>
  <c r="E48"/>
  <c r="J7" i="37"/>
  <c r="F7"/>
  <c r="T38" i="71"/>
  <c r="D38"/>
  <c r="F41" i="15"/>
  <c r="G1" i="73"/>
  <c r="C14" i="15"/>
  <c r="U7" i="37" l="1"/>
  <c r="C18" i="15"/>
  <c r="C15"/>
  <c r="T16" i="1"/>
  <c r="F69" i="15"/>
  <c r="I19" i="6"/>
  <c r="M27"/>
  <c r="F7" i="34"/>
  <c r="AA7" s="1"/>
  <c r="R49" s="1"/>
  <c r="E52" i="33"/>
  <c r="F52" s="1"/>
  <c r="E53"/>
  <c r="F53" s="1"/>
  <c r="I53"/>
  <c r="J53" s="1"/>
  <c r="G53"/>
  <c r="H53" s="1"/>
  <c r="I52"/>
  <c r="J52" s="1"/>
  <c r="H65" i="40"/>
  <c r="I63"/>
  <c r="C49" i="33"/>
  <c r="C48"/>
  <c r="B40" i="1"/>
  <c r="AA7" i="37"/>
  <c r="R42" s="1"/>
  <c r="S7"/>
  <c r="E52" i="21"/>
  <c r="F52" s="1"/>
  <c r="E53"/>
  <c r="F53" s="1"/>
  <c r="G68" i="39"/>
  <c r="F70"/>
  <c r="K46" i="36"/>
  <c r="L46" s="1"/>
  <c r="M46" s="1"/>
  <c r="N46" s="1"/>
  <c r="O46" s="1"/>
  <c r="H7"/>
  <c r="J7"/>
  <c r="J18" i="67"/>
  <c r="J24"/>
  <c r="J26"/>
  <c r="J29" s="1"/>
  <c r="C53"/>
  <c r="C48" s="1"/>
  <c r="C10"/>
  <c r="C5" s="1"/>
  <c r="C38" i="35"/>
  <c r="C39"/>
  <c r="B2" s="1"/>
  <c r="B3" s="1"/>
  <c r="D3" i="34"/>
  <c r="D3" i="33"/>
  <c r="B2" s="1"/>
  <c r="B3" s="1"/>
  <c r="E6" i="6"/>
  <c r="C17" i="4"/>
  <c r="B4" i="52" s="1"/>
  <c r="B43" i="72" s="1"/>
  <c r="L18" i="9"/>
  <c r="D3" i="37"/>
  <c r="D3" i="21"/>
  <c r="D37" i="11"/>
  <c r="C37" s="1"/>
  <c r="C33" s="1"/>
  <c r="D19"/>
  <c r="C19" s="1"/>
  <c r="D14" i="12"/>
  <c r="M18" i="9"/>
  <c r="B118" s="1"/>
  <c r="B14" i="74" s="1"/>
  <c r="B1" s="1"/>
  <c r="G46" i="37"/>
  <c r="H46" s="1"/>
  <c r="AC7"/>
  <c r="V42" s="1"/>
  <c r="I42" s="1"/>
  <c r="W7"/>
  <c r="C48" i="21"/>
  <c r="C49"/>
  <c r="F7" i="36"/>
  <c r="H7" i="34"/>
  <c r="C53" i="15"/>
  <c r="C48" s="1"/>
  <c r="C10"/>
  <c r="C5" s="1"/>
  <c r="J18"/>
  <c r="J24"/>
  <c r="J26"/>
  <c r="J29" s="1"/>
  <c r="E42" i="35"/>
  <c r="F42" s="1"/>
  <c r="E43"/>
  <c r="F43" s="1"/>
  <c r="I53" i="21"/>
  <c r="J53" s="1"/>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D3" i="6"/>
  <c r="AY524" i="3"/>
  <c r="AY502"/>
  <c r="AY565"/>
  <c r="AY509"/>
  <c r="AY542"/>
  <c r="BR6"/>
  <c r="AY570"/>
  <c r="AY531"/>
  <c r="AY578"/>
  <c r="BA6"/>
  <c r="AY99"/>
  <c r="AY94"/>
  <c r="AY63"/>
  <c r="AY78"/>
  <c r="AY103"/>
  <c r="AY67"/>
  <c r="AY50"/>
  <c r="AY196"/>
  <c r="AY160"/>
  <c r="AY139"/>
  <c r="AY289"/>
  <c r="AY74"/>
  <c r="AY183"/>
  <c r="AY123"/>
  <c r="AY261"/>
  <c r="AY204"/>
  <c r="AY284"/>
  <c r="AY252"/>
  <c r="AY209"/>
  <c r="AY363"/>
  <c r="AY319"/>
  <c r="AY489"/>
  <c r="AY455"/>
  <c r="AY412"/>
  <c r="AY497"/>
  <c r="AY43"/>
  <c r="AY116"/>
  <c r="AY229"/>
  <c r="AY212"/>
  <c r="AY379"/>
  <c r="AY343"/>
  <c r="AY326"/>
  <c r="AY478"/>
  <c r="AY436"/>
  <c r="AY417"/>
  <c r="AY557"/>
  <c r="AY573"/>
  <c r="AY540"/>
  <c r="AY539"/>
  <c r="AY105"/>
  <c r="AY100"/>
  <c r="AY69"/>
  <c r="AY84"/>
  <c r="AY52"/>
  <c r="AY20"/>
  <c r="AY198"/>
  <c r="AY193"/>
  <c r="AY162"/>
  <c r="AY173"/>
  <c r="AY141"/>
  <c r="AY134"/>
  <c r="AY291"/>
  <c r="AY286"/>
  <c r="AY255"/>
  <c r="AY270"/>
  <c r="AY238"/>
  <c r="AY227"/>
  <c r="AY384"/>
  <c r="AY373"/>
  <c r="AY368"/>
  <c r="AY507"/>
  <c r="BB6"/>
  <c r="AY88"/>
  <c r="AY72"/>
  <c r="AY29"/>
  <c r="AY181"/>
  <c r="AY161"/>
  <c r="AY121"/>
  <c r="AY275"/>
  <c r="AY258"/>
  <c r="AY215"/>
  <c r="AY370"/>
  <c r="AY341"/>
  <c r="AY309"/>
  <c r="AY324"/>
  <c r="AY483"/>
  <c r="AY480"/>
  <c r="AY449"/>
  <c r="AY438"/>
  <c r="AY406"/>
  <c r="AY419"/>
  <c r="AY503"/>
  <c r="AY580"/>
  <c r="AY572"/>
  <c r="AY536"/>
  <c r="AY520"/>
  <c r="AY552"/>
  <c r="AY543"/>
  <c r="AY532"/>
  <c r="AY496"/>
  <c r="AY523"/>
  <c r="AY81"/>
  <c r="AY64"/>
  <c r="AY21"/>
  <c r="AY174"/>
  <c r="AY153"/>
  <c r="AY113"/>
  <c r="AY267"/>
  <c r="AY250"/>
  <c r="AY396"/>
  <c r="AY361"/>
  <c r="AY337"/>
  <c r="AY305"/>
  <c r="AY320"/>
  <c r="AY479"/>
  <c r="AY476"/>
  <c r="AY445"/>
  <c r="AY434"/>
  <c r="AY402"/>
  <c r="AY415"/>
  <c r="AY505"/>
  <c r="AY538"/>
  <c r="AY522"/>
  <c r="AY515"/>
  <c r="AY551"/>
  <c r="AY545"/>
  <c r="BP6"/>
  <c r="AY493"/>
  <c r="AY79"/>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AY98"/>
  <c r="AY82"/>
  <c r="AY18"/>
  <c r="AY191"/>
  <c r="AY171"/>
  <c r="AY132"/>
  <c r="AY90"/>
  <c r="AY31"/>
  <c r="AY163"/>
  <c r="AY292"/>
  <c r="AY75"/>
  <c r="AY147"/>
  <c r="AY237"/>
  <c r="AY220"/>
  <c r="AY387"/>
  <c r="AY350"/>
  <c r="AY334"/>
  <c r="AY486"/>
  <c r="AY444"/>
  <c r="AY425"/>
  <c r="AY526"/>
  <c r="AY199"/>
  <c r="AY269"/>
  <c r="AY244"/>
  <c r="AY390"/>
  <c r="AY355"/>
  <c r="AY311"/>
  <c r="AY481"/>
  <c r="AY447"/>
  <c r="AY404"/>
  <c r="AY535"/>
  <c r="AY562"/>
  <c r="AY574"/>
  <c r="BO6"/>
  <c r="AY555"/>
  <c r="AY89"/>
  <c r="AY85"/>
  <c r="AY53"/>
  <c r="AY68"/>
  <c r="AY36"/>
  <c r="AY25"/>
  <c r="AY182"/>
  <c r="AY178"/>
  <c r="AY146"/>
  <c r="AY157"/>
  <c r="AY126"/>
  <c r="AY117"/>
  <c r="AY302"/>
  <c r="AY271"/>
  <c r="AY239"/>
  <c r="AY254"/>
  <c r="AY222"/>
  <c r="AY211"/>
  <c r="AY389"/>
  <c r="AY365"/>
  <c r="BS6"/>
  <c r="BI6"/>
  <c r="AY93"/>
  <c r="AY57"/>
  <c r="AY40"/>
  <c r="AY186"/>
  <c r="AY150"/>
  <c r="AY130"/>
  <c r="AY279"/>
  <c r="AY243"/>
  <c r="AY226"/>
  <c r="AY393"/>
  <c r="AY356"/>
  <c r="AY325"/>
  <c r="AY340"/>
  <c r="AY308"/>
  <c r="AY467"/>
  <c r="AY464"/>
  <c r="AY454"/>
  <c r="AY422"/>
  <c r="AY435"/>
  <c r="AY403"/>
  <c r="AY525"/>
  <c r="AY516"/>
  <c r="BN6"/>
  <c r="AY527"/>
  <c r="AY518"/>
  <c r="AY559"/>
  <c r="AY508"/>
  <c r="AY556"/>
  <c r="AY577"/>
  <c r="AY112"/>
  <c r="AY49"/>
  <c r="AY32"/>
  <c r="AY205"/>
  <c r="AY142"/>
  <c r="AY122"/>
  <c r="AY298"/>
  <c r="AY235"/>
  <c r="AY218"/>
  <c r="AY385"/>
  <c r="AY352"/>
  <c r="AY321"/>
  <c r="AY336"/>
  <c r="AY304"/>
  <c r="AY492"/>
  <c r="AY461"/>
  <c r="AY450"/>
  <c r="AY418"/>
  <c r="AY431"/>
  <c r="AY399"/>
  <c r="AY17"/>
  <c r="AY564"/>
  <c r="AY575"/>
  <c r="AY537"/>
  <c r="AY530"/>
  <c r="AY548"/>
  <c r="AY563"/>
  <c r="AY110"/>
  <c r="AY47"/>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J7" i="34"/>
  <c r="P17" i="43"/>
  <c r="G20" s="1"/>
  <c r="C20" s="1"/>
  <c r="C34" s="1"/>
  <c r="N17"/>
  <c r="M17"/>
  <c r="O17"/>
  <c r="C19" i="15" l="1"/>
  <c r="C20" s="1"/>
  <c r="C26" s="1"/>
  <c r="S7" i="34"/>
  <c r="I27" i="6"/>
  <c r="S19"/>
  <c r="S27" s="1"/>
  <c r="J63" i="40"/>
  <c r="I65"/>
  <c r="C37" i="43"/>
  <c r="G37" s="1"/>
  <c r="I37" s="1"/>
  <c r="T8"/>
  <c r="V8" s="1"/>
  <c r="T9"/>
  <c r="V9" s="1"/>
  <c r="T11"/>
  <c r="V11" s="1"/>
  <c r="C39"/>
  <c r="E39" s="1"/>
  <c r="T10"/>
  <c r="V10" s="1"/>
  <c r="T12"/>
  <c r="V12" s="1"/>
  <c r="C38"/>
  <c r="G38" s="1"/>
  <c r="I38" s="1"/>
  <c r="C35"/>
  <c r="G35" s="1"/>
  <c r="I35" s="1"/>
  <c r="C36"/>
  <c r="E36" s="1"/>
  <c r="T13"/>
  <c r="V13" s="1"/>
  <c r="T14"/>
  <c r="V14" s="1"/>
  <c r="T15"/>
  <c r="V15" s="1"/>
  <c r="T16"/>
  <c r="V16" s="1"/>
  <c r="C33"/>
  <c r="E33" s="1"/>
  <c r="H20" i="6"/>
  <c r="D25"/>
  <c r="D15"/>
  <c r="D22"/>
  <c r="D21"/>
  <c r="D24"/>
  <c r="D20"/>
  <c r="R20" s="1"/>
  <c r="D6"/>
  <c r="D9"/>
  <c r="D10"/>
  <c r="L19" i="9"/>
  <c r="D29" i="6"/>
  <c r="H25"/>
  <c r="H22"/>
  <c r="H21"/>
  <c r="H24"/>
  <c r="M19" i="9"/>
  <c r="C118" s="1"/>
  <c r="C14" i="74" s="1"/>
  <c r="B2" s="1"/>
  <c r="D19" i="6"/>
  <c r="D26"/>
  <c r="C18" i="4"/>
  <c r="D8" i="6"/>
  <c r="D23"/>
  <c r="D14"/>
  <c r="D5"/>
  <c r="D12"/>
  <c r="D11"/>
  <c r="D13"/>
  <c r="D28"/>
  <c r="D30" s="1"/>
  <c r="E61" i="40"/>
  <c r="H23" i="6"/>
  <c r="H26"/>
  <c r="H19"/>
  <c r="C66" i="15"/>
  <c r="C60"/>
  <c r="S7" i="36"/>
  <c r="AA7"/>
  <c r="R36" s="1"/>
  <c r="I46" i="37"/>
  <c r="J46" s="1"/>
  <c r="C7" i="74"/>
  <c r="C8"/>
  <c r="C20" i="11"/>
  <c r="C28" s="1"/>
  <c r="C27" s="1"/>
  <c r="D10"/>
  <c r="C10" s="1"/>
  <c r="D20" i="12"/>
  <c r="C20" s="1"/>
  <c r="D10" i="68"/>
  <c r="D10" i="69"/>
  <c r="E38" i="43"/>
  <c r="C60" i="67"/>
  <c r="C66"/>
  <c r="U7" i="36"/>
  <c r="AB7"/>
  <c r="T36" s="1"/>
  <c r="G36" s="1"/>
  <c r="AC7" i="34"/>
  <c r="V49" s="1"/>
  <c r="I49" s="1"/>
  <c r="W7"/>
  <c r="C32" i="15"/>
  <c r="C38"/>
  <c r="U7" i="34"/>
  <c r="AB7"/>
  <c r="T49" s="1"/>
  <c r="G49" s="1"/>
  <c r="B2" i="21"/>
  <c r="B3" s="1"/>
  <c r="R50" i="34"/>
  <c r="E49"/>
  <c r="G47" i="37"/>
  <c r="H47" s="1"/>
  <c r="D17" i="12"/>
  <c r="C17" s="1"/>
  <c r="C14"/>
  <c r="C16" s="1"/>
  <c r="C39" i="11"/>
  <c r="G34" i="43"/>
  <c r="I34" s="1"/>
  <c r="E34"/>
  <c r="C32" i="67"/>
  <c r="C38"/>
  <c r="W7" i="36"/>
  <c r="AC7"/>
  <c r="V36" s="1"/>
  <c r="I36" s="1"/>
  <c r="H68" i="39"/>
  <c r="G70"/>
  <c r="E42" i="37"/>
  <c r="I47" s="1"/>
  <c r="J47" s="1"/>
  <c r="R43"/>
  <c r="F25" i="12"/>
  <c r="C26" s="1"/>
  <c r="D25" s="1"/>
  <c r="F24" i="67"/>
  <c r="F22" i="68"/>
  <c r="F24" i="15"/>
  <c r="F22" i="11"/>
  <c r="F22" i="69"/>
  <c r="H27" i="6" l="1"/>
  <c r="G33" i="43"/>
  <c r="I33" s="1"/>
  <c r="D16" i="6"/>
  <c r="J65" i="40"/>
  <c r="K63"/>
  <c r="G36" i="43"/>
  <c r="I36" s="1"/>
  <c r="E35"/>
  <c r="E37"/>
  <c r="C43" i="11"/>
  <c r="C50" i="34"/>
  <c r="B2" s="1"/>
  <c r="B3" s="1"/>
  <c r="C49"/>
  <c r="G53"/>
  <c r="H53" s="1"/>
  <c r="G54"/>
  <c r="H54" s="1"/>
  <c r="C10" i="68"/>
  <c r="B29" i="1" s="1"/>
  <c r="C8" i="68" s="1"/>
  <c r="D19"/>
  <c r="C25" i="11"/>
  <c r="R23" i="6"/>
  <c r="A7" i="51"/>
  <c r="B7" i="72" s="1"/>
  <c r="C4" i="52"/>
  <c r="B45" i="72" s="1"/>
  <c r="A10" i="51"/>
  <c r="B9" i="72" s="1"/>
  <c r="D27" i="6"/>
  <c r="D31" s="1"/>
  <c r="R19"/>
  <c r="R24"/>
  <c r="R22"/>
  <c r="R25"/>
  <c r="C26" i="69"/>
  <c r="D22" s="1"/>
  <c r="C44"/>
  <c r="D41" s="1"/>
  <c r="C24" i="15"/>
  <c r="C23"/>
  <c r="C24" i="67"/>
  <c r="C23"/>
  <c r="C42" i="37"/>
  <c r="C43"/>
  <c r="B2" s="1"/>
  <c r="B3" s="1"/>
  <c r="I40" i="36"/>
  <c r="J40" s="1"/>
  <c r="C44" i="11"/>
  <c r="D41" s="1"/>
  <c r="C23"/>
  <c r="C26"/>
  <c r="D22" s="1"/>
  <c r="C26" i="68"/>
  <c r="D22" s="1"/>
  <c r="C44"/>
  <c r="D41" s="1"/>
  <c r="E46" i="37"/>
  <c r="F46" s="1"/>
  <c r="E47"/>
  <c r="F47" s="1"/>
  <c r="I68" i="39"/>
  <c r="H70"/>
  <c r="C42" i="11"/>
  <c r="C46"/>
  <c r="C45" s="1"/>
  <c r="E54" i="34"/>
  <c r="F54" s="1"/>
  <c r="E53"/>
  <c r="F53" s="1"/>
  <c r="I54"/>
  <c r="J54" s="1"/>
  <c r="I53"/>
  <c r="J53" s="1"/>
  <c r="G40" i="36"/>
  <c r="H40" s="1"/>
  <c r="G41"/>
  <c r="H41" s="1"/>
  <c r="C10" i="69"/>
  <c r="C8" s="1"/>
  <c r="C5" s="1"/>
  <c r="D19"/>
  <c r="C24" i="11"/>
  <c r="E36" i="36"/>
  <c r="I41" s="1"/>
  <c r="J41" s="1"/>
  <c r="R37"/>
  <c r="R26" i="6"/>
  <c r="D7" i="74"/>
  <c r="D8"/>
  <c r="R21" i="6"/>
  <c r="R27" l="1"/>
  <c r="R6" i="1"/>
  <c r="K65" i="40"/>
  <c r="L63"/>
  <c r="C41" i="11"/>
  <c r="C49" s="1"/>
  <c r="C51" s="1"/>
  <c r="C18" i="12"/>
  <c r="C21" s="1"/>
  <c r="C22" s="1"/>
  <c r="C27" s="1"/>
  <c r="C25" s="1"/>
  <c r="C22" i="11"/>
  <c r="C31" s="1"/>
  <c r="C37" i="36"/>
  <c r="B2" s="1"/>
  <c r="B3" s="1"/>
  <c r="C36"/>
  <c r="C23" i="69"/>
  <c r="J68" i="39"/>
  <c r="I70"/>
  <c r="C29" i="67"/>
  <c r="C29" i="15"/>
  <c r="I5" i="6"/>
  <c r="I6"/>
  <c r="G3" i="43" s="1"/>
  <c r="C19" i="68"/>
  <c r="D37"/>
  <c r="C37" s="1"/>
  <c r="C33" s="1"/>
  <c r="E40" i="36"/>
  <c r="F40" s="1"/>
  <c r="E41"/>
  <c r="F41" s="1"/>
  <c r="C19" i="69"/>
  <c r="C24" s="1"/>
  <c r="D37"/>
  <c r="C37" s="1"/>
  <c r="C33" s="1"/>
  <c r="M21" i="15"/>
  <c r="F35"/>
  <c r="J20" l="1"/>
  <c r="C34"/>
  <c r="F63"/>
  <c r="C62" s="1"/>
  <c r="R16" i="1"/>
  <c r="L65" i="40"/>
  <c r="M63"/>
  <c r="F22" i="43"/>
  <c r="F101"/>
  <c r="E22"/>
  <c r="C101"/>
  <c r="N104" i="46"/>
  <c r="H22" i="43"/>
  <c r="H101"/>
  <c r="M101"/>
  <c r="E101"/>
  <c r="AH11"/>
  <c r="AH13" s="1"/>
  <c r="AD11"/>
  <c r="AD13" s="1"/>
  <c r="Z11"/>
  <c r="Z13" s="1"/>
  <c r="AG11"/>
  <c r="AG13" s="1"/>
  <c r="AC11"/>
  <c r="AC13" s="1"/>
  <c r="Y11"/>
  <c r="Y13" s="1"/>
  <c r="B113"/>
  <c r="K101"/>
  <c r="N101"/>
  <c r="G101"/>
  <c r="J101"/>
  <c r="L101"/>
  <c r="D101"/>
  <c r="I101"/>
  <c r="G22"/>
  <c r="AJ11"/>
  <c r="AJ13" s="1"/>
  <c r="AF11"/>
  <c r="AF13" s="1"/>
  <c r="AB11"/>
  <c r="AB13" s="1"/>
  <c r="Z7"/>
  <c r="AI11"/>
  <c r="AI13" s="1"/>
  <c r="AE11"/>
  <c r="AE13" s="1"/>
  <c r="AA11"/>
  <c r="AA13" s="1"/>
  <c r="J22"/>
  <c r="C30" i="12"/>
  <c r="C28" s="1"/>
  <c r="C32" s="1"/>
  <c r="B2" s="1"/>
  <c r="B3" s="1"/>
  <c r="C52" i="11"/>
  <c r="B2" s="1"/>
  <c r="B3" s="1"/>
  <c r="C39" i="68"/>
  <c r="C43" s="1"/>
  <c r="C42"/>
  <c r="C57" i="15"/>
  <c r="C33"/>
  <c r="C13"/>
  <c r="C36"/>
  <c r="Q49"/>
  <c r="J14"/>
  <c r="J19"/>
  <c r="J59"/>
  <c r="J60" s="1"/>
  <c r="C20" i="69"/>
  <c r="C25" s="1"/>
  <c r="C22" s="1"/>
  <c r="C42"/>
  <c r="C39"/>
  <c r="C43" s="1"/>
  <c r="C24" i="68"/>
  <c r="Q49" i="67"/>
  <c r="J14"/>
  <c r="J19"/>
  <c r="J17" s="1"/>
  <c r="C57"/>
  <c r="C13"/>
  <c r="C36"/>
  <c r="C33"/>
  <c r="C31" s="1"/>
  <c r="J59"/>
  <c r="J60" s="1"/>
  <c r="K68" i="39"/>
  <c r="J70"/>
  <c r="C31" i="15" l="1"/>
  <c r="C46" i="68"/>
  <c r="C45" s="1"/>
  <c r="J17" i="15"/>
  <c r="N63" i="40"/>
  <c r="M65"/>
  <c r="I109" i="43"/>
  <c r="I106"/>
  <c r="I103"/>
  <c r="I105"/>
  <c r="I104"/>
  <c r="I102"/>
  <c r="I107"/>
  <c r="L109"/>
  <c r="L105"/>
  <c r="L102"/>
  <c r="L103"/>
  <c r="L106"/>
  <c r="L104"/>
  <c r="L107"/>
  <c r="G105"/>
  <c r="G102"/>
  <c r="G103"/>
  <c r="G106"/>
  <c r="G107"/>
  <c r="G104"/>
  <c r="G109"/>
  <c r="K103"/>
  <c r="K107"/>
  <c r="K104"/>
  <c r="K105"/>
  <c r="K109"/>
  <c r="K102"/>
  <c r="K106"/>
  <c r="E102"/>
  <c r="E104"/>
  <c r="E105"/>
  <c r="E107"/>
  <c r="E109"/>
  <c r="E103"/>
  <c r="E106"/>
  <c r="H102"/>
  <c r="H103"/>
  <c r="H104"/>
  <c r="H109"/>
  <c r="H107"/>
  <c r="H106"/>
  <c r="H105"/>
  <c r="D22"/>
  <c r="D109"/>
  <c r="D103"/>
  <c r="D107"/>
  <c r="D106"/>
  <c r="D104"/>
  <c r="D102"/>
  <c r="D105"/>
  <c r="J104"/>
  <c r="J103"/>
  <c r="J109"/>
  <c r="J105"/>
  <c r="J107"/>
  <c r="J102"/>
  <c r="J106"/>
  <c r="N102"/>
  <c r="N103"/>
  <c r="N106"/>
  <c r="N104"/>
  <c r="N109"/>
  <c r="N105"/>
  <c r="N107"/>
  <c r="B115"/>
  <c r="I115"/>
  <c r="J115" s="1"/>
  <c r="K115" s="1"/>
  <c r="L115" s="1"/>
  <c r="M115" s="1"/>
  <c r="I118"/>
  <c r="J118" s="1"/>
  <c r="K118" s="1"/>
  <c r="L118" s="1"/>
  <c r="M118" s="1"/>
  <c r="D118"/>
  <c r="E118" s="1"/>
  <c r="F118" s="1"/>
  <c r="G118"/>
  <c r="H118" s="1"/>
  <c r="B118"/>
  <c r="C118" s="1"/>
  <c r="I116"/>
  <c r="J116" s="1"/>
  <c r="K116" s="1"/>
  <c r="L116" s="1"/>
  <c r="M116" s="1"/>
  <c r="D115"/>
  <c r="E115" s="1"/>
  <c r="F115" s="1"/>
  <c r="G115" s="1"/>
  <c r="H115" s="1"/>
  <c r="D117"/>
  <c r="E117" s="1"/>
  <c r="F117" s="1"/>
  <c r="G117" s="1"/>
  <c r="H117" s="1"/>
  <c r="D116"/>
  <c r="E116" s="1"/>
  <c r="F116" s="1"/>
  <c r="G116" s="1"/>
  <c r="H116" s="1"/>
  <c r="B116"/>
  <c r="C116" s="1"/>
  <c r="I117"/>
  <c r="J117" s="1"/>
  <c r="K117" s="1"/>
  <c r="L117" s="1"/>
  <c r="M117" s="1"/>
  <c r="B117"/>
  <c r="C117" s="1"/>
  <c r="M109"/>
  <c r="M107"/>
  <c r="M104"/>
  <c r="M105"/>
  <c r="M106"/>
  <c r="M103"/>
  <c r="M102"/>
  <c r="C104"/>
  <c r="C106"/>
  <c r="C105"/>
  <c r="C107"/>
  <c r="C103"/>
  <c r="C102"/>
  <c r="C109"/>
  <c r="F104"/>
  <c r="F107"/>
  <c r="F106"/>
  <c r="F105"/>
  <c r="F109"/>
  <c r="F102"/>
  <c r="F103"/>
  <c r="C56" i="11"/>
  <c r="C57" s="1"/>
  <c r="C28" i="69"/>
  <c r="C27" s="1"/>
  <c r="C31" s="1"/>
  <c r="C41"/>
  <c r="L68" i="39"/>
  <c r="K70"/>
  <c r="Q48" i="67"/>
  <c r="C61"/>
  <c r="C59" s="1"/>
  <c r="C64"/>
  <c r="J22"/>
  <c r="J13"/>
  <c r="J23" s="1"/>
  <c r="C46" i="69"/>
  <c r="C45" s="1"/>
  <c r="C56" i="15"/>
  <c r="C65" s="1"/>
  <c r="C75"/>
  <c r="Q70"/>
  <c r="C37"/>
  <c r="C64"/>
  <c r="C61"/>
  <c r="C59" s="1"/>
  <c r="C41" i="68"/>
  <c r="Q70" i="67"/>
  <c r="C56"/>
  <c r="C65" s="1"/>
  <c r="C37"/>
  <c r="C30" s="1"/>
  <c r="C39" s="1"/>
  <c r="C75"/>
  <c r="Q48" i="15"/>
  <c r="J22"/>
  <c r="J13"/>
  <c r="J23" s="1"/>
  <c r="C30" l="1"/>
  <c r="C39" s="1"/>
  <c r="C40" s="1"/>
  <c r="C49" i="68"/>
  <c r="C51" s="1"/>
  <c r="C49" i="69"/>
  <c r="C51" s="1"/>
  <c r="C52" s="1"/>
  <c r="B2" s="1"/>
  <c r="B3" s="1"/>
  <c r="S3" i="43"/>
  <c r="T3" s="1"/>
  <c r="V3" s="1"/>
  <c r="S4"/>
  <c r="T4" s="1"/>
  <c r="V4" s="1"/>
  <c r="S2"/>
  <c r="T2" s="1"/>
  <c r="V2" s="1"/>
  <c r="S5"/>
  <c r="T5" s="1"/>
  <c r="V5" s="1"/>
  <c r="C23"/>
  <c r="C21" s="1"/>
  <c r="C29" s="1"/>
  <c r="C30" s="1"/>
  <c r="E30" s="1"/>
  <c r="C27" s="1"/>
  <c r="S6"/>
  <c r="T6" s="1"/>
  <c r="V6" s="1"/>
  <c r="S7"/>
  <c r="T7" s="1"/>
  <c r="V7" s="1"/>
  <c r="O63" i="40"/>
  <c r="O65" s="1"/>
  <c r="H7" s="1"/>
  <c r="N65"/>
  <c r="F7" s="1"/>
  <c r="C115" i="43"/>
  <c r="D113" s="1"/>
  <c r="J16" i="67"/>
  <c r="J25" s="1"/>
  <c r="J16" i="15"/>
  <c r="J25" s="1"/>
  <c r="C80" i="67"/>
  <c r="C79" s="1"/>
  <c r="C58" i="15"/>
  <c r="C67" s="1"/>
  <c r="C68" s="1"/>
  <c r="C71" s="1"/>
  <c r="C40" i="67"/>
  <c r="Q69"/>
  <c r="Q68" s="1"/>
  <c r="M68" i="39"/>
  <c r="L70"/>
  <c r="C58" i="67"/>
  <c r="C67" s="1"/>
  <c r="C68" s="1"/>
  <c r="L51"/>
  <c r="Q69" i="15" l="1"/>
  <c r="Q68" s="1"/>
  <c r="C80"/>
  <c r="C79" s="1"/>
  <c r="E29" i="43"/>
  <c r="C26" s="1"/>
  <c r="B2" s="1"/>
  <c r="C6" i="68" s="1"/>
  <c r="AA7" i="40"/>
  <c r="R42" s="1"/>
  <c r="S7"/>
  <c r="U7"/>
  <c r="AB7"/>
  <c r="T42" s="1"/>
  <c r="G42" s="1"/>
  <c r="J7"/>
  <c r="C46" i="15"/>
  <c r="L57"/>
  <c r="L60" s="1"/>
  <c r="L46" s="1"/>
  <c r="B2" s="1"/>
  <c r="Q67" i="67"/>
  <c r="L57"/>
  <c r="L60" s="1"/>
  <c r="L46" s="1"/>
  <c r="D2" s="1"/>
  <c r="C57" i="69"/>
  <c r="C56" s="1"/>
  <c r="Q65" i="15"/>
  <c r="Q56"/>
  <c r="C43"/>
  <c r="Q47"/>
  <c r="Q53" s="1"/>
  <c r="C83"/>
  <c r="C82" s="1"/>
  <c r="C45" i="67"/>
  <c r="C46" s="1"/>
  <c r="C71"/>
  <c r="N68" i="39"/>
  <c r="M70"/>
  <c r="Q65" i="67"/>
  <c r="Q56"/>
  <c r="Q47"/>
  <c r="Q53" s="1"/>
  <c r="C43"/>
  <c r="C83"/>
  <c r="C82" s="1"/>
  <c r="B6" i="76"/>
  <c r="D19" i="9"/>
  <c r="L51" i="15"/>
  <c r="E6" i="76"/>
  <c r="AO6" i="1"/>
  <c r="Q67" i="15" l="1"/>
  <c r="D102" i="9"/>
  <c r="D21"/>
  <c r="C7" i="68"/>
  <c r="C5" s="1"/>
  <c r="B6" i="70"/>
  <c r="B2" s="1"/>
  <c r="B3" s="1"/>
  <c r="B3" i="15"/>
  <c r="E2" i="76"/>
  <c r="AC7" i="40"/>
  <c r="V42" s="1"/>
  <c r="I42" s="1"/>
  <c r="W7"/>
  <c r="R43"/>
  <c r="E42"/>
  <c r="G46"/>
  <c r="H46" s="1"/>
  <c r="B2" i="76"/>
  <c r="B3" i="43"/>
  <c r="O68" i="39"/>
  <c r="O70" s="1"/>
  <c r="N70"/>
  <c r="Q57" i="67"/>
  <c r="Q62" s="1"/>
  <c r="Q66"/>
  <c r="Q75" s="1"/>
  <c r="Q66" i="15"/>
  <c r="Q75" s="1"/>
  <c r="Q57"/>
  <c r="Q62" s="1"/>
  <c r="B2" i="67"/>
  <c r="B3"/>
  <c r="D20" i="9"/>
  <c r="D103" l="1"/>
  <c r="C23" i="68"/>
  <c r="C20"/>
  <c r="C25" s="1"/>
  <c r="B3" i="76"/>
  <c r="C42" i="40"/>
  <c r="C43"/>
  <c r="I46"/>
  <c r="J46" s="1"/>
  <c r="I47"/>
  <c r="J47" s="1"/>
  <c r="G47"/>
  <c r="H47" s="1"/>
  <c r="E47"/>
  <c r="F47" s="1"/>
  <c r="E46"/>
  <c r="F46" s="1"/>
  <c r="J7" i="39"/>
  <c r="F7"/>
  <c r="H7"/>
  <c r="C28" i="68" l="1"/>
  <c r="C27" s="1"/>
  <c r="C22"/>
  <c r="B57" i="40"/>
  <c r="F57" s="1"/>
  <c r="B59"/>
  <c r="F59" s="1"/>
  <c r="B56"/>
  <c r="F56" s="1"/>
  <c r="B54"/>
  <c r="F54" s="1"/>
  <c r="F61"/>
  <c r="B2" s="1"/>
  <c r="B3" s="1"/>
  <c r="B60"/>
  <c r="F60" s="1"/>
  <c r="B58"/>
  <c r="F58" s="1"/>
  <c r="B52"/>
  <c r="F52" s="1"/>
  <c r="B51"/>
  <c r="F51" s="1"/>
  <c r="B53"/>
  <c r="F53" s="1"/>
  <c r="B55"/>
  <c r="F55" s="1"/>
  <c r="S7" i="39"/>
  <c r="AA7"/>
  <c r="R47" s="1"/>
  <c r="AB7"/>
  <c r="T47" s="1"/>
  <c r="G47" s="1"/>
  <c r="U7"/>
  <c r="AC7"/>
  <c r="V47" s="1"/>
  <c r="I47" s="1"/>
  <c r="W7"/>
  <c r="C31" i="68" l="1"/>
  <c r="C52" s="1"/>
  <c r="B2" s="1"/>
  <c r="E47" i="39"/>
  <c r="I52" s="1"/>
  <c r="J52" s="1"/>
  <c r="R48"/>
  <c r="I51"/>
  <c r="J51" s="1"/>
  <c r="G52"/>
  <c r="H52" s="1"/>
  <c r="G51"/>
  <c r="H51" s="1"/>
  <c r="C19" i="9"/>
  <c r="C57" i="68" l="1"/>
  <c r="C56" s="1"/>
  <c r="C102" i="9"/>
  <c r="D22"/>
  <c r="G19"/>
  <c r="C21"/>
  <c r="B3" i="68"/>
  <c r="C47" i="39"/>
  <c r="C48"/>
  <c r="E52"/>
  <c r="F52" s="1"/>
  <c r="E51"/>
  <c r="F51" s="1"/>
  <c r="D35" i="9"/>
  <c r="C20"/>
  <c r="D34"/>
  <c r="C103" l="1"/>
  <c r="G20"/>
  <c r="C32"/>
  <c r="G21"/>
  <c r="B61" i="39"/>
  <c r="F61" s="1"/>
  <c r="B56"/>
  <c r="F56" s="1"/>
  <c r="F66" s="1"/>
  <c r="B2" s="1"/>
  <c r="B3" s="1"/>
  <c r="B59"/>
  <c r="F59" s="1"/>
  <c r="B65"/>
  <c r="F65" s="1"/>
  <c r="B63"/>
  <c r="F63" s="1"/>
  <c r="B60"/>
  <c r="F60" s="1"/>
  <c r="B58"/>
  <c r="F58" s="1"/>
  <c r="B64"/>
  <c r="F64" s="1"/>
  <c r="B57"/>
  <c r="F57" s="1"/>
  <c r="B62"/>
  <c r="F62" s="1"/>
  <c r="H118" i="9" l="1"/>
  <c r="C35"/>
  <c r="F118" s="1"/>
  <c r="C34" l="1"/>
  <c r="D118" s="1"/>
  <c r="D4" i="52" s="1"/>
  <c r="B47" i="72" s="1"/>
  <c r="F4" i="52"/>
  <c r="B51" i="72" s="1"/>
  <c r="F119" i="9"/>
  <c r="F5" i="52" s="1"/>
  <c r="B53" i="72" s="1"/>
  <c r="G118" i="9"/>
  <c r="G4" i="52" s="1"/>
  <c r="B52" i="72" s="1"/>
  <c r="C104" i="9"/>
  <c r="H101"/>
  <c r="H4" i="52"/>
  <c r="D14" i="74"/>
  <c r="H119" i="9"/>
  <c r="H5" i="52" s="1"/>
  <c r="I118" i="9"/>
  <c r="D119" l="1"/>
  <c r="D5" i="52" s="1"/>
  <c r="B49" i="72" s="1"/>
  <c r="C105" i="9"/>
  <c r="I4" i="52"/>
  <c r="H102" i="9"/>
  <c r="D7" i="53" s="1"/>
  <c r="B21" i="72" s="1"/>
  <c r="E118" i="9"/>
  <c r="E4" i="52" s="1"/>
  <c r="B48" i="72" s="1"/>
  <c r="H107" i="9"/>
  <c r="D45"/>
  <c r="M48"/>
  <c r="D5" i="53"/>
  <c r="E14" i="74"/>
  <c r="F14"/>
  <c r="B20" i="72" l="1"/>
  <c r="D6" i="53"/>
  <c r="B22" i="72" s="1"/>
  <c r="C64" i="9"/>
  <c r="C63" s="1"/>
  <c r="C67" s="1"/>
  <c r="C68" s="1"/>
  <c r="D54" s="1"/>
  <c r="D53"/>
  <c r="D52"/>
  <c r="C85"/>
  <c r="C78"/>
  <c r="C73" s="1"/>
  <c r="C93"/>
  <c r="C86" s="1"/>
  <c r="C72"/>
  <c r="D55"/>
  <c r="M53" s="1"/>
  <c r="M49"/>
  <c r="D13" i="53"/>
  <c r="D122" i="9"/>
  <c r="H108"/>
  <c r="D15" i="53" s="1"/>
  <c r="B31" i="72" s="1"/>
  <c r="C79" i="9" l="1"/>
  <c r="C80" s="1"/>
  <c r="E80" s="1"/>
  <c r="E81" s="1"/>
  <c r="L66"/>
  <c r="M66" s="1"/>
  <c r="L65"/>
  <c r="M65" s="1"/>
  <c r="L67"/>
  <c r="M67" s="1"/>
  <c r="L68"/>
  <c r="M68" s="1"/>
  <c r="L63"/>
  <c r="M63" s="1"/>
  <c r="L64"/>
  <c r="M64" s="1"/>
  <c r="B30" i="72"/>
  <c r="D14" i="53"/>
  <c r="B32" i="72" s="1"/>
  <c r="C95" i="9"/>
  <c r="G14" i="74"/>
  <c r="D8" i="52"/>
  <c r="D123" i="9"/>
  <c r="D9" i="52" s="1"/>
  <c r="M69" i="9" l="1"/>
  <c r="N69" s="1"/>
  <c r="C81"/>
  <c r="C96"/>
  <c r="E96" s="1"/>
  <c r="E97" s="1"/>
  <c r="C97" l="1"/>
  <c r="D58" s="1"/>
  <c r="D56" s="1"/>
  <c r="M54" s="1"/>
  <c r="N57" s="1"/>
  <c r="P57" s="1"/>
  <c r="N58" l="1"/>
  <c r="N59"/>
  <c r="N60" s="1"/>
  <c r="N61" l="1"/>
  <c r="D15" i="74" l="1"/>
  <c r="F15" l="1"/>
  <c r="E15"/>
  <c r="B5"/>
  <c r="D5" l="1"/>
  <c r="C5"/>
  <c r="G15" l="1"/>
  <c r="B6" s="1"/>
  <c r="D6" l="1"/>
  <c r="C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Windows 用户</author>
    <author>作者</author>
    <author>宋德芬</author>
    <author>Sheeny_tuozhan1</author>
    <author>chongxia</author>
  </authors>
  <commentList>
    <comment ref="C2" authorId="0">
      <text>
        <r>
          <rPr>
            <sz val="9"/>
            <color indexed="81"/>
            <rFont val="宋体"/>
            <family val="3"/>
            <charset val="134"/>
          </rPr>
          <t>房租押金也由和润变为了金城，</t>
        </r>
        <r>
          <rPr>
            <sz val="9"/>
            <color indexed="81"/>
            <rFont val="Tahoma"/>
            <family val="2"/>
            <charset val="134"/>
          </rPr>
          <t xml:space="preserve">2016.12.
</t>
        </r>
        <r>
          <rPr>
            <sz val="9"/>
            <color indexed="81"/>
            <rFont val="宋体"/>
            <family val="3"/>
            <charset val="134"/>
          </rPr>
          <t>杭州和润影业有限公司</t>
        </r>
        <r>
          <rPr>
            <sz val="9"/>
            <color indexed="81"/>
            <rFont val="Tahoma"/>
            <family val="2"/>
            <charset val="134"/>
          </rPr>
          <t>/2016.11</t>
        </r>
        <r>
          <rPr>
            <sz val="9"/>
            <color indexed="81"/>
            <rFont val="宋体"/>
            <family val="3"/>
            <charset val="134"/>
          </rPr>
          <t>月更名为杭州金诚文化发展集团有限公司</t>
        </r>
      </text>
    </comment>
    <comment ref="C4" authorId="1">
      <text>
        <r>
          <rPr>
            <sz val="9"/>
            <rFont val="宋体"/>
            <family val="3"/>
            <charset val="134"/>
          </rPr>
          <t xml:space="preserve">2014年2月1日起由北京东辉博业贸易有限公
司变更
</t>
        </r>
      </text>
    </comment>
    <comment ref="C5" authorId="1">
      <text>
        <r>
          <rPr>
            <sz val="9"/>
            <rFont val="宋体"/>
            <family val="3"/>
            <charset val="134"/>
          </rPr>
          <t xml:space="preserve">2014年2月1日起由北京一然食尚餐饮管理中心变更
</t>
        </r>
      </text>
    </comment>
    <comment ref="C12" authorId="2">
      <text>
        <r>
          <rPr>
            <sz val="9"/>
            <color indexed="81"/>
            <rFont val="宋体"/>
            <family val="3"/>
            <charset val="134"/>
          </rPr>
          <t>2017.2.15由上海商霖华通投资咨询有限公司北京分公司变更为北京天弘达信息咨询有限公司。
2017.4北京天弘达信息咨询有限公司更名为北京毕括信息咨询有限公司</t>
        </r>
      </text>
    </comment>
    <comment ref="C13" authorId="1">
      <text>
        <r>
          <rPr>
            <sz val="9"/>
            <rFont val="宋体"/>
            <family val="3"/>
            <charset val="134"/>
          </rPr>
          <t xml:space="preserve">注册原因首签：北京仁慧特置业管理咨询有限公司
</t>
        </r>
      </text>
    </comment>
    <comment ref="C15" authorId="1">
      <text>
        <r>
          <rPr>
            <sz val="9"/>
            <rFont val="宋体"/>
            <family val="3"/>
            <charset val="134"/>
          </rPr>
          <t xml:space="preserve">注册原因首签：北京仁慧特置业管理咨询有限公司
</t>
        </r>
      </text>
    </comment>
    <comment ref="C16" authorId="1">
      <text>
        <r>
          <rPr>
            <sz val="9"/>
            <rFont val="宋体"/>
            <family val="3"/>
            <charset val="134"/>
          </rPr>
          <t xml:space="preserve">2014.7由山东同圆设计集团有限公司
</t>
        </r>
        <r>
          <rPr>
            <sz val="9"/>
            <rFont val="宋体"/>
            <family val="3"/>
            <charset val="134"/>
          </rPr>
          <t>关联公司：山东同圆设计集团有限公司</t>
        </r>
      </text>
    </comment>
    <comment ref="C17" authorId="1">
      <text>
        <r>
          <rPr>
            <sz val="9"/>
            <rFont val="宋体"/>
            <family val="3"/>
            <charset val="134"/>
          </rPr>
          <t xml:space="preserve">注册原因首签：北京仁慧特置业管理咨询有限公司
</t>
        </r>
      </text>
    </comment>
    <comment ref="C19" authorId="3">
      <text>
        <r>
          <rPr>
            <sz val="9"/>
            <color indexed="81"/>
            <rFont val="宋体"/>
            <family val="3"/>
            <charset val="134"/>
          </rPr>
          <t>关联公司：我最在行。
果壳月租金</t>
        </r>
        <r>
          <rPr>
            <sz val="9"/>
            <color indexed="81"/>
            <rFont val="Arial"/>
            <family val="2"/>
          </rPr>
          <t>1368.75</t>
        </r>
        <r>
          <rPr>
            <sz val="9"/>
            <color indexed="81"/>
            <rFont val="宋体"/>
            <family val="3"/>
            <charset val="134"/>
          </rPr>
          <t>，我最在行</t>
        </r>
        <r>
          <rPr>
            <sz val="9"/>
            <color indexed="81"/>
            <rFont val="Arial"/>
            <family val="2"/>
          </rPr>
          <t xml:space="preserve">94443.75.
</t>
        </r>
      </text>
    </comment>
    <comment ref="C27" authorId="3">
      <text>
        <r>
          <rPr>
            <sz val="9"/>
            <rFont val="宋体"/>
            <family val="3"/>
            <charset val="134"/>
          </rPr>
          <t>1.关联公司：我最在行
每次房租分两笔汇入：547500&amp;43800，汇款人都是果壳
2.17.2.24新增关联方北京市朝阳区哈赛科技传播中心</t>
        </r>
      </text>
    </comment>
    <comment ref="C30" authorId="1">
      <text>
        <r>
          <rPr>
            <sz val="9"/>
            <rFont val="宋体"/>
            <family val="3"/>
            <charset val="134"/>
          </rPr>
          <t xml:space="preserve">关联公司：北京卓然影业有限公司
</t>
        </r>
        <r>
          <rPr>
            <sz val="9"/>
            <rFont val="宋体"/>
            <family val="3"/>
            <charset val="134"/>
          </rPr>
          <t xml:space="preserve">北京时代先锋影艺投资有限公司
</t>
        </r>
        <r>
          <rPr>
            <sz val="9"/>
            <rFont val="宋体"/>
            <family val="3"/>
            <charset val="134"/>
          </rPr>
          <t xml:space="preserve">
</t>
        </r>
        <r>
          <rPr>
            <sz val="9"/>
            <rFont val="宋体"/>
            <family val="3"/>
            <charset val="134"/>
          </rPr>
          <t xml:space="preserve">
</t>
        </r>
        <r>
          <rPr>
            <sz val="9"/>
            <rFont val="宋体"/>
            <family val="3"/>
            <charset val="134"/>
          </rPr>
          <t xml:space="preserve">
</t>
        </r>
      </text>
    </comment>
    <comment ref="C45" authorId="1">
      <text>
        <r>
          <rPr>
            <sz val="9"/>
            <rFont val="宋体"/>
            <family val="3"/>
            <charset val="134"/>
          </rPr>
          <t xml:space="preserve">关联公司：北京禧珠文化发展有限公司
</t>
        </r>
        <r>
          <rPr>
            <sz val="9"/>
            <rFont val="宋体"/>
            <family val="3"/>
            <charset val="134"/>
          </rPr>
          <t>2015.12完成变更合同租赁名称</t>
        </r>
      </text>
    </comment>
    <comment ref="C47" authorId="2">
      <text>
        <r>
          <rPr>
            <sz val="9"/>
            <color indexed="81"/>
            <rFont val="宋体"/>
            <family val="3"/>
            <charset val="134"/>
          </rPr>
          <t>原租赁合同为</t>
        </r>
        <r>
          <rPr>
            <sz val="9"/>
            <color indexed="81"/>
            <rFont val="Tahoma"/>
            <family val="2"/>
          </rPr>
          <t>LBH137</t>
        </r>
        <r>
          <rPr>
            <sz val="9"/>
            <color indexed="81"/>
            <rFont val="宋体"/>
            <family val="3"/>
            <charset val="134"/>
          </rPr>
          <t>，承租方为北京中安恒昌，于</t>
        </r>
        <r>
          <rPr>
            <sz val="9"/>
            <color indexed="81"/>
            <rFont val="Tahoma"/>
            <family val="2"/>
          </rPr>
          <t>2017.6.15</t>
        </r>
        <r>
          <rPr>
            <sz val="9"/>
            <color indexed="81"/>
            <rFont val="宋体"/>
            <family val="3"/>
            <charset val="134"/>
          </rPr>
          <t>退租</t>
        </r>
        <r>
          <rPr>
            <sz val="9"/>
            <color indexed="81"/>
            <rFont val="Tahoma"/>
            <family val="2"/>
          </rPr>
          <t>9#304</t>
        </r>
        <r>
          <rPr>
            <sz val="9"/>
            <color indexed="81"/>
            <rFont val="宋体"/>
            <family val="3"/>
            <charset val="134"/>
          </rPr>
          <t>，并由新的承租方北京仁歌从新签订</t>
        </r>
        <r>
          <rPr>
            <sz val="9"/>
            <color indexed="81"/>
            <rFont val="Tahoma"/>
            <family val="2"/>
          </rPr>
          <t xml:space="preserve">9#303
</t>
        </r>
      </text>
    </comment>
    <comment ref="C49" authorId="4">
      <text>
        <r>
          <rPr>
            <sz val="9"/>
            <color indexed="81"/>
            <rFont val="Arial"/>
            <family val="2"/>
          </rPr>
          <t>2016.12.31</t>
        </r>
        <r>
          <rPr>
            <sz val="9"/>
            <color indexed="81"/>
            <rFont val="宋体"/>
            <family val="3"/>
            <charset val="134"/>
          </rPr>
          <t>日合同到期，原合同签订方北京极兴莱博信息科技有限公司，关联方拉格纳罗斯。</t>
        </r>
        <r>
          <rPr>
            <sz val="9"/>
            <color indexed="81"/>
            <rFont val="Arial"/>
            <family val="2"/>
          </rPr>
          <t>2017.1.1</t>
        </r>
        <r>
          <rPr>
            <sz val="9"/>
            <color indexed="81"/>
            <rFont val="宋体"/>
            <family val="3"/>
            <charset val="134"/>
          </rPr>
          <t>日从新签订合同，合同签订方为拉格纳罗斯。客户编号不变。</t>
        </r>
        <r>
          <rPr>
            <sz val="9"/>
            <color indexed="81"/>
            <rFont val="Tahoma"/>
            <family val="2"/>
          </rPr>
          <t xml:space="preserve">
</t>
        </r>
      </text>
    </comment>
    <comment ref="C53" authorId="2">
      <text>
        <r>
          <rPr>
            <b/>
            <sz val="9"/>
            <color indexed="81"/>
            <rFont val="宋体"/>
            <family val="3"/>
            <charset val="134"/>
          </rPr>
          <t>星爱嘉成文化传媒（北京）有限公司支付租金</t>
        </r>
        <r>
          <rPr>
            <sz val="9"/>
            <color indexed="81"/>
            <rFont val="Tahoma"/>
            <family val="2"/>
          </rPr>
          <t xml:space="preserve">
</t>
        </r>
      </text>
    </comment>
    <comment ref="C57" authorId="3">
      <text>
        <r>
          <rPr>
            <sz val="9"/>
            <rFont val="宋体"/>
            <family val="3"/>
            <charset val="134"/>
          </rPr>
          <t>1、2015年9月由“北京世纪千和投资发展有限公司”变更”北京合金鼎世贸易有限公司”
2、2017.2.21公司名称又变更为“北京合金鼎盛企业管理咨询有限公司”</t>
        </r>
      </text>
    </comment>
    <comment ref="C59" authorId="3">
      <text>
        <r>
          <rPr>
            <sz val="9"/>
            <rFont val="宋体"/>
            <family val="3"/>
            <charset val="134"/>
          </rPr>
          <t>1、2015年9月由“北京世纪千和投资发展有限公司”变更”北京合金鼎世贸易有限公司”
2、2017.2.21公司名称又变更为“北京合金鼎盛企业管理咨询有限公司”</t>
        </r>
      </text>
    </comment>
    <comment ref="C62" authorId="1">
      <text>
        <r>
          <rPr>
            <sz val="9"/>
            <rFont val="宋体"/>
            <family val="3"/>
            <charset val="134"/>
          </rPr>
          <t xml:space="preserve">2014年6月由“北京首创奥特莱斯房山置业有限公司”变更
</t>
        </r>
        <r>
          <rPr>
            <sz val="9"/>
            <rFont val="宋体"/>
            <family val="3"/>
            <charset val="134"/>
          </rPr>
          <t>2015年8月由“北京创瑞祥安置业有限公司”变更</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<sst xmlns="http://schemas.openxmlformats.org/spreadsheetml/2006/main" count="7536" uniqueCount="3267">
  <si>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</si>
  <si>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</si>
  <si>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</si>
  <si>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</si>
  <si>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</si>
  <si>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</si>
  <si>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</si>
  <si>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</si>
  <si>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</si>
  <si>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</si>
  <si>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</si>
  <si>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</si>
  <si>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</si>
  <si>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</si>
  <si>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</si>
  <si>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</si>
  <si>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</si>
  <si>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</si>
  <si>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</si>
  <si>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</si>
  <si>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</si>
  <si>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</si>
  <si>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</si>
  <si>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</si>
  <si>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</si>
  <si>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</si>
  <si>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</si>
  <si>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</si>
  <si>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</si>
  <si>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</si>
  <si>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</si>
  <si>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</si>
  <si>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</si>
  <si>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</si>
  <si>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</si>
  <si>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</si>
  <si>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</si>
  <si>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</si>
  <si>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</si>
  <si>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</si>
  <si>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</si>
  <si>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</si>
  <si>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</si>
  <si>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</si>
  <si>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</si>
  <si>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</si>
  <si>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</si>
  <si>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</si>
  <si>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</si>
  <si>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</si>
  <si>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</si>
  <si>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</si>
  <si>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</si>
  <si>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</si>
  <si>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</si>
  <si>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</si>
  <si>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</si>
  <si>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</si>
  <si>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</si>
  <si>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</si>
  <si>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</si>
  <si>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</si>
  <si>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</si>
  <si>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</si>
  <si>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</si>
  <si>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</si>
  <si>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</si>
  <si>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</si>
  <si>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</si>
  <si>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</si>
  <si>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</si>
  <si>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</si>
  <si>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</si>
  <si>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</si>
  <si>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</si>
  <si>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</si>
  <si>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</si>
  <si>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</si>
  <si>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</si>
  <si>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</si>
  <si>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</si>
  <si>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</si>
  <si>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</si>
  <si>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</si>
  <si>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</si>
  <si>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</si>
  <si>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</si>
  <si>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</si>
  <si>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</si>
  <si>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</si>
  <si>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</si>
  <si>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</si>
  <si>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</si>
  <si>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</si>
  <si>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</si>
  <si>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</si>
  <si>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</si>
  <si>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</si>
  <si>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</si>
  <si>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</si>
  <si>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</si>
  <si>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</si>
  <si>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</si>
  <si>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</si>
  <si>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</si>
  <si>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</si>
  <si>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</si>
  <si>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</si>
  <si>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</si>
  <si>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</si>
  <si>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</si>
  <si>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</si>
  <si>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</si>
  <si>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</si>
  <si>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</si>
  <si>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</si>
  <si>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</si>
  <si>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</si>
  <si>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</si>
  <si>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</si>
  <si>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</si>
  <si>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</si>
  <si>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</si>
  <si>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</si>
  <si>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</si>
  <si>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</si>
  <si>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</si>
  <si>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</si>
  <si>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</si>
  <si>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</si>
  <si>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</si>
  <si>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</si>
  <si>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</si>
  <si>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</si>
  <si>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</si>
  <si>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</si>
  <si>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</si>
  <si>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</si>
  <si>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</si>
  <si>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</si>
  <si>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</si>
  <si>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</si>
  <si>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</si>
  <si>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</si>
  <si>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</si>
  <si>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</si>
  <si>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</si>
  <si>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</si>
  <si>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</si>
  <si>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</si>
  <si>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</si>
  <si>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</si>
  <si>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</si>
  <si>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</si>
  <si>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</si>
  <si>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</si>
  <si>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</si>
  <si>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</si>
  <si>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</si>
  <si>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</si>
  <si>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</si>
  <si>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</si>
  <si>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</si>
  <si>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</si>
  <si>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</si>
  <si>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</si>
  <si>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</si>
  <si>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</si>
  <si>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</si>
  <si>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</si>
  <si>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</si>
  <si>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</si>
  <si>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</si>
  <si>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</si>
  <si>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</si>
  <si>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</si>
  <si>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</si>
  <si>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</si>
  <si>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</si>
  <si>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</si>
  <si>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</si>
  <si>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</si>
  <si>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</si>
  <si>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</si>
  <si>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</si>
  <si>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</si>
  <si>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</si>
  <si>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</si>
  <si>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</si>
  <si>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</si>
  <si>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</si>
  <si>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</si>
  <si>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</si>
  <si>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</si>
  <si>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</si>
  <si>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</si>
  <si>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</si>
  <si>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</si>
  <si>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</si>
  <si>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</si>
  <si>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</si>
  <si>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</si>
  <si>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</si>
  <si>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</si>
  <si>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</si>
  <si>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</si>
  <si>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</si>
  <si>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</si>
  <si>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</si>
  <si>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</si>
  <si>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</si>
  <si>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</si>
  <si>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</si>
  <si>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</si>
  <si>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</si>
  <si>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</si>
  <si>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</si>
  <si>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</si>
  <si>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</si>
  <si>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</si>
  <si>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</si>
  <si>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</si>
  <si>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</si>
  <si>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</si>
  <si>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</si>
  <si>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</si>
  <si>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</si>
  <si>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</si>
  <si>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</si>
  <si>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</si>
  <si>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</si>
  <si>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</si>
  <si>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</si>
  <si>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</si>
  <si>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</si>
  <si>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</si>
  <si>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</si>
  <si>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</si>
  <si>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</si>
  <si>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</si>
  <si>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</si>
  <si>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</si>
  <si>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</si>
  <si>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</si>
  <si>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</si>
  <si>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</si>
  <si>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</si>
  <si>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</si>
  <si>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</si>
  <si>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</si>
  <si>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</si>
  <si>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</si>
  <si>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</si>
  <si>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</si>
  <si>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</si>
  <si>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</si>
  <si>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</si>
  <si>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</si>
  <si>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</si>
  <si>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</si>
  <si>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</si>
  <si>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</si>
  <si>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</si>
  <si>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</si>
  <si>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</si>
  <si>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</si>
  <si>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</si>
  <si>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</si>
  <si>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</si>
  <si>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</si>
  <si>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</si>
  <si>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</si>
  <si>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</si>
  <si>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</si>
  <si>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</si>
  <si>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</si>
  <si>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</si>
  <si>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</si>
  <si>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</si>
  <si>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</si>
  <si>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</si>
  <si>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</si>
  <si>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</si>
  <si>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</si>
  <si>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</si>
  <si>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</si>
  <si>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</si>
  <si>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</si>
  <si>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</si>
  <si>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</si>
  <si>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</si>
  <si>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</si>
  <si>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</si>
  <si>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</si>
  <si>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</si>
  <si>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</si>
  <si>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</si>
  <si>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</si>
  <si>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</si>
  <si>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</si>
  <si>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</si>
  <si>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</si>
  <si>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</si>
  <si>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</si>
  <si>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</si>
  <si>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</si>
  <si>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</si>
  <si>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</si>
  <si>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</si>
  <si>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</si>
  <si>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</si>
  <si>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</si>
  <si>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</si>
  <si>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</si>
  <si>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</si>
  <si>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</si>
  <si>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</si>
  <si>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</si>
  <si>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</si>
  <si>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</si>
  <si>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</si>
  <si>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</si>
  <si>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</si>
  <si>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</si>
  <si>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</si>
  <si>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</si>
  <si>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</si>
  <si>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</si>
  <si>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</si>
  <si>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</si>
  <si>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</si>
  <si>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</si>
  <si>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</si>
  <si>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</si>
  <si>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</si>
  <si>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</si>
  <si>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</si>
  <si>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</si>
  <si>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</si>
  <si>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</si>
  <si>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</si>
  <si>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</si>
  <si>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</si>
  <si>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</si>
  <si>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</si>
  <si>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</si>
  <si>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</si>
  <si>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</si>
  <si>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</si>
  <si>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</si>
  <si>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</si>
  <si>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</si>
  <si>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</si>
  <si>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</si>
  <si>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</si>
  <si>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</si>
  <si>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</si>
  <si>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</si>
  <si>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</si>
  <si>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</si>
  <si>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</si>
  <si>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</si>
  <si>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</si>
  <si>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</si>
  <si>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</si>
  <si>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</si>
  <si>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</si>
  <si>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</si>
  <si>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</si>
  <si>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</si>
  <si>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</si>
  <si>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</si>
  <si>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</si>
  <si>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</si>
  <si>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</si>
  <si>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</si>
  <si>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</si>
  <si>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</si>
  <si>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</si>
  <si>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</si>
  <si>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</si>
  <si>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</si>
  <si>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</si>
  <si>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</si>
  <si>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</si>
  <si>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</si>
  <si>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</si>
  <si>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</si>
  <si>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</si>
  <si>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</si>
  <si>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</si>
  <si>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</si>
  <si>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</si>
  <si>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</si>
  <si>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</si>
  <si>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</si>
  <si>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</si>
  <si>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</si>
  <si>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</si>
  <si>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</si>
  <si>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</si>
  <si>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</si>
  <si>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</si>
  <si>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</si>
  <si>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</si>
  <si>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</si>
  <si>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</si>
  <si>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</si>
  <si>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</si>
  <si>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</si>
  <si>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</si>
  <si>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</si>
  <si>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</si>
  <si>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</si>
  <si>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</si>
  <si>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</si>
  <si>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</si>
  <si>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</si>
  <si>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</si>
  <si>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</si>
  <si>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</si>
  <si>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</si>
  <si>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</si>
  <si>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</si>
  <si>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</si>
  <si>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</si>
  <si>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</si>
  <si>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</si>
  <si>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</si>
  <si>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</si>
  <si>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</si>
  <si>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</si>
  <si>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</si>
  <si>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</si>
  <si>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</si>
  <si>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</si>
  <si>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</si>
  <si>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</si>
  <si>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</si>
  <si>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</si>
  <si>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</si>
  <si>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</si>
  <si>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</si>
  <si>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</si>
  <si>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</si>
  <si>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</si>
  <si>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</si>
  <si>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</si>
  <si>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</si>
  <si>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</si>
  <si>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</si>
  <si>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</si>
  <si>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</si>
  <si>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</si>
  <si>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</si>
  <si>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</si>
  <si>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</si>
  <si>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</si>
  <si>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</si>
  <si>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</si>
  <si>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</si>
  <si>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</si>
  <si>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</si>
  <si>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</si>
  <si>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</si>
  <si>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</si>
  <si>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</si>
  <si>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</si>
  <si>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</si>
  <si>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</si>
  <si>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</si>
  <si>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</si>
  <si>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</si>
  <si>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</si>
  <si>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</si>
  <si>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</si>
  <si>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</si>
  <si>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</si>
  <si>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</si>
  <si>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</si>
  <si>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</si>
  <si>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</si>
  <si>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</si>
  <si>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</si>
  <si>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</si>
  <si>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</si>
  <si>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</si>
  <si>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</si>
  <si>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</si>
  <si>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</si>
  <si>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</si>
  <si>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</si>
  <si>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</si>
  <si>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</si>
  <si>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</si>
  <si>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</si>
  <si>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</si>
  <si>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</si>
  <si>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</si>
  <si>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</si>
  <si>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</si>
  <si>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</si>
  <si>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</si>
  <si>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</si>
  <si>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</si>
  <si>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</si>
  <si>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</si>
  <si>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</si>
  <si>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</si>
  <si>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</si>
  <si>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</si>
  <si>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</si>
  <si>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</si>
  <si>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</si>
  <si>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</si>
  <si>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</si>
  <si>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</si>
  <si>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</si>
  <si>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</si>
  <si>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</si>
  <si>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</si>
  <si>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</si>
  <si>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</si>
  <si>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</si>
  <si>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</si>
  <si>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</si>
  <si>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</si>
  <si>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</si>
  <si>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</si>
  <si>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</si>
  <si>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</si>
  <si>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</si>
  <si>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</si>
  <si>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</si>
  <si>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</si>
  <si>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</si>
  <si>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</si>
  <si>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</si>
  <si>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</si>
  <si>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</si>
  <si>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</si>
  <si>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</si>
  <si>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</si>
  <si>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</si>
  <si>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</si>
  <si>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</si>
  <si>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</si>
  <si>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</si>
  <si>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</si>
  <si>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</si>
  <si>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</si>
  <si>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</si>
  <si>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</si>
  <si>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</si>
  <si>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</si>
  <si>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</si>
  <si>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</si>
  <si>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</si>
  <si>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</si>
  <si>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</si>
  <si>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</si>
  <si>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</si>
  <si>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</si>
  <si>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</si>
  <si>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</si>
  <si>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</si>
  <si>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</si>
  <si>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</si>
  <si>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</si>
  <si>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</si>
  <si>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</si>
  <si>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</si>
  <si>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</si>
  <si>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</si>
  <si>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</si>
  <si>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</si>
  <si>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</si>
  <si>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</si>
  <si>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</si>
  <si>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</si>
  <si>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</si>
  <si>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</si>
  <si>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</si>
  <si>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</si>
  <si>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</si>
  <si>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</si>
  <si>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</si>
  <si>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</si>
  <si>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</si>
  <si>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</si>
  <si>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</si>
  <si>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</si>
  <si>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</si>
  <si>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</si>
  <si>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</si>
  <si>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</si>
  <si>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</si>
  <si>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</si>
  <si>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</si>
  <si>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</si>
  <si>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</si>
  <si>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</si>
  <si>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</si>
  <si>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</si>
  <si>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</si>
  <si>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</si>
  <si>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</si>
  <si>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</si>
  <si>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</si>
  <si>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</si>
  <si>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</si>
  <si>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</si>
  <si>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</si>
  <si>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</si>
  <si>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</si>
  <si>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</si>
  <si>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</si>
  <si>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</si>
  <si>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</si>
  <si>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</si>
  <si>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</si>
  <si>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</si>
  <si>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</si>
  <si>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</si>
  <si>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</si>
  <si>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</si>
  <si>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</si>
  <si>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</si>
  <si>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</si>
  <si>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</si>
  <si>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</si>
  <si>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</si>
  <si>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</si>
  <si>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</si>
  <si>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</si>
  <si>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</si>
  <si>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</si>
  <si>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</si>
  <si>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</si>
  <si>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</si>
  <si>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</si>
  <si>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</si>
  <si>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</si>
  <si>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</si>
  <si>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</si>
  <si>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</si>
  <si>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</si>
  <si>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</si>
  <si>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</si>
  <si>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</si>
  <si>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</si>
  <si>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</si>
  <si>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</si>
  <si>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</si>
  <si>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</si>
  <si>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</si>
  <si>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</si>
  <si>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</si>
  <si>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</si>
  <si>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</si>
  <si>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</si>
  <si>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</si>
  <si>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</si>
  <si>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</si>
  <si>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</si>
  <si>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</si>
  <si>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</si>
  <si>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</si>
  <si>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</si>
  <si>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</si>
  <si>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</si>
  <si>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</si>
  <si>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</si>
  <si>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</si>
  <si>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</si>
  <si>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</si>
  <si>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</si>
  <si>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</si>
  <si>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</si>
  <si>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</si>
  <si>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</si>
  <si>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</si>
  <si>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</si>
  <si>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</si>
  <si>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</si>
  <si>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</si>
  <si>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</si>
  <si>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</si>
  <si>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</si>
  <si>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</si>
  <si>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</si>
  <si>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</si>
  <si>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</si>
  <si>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</si>
  <si>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</si>
  <si>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</si>
  <si>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</si>
  <si>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</si>
  <si>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</si>
  <si>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</si>
  <si>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</si>
  <si>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</si>
  <si>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</si>
  <si>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</si>
  <si>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</si>
  <si>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</si>
  <si>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</si>
  <si>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</si>
  <si>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</si>
  <si>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</si>
  <si>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</si>
  <si>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</si>
  <si>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</si>
  <si>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</si>
  <si>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</si>
  <si>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</si>
  <si>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</si>
  <si>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</si>
  <si>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</si>
  <si>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</si>
  <si>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</si>
  <si>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</si>
  <si>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</si>
  <si>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</si>
  <si>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</si>
  <si>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</si>
  <si>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</si>
  <si>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</si>
  <si>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</si>
  <si>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</si>
  <si>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</si>
  <si>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</si>
  <si>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</si>
  <si>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</si>
  <si>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</si>
  <si>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</si>
  <si>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</si>
  <si>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</si>
  <si>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</si>
  <si>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</si>
  <si>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</si>
  <si>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</si>
  <si>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</si>
  <si>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</si>
  <si>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</si>
  <si>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</si>
  <si>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</si>
  <si>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</si>
  <si>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</si>
  <si>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</si>
  <si>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</si>
  <si>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</si>
  <si>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</si>
  <si>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</si>
  <si>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</si>
  <si>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</si>
  <si>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</si>
  <si>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</si>
  <si>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</si>
  <si>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</si>
  <si>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</si>
  <si>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</si>
  <si>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</si>
  <si>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</si>
  <si>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</si>
  <si>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</si>
  <si>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</si>
  <si>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</si>
  <si>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</si>
  <si>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</si>
  <si>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</si>
  <si>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</si>
  <si>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</si>
  <si>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</si>
  <si>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</si>
  <si>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</si>
  <si>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</si>
  <si>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</si>
  <si>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</si>
  <si>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</si>
  <si>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</si>
  <si>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</si>
  <si>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</si>
  <si>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</si>
  <si>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</si>
  <si>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</si>
  <si>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</si>
  <si>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</si>
  <si>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</si>
  <si>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</si>
  <si>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</si>
  <si>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</si>
  <si>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</si>
  <si>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</si>
  <si>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</si>
  <si>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</si>
  <si>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</si>
  <si>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</si>
  <si>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</si>
  <si>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</si>
  <si>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</si>
  <si>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</si>
  <si>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</si>
  <si>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</si>
  <si>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</si>
  <si>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</si>
  <si>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</si>
  <si>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</si>
  <si>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</si>
  <si>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</si>
  <si>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</si>
  <si>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</si>
  <si>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</si>
  <si>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</si>
  <si>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</si>
  <si>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</si>
  <si>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</si>
  <si>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</si>
  <si>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</si>
  <si>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</si>
  <si>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</si>
  <si>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</si>
  <si>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</si>
  <si>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</si>
  <si>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</si>
  <si>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</si>
  <si>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</si>
  <si>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</si>
  <si>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</si>
  <si>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</si>
  <si>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</si>
  <si>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</si>
  <si>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</si>
  <si>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</si>
  <si>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</si>
  <si>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</si>
  <si>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</si>
  <si>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</si>
  <si>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</si>
  <si>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</si>
  <si>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</si>
  <si>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</si>
  <si>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</si>
  <si>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</si>
  <si>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</si>
  <si>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</si>
  <si>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</si>
  <si>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</si>
  <si>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</si>
  <si>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</si>
  <si>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</si>
  <si>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</si>
  <si>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</si>
  <si>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</si>
  <si>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</si>
  <si>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</si>
  <si>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</si>
  <si>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</si>
  <si>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</si>
  <si>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</si>
  <si>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</si>
  <si>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</si>
  <si>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</si>
  <si>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</si>
  <si>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</si>
  <si>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</si>
  <si>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</si>
  <si>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</si>
  <si>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</si>
  <si>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</si>
  <si>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</si>
  <si>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</si>
  <si>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</si>
  <si>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</si>
  <si>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</si>
  <si>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</si>
  <si>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</si>
  <si>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</si>
  <si>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</si>
  <si>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</si>
  <si>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</si>
  <si>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</si>
  <si>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</si>
  <si>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</si>
  <si>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</si>
  <si>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</si>
  <si>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</si>
  <si>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</si>
  <si>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</si>
  <si>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</si>
  <si>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</si>
  <si>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</si>
  <si>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</si>
  <si>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</si>
  <si>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</si>
  <si>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</si>
  <si>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</si>
  <si>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</si>
  <si>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</si>
  <si>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</si>
  <si>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</si>
  <si>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</si>
  <si>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</si>
  <si>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</si>
  <si>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</si>
  <si>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</si>
  <si>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</si>
  <si>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</si>
  <si>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</si>
  <si>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</si>
  <si>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</si>
  <si>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</si>
  <si>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</si>
  <si>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</si>
  <si>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</si>
  <si>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</si>
  <si>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</si>
  <si>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</si>
  <si>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</si>
  <si>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</si>
  <si>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</si>
  <si>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</si>
  <si>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</si>
  <si>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</si>
  <si>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</si>
  <si>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</si>
  <si>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</si>
  <si>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</si>
  <si>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</si>
  <si>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</si>
  <si>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</si>
  <si>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</si>
  <si>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</si>
  <si>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</si>
  <si>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</si>
  <si>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</si>
  <si>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</si>
  <si>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</si>
  <si>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</si>
  <si>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</si>
  <si>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</si>
  <si>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</si>
  <si>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</si>
  <si>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</si>
  <si>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</si>
  <si>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</si>
  <si>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</si>
  <si>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</si>
  <si>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</si>
  <si>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</si>
  <si>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</si>
  <si>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</si>
  <si>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</si>
  <si>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</si>
  <si>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</si>
  <si>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</si>
  <si>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</si>
  <si>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</si>
  <si>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</si>
  <si>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</si>
  <si>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</si>
  <si>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</si>
  <si>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</si>
  <si>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</si>
  <si>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</si>
  <si>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</si>
  <si>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</si>
  <si>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</si>
  <si>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</si>
  <si>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</si>
  <si>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</si>
  <si>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</si>
  <si>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</si>
  <si>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</si>
  <si>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</si>
  <si>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</si>
  <si>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</si>
  <si>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</si>
  <si>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</si>
  <si>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</si>
  <si>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</si>
  <si>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</si>
  <si>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</si>
  <si>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</si>
  <si>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</si>
  <si>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</si>
  <si>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</si>
  <si>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</si>
  <si>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</si>
  <si>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</si>
  <si>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</si>
  <si>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</si>
  <si>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</si>
  <si>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</si>
  <si>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</si>
  <si>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</si>
  <si>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</si>
  <si>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</si>
  <si>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</si>
  <si>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</si>
  <si>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</si>
  <si>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</si>
  <si>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</si>
  <si>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</si>
  <si>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</si>
  <si>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</si>
  <si>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</si>
  <si>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</si>
  <si>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</si>
  <si>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</si>
  <si>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</si>
  <si>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</si>
  <si>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</si>
  <si>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</si>
  <si>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</si>
  <si>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</si>
  <si>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</si>
  <si>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</si>
  <si>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</si>
  <si>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</si>
  <si>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</si>
  <si>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</si>
  <si>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</si>
  <si>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</si>
  <si>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</si>
  <si>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</si>
  <si>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</si>
  <si>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</si>
  <si>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</si>
  <si>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</si>
  <si>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</si>
  <si>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</si>
  <si>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</si>
  <si>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</si>
  <si>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</si>
  <si>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</si>
  <si>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</si>
  <si>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</si>
  <si>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</si>
  <si>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</si>
  <si>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</si>
  <si>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</si>
  <si>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</si>
  <si>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</si>
  <si>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</si>
  <si>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</si>
  <si>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</si>
  <si>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</si>
  <si>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</si>
  <si>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</si>
  <si>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</si>
  <si>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</si>
  <si>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</si>
  <si>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</si>
  <si>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</si>
  <si>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</si>
  <si>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</si>
  <si>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</si>
  <si>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</si>
  <si>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</si>
  <si>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</si>
  <si>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</si>
  <si>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</si>
  <si>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</si>
  <si>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</si>
  <si>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</si>
  <si>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</si>
  <si>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</si>
  <si>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</si>
  <si>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</si>
  <si>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</si>
  <si>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</si>
  <si>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</si>
  <si>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</si>
  <si>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</si>
  <si>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</si>
  <si>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</si>
  <si>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</si>
  <si>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</si>
  <si>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</si>
  <si>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</si>
  <si>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</si>
  <si>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</si>
  <si>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</si>
  <si>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</si>
  <si>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</si>
  <si>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</si>
  <si>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</si>
  <si>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</si>
  <si>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</si>
  <si>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</si>
  <si>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</si>
  <si>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</si>
  <si>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</si>
  <si>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</si>
  <si>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</si>
  <si>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</si>
  <si>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</si>
  <si>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</si>
  <si>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</si>
  <si>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</si>
  <si>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</si>
  <si>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</si>
  <si>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</si>
  <si>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</si>
  <si>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</si>
  <si>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</si>
  <si>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</si>
  <si>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</si>
  <si>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</si>
  <si>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</si>
  <si>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</si>
  <si>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</si>
  <si>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</si>
  <si>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</si>
  <si>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</si>
  <si>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</si>
  <si>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</si>
  <si>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</si>
  <si>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</si>
  <si>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</si>
  <si>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</si>
  <si>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</si>
  <si>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</si>
  <si>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</si>
  <si>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</si>
  <si>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</si>
  <si>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</si>
  <si>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</si>
  <si>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</si>
  <si>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</si>
  <si>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</si>
  <si>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</si>
  <si>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</si>
  <si>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</si>
  <si>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</si>
  <si>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</si>
  <si>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</si>
  <si>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</si>
  <si>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</si>
  <si>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</si>
  <si>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</si>
  <si>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</si>
  <si>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</si>
  <si>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</si>
  <si>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</si>
  <si>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</si>
  <si>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</si>
  <si>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</si>
  <si>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</si>
  <si>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</si>
  <si>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</si>
  <si>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</si>
  <si>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</si>
  <si>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</si>
  <si>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</si>
  <si>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</si>
  <si>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</si>
  <si>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</si>
  <si>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</si>
  <si>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</si>
  <si>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</si>
  <si>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</si>
  <si>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</si>
  <si>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</si>
  <si>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</si>
  <si>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</si>
  <si>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</si>
  <si>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</si>
  <si>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</si>
  <si>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</si>
  <si>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</si>
  <si>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</si>
  <si>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</si>
  <si>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</si>
  <si>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</si>
  <si>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</si>
  <si>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</si>
  <si>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</si>
  <si>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</si>
  <si>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</si>
  <si>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</si>
  <si>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</si>
  <si>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</si>
  <si>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</si>
  <si>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</si>
  <si>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</si>
  <si>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</si>
  <si>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</si>
  <si>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</si>
  <si>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</si>
  <si>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</si>
  <si>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</si>
  <si>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</si>
  <si>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</si>
  <si>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</si>
  <si>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</si>
  <si>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</si>
  <si>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</si>
  <si>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</si>
  <si>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</si>
  <si>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</si>
  <si>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</si>
  <si>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</si>
  <si>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</si>
  <si>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</si>
  <si>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</si>
  <si>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</si>
  <si>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</si>
  <si>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</si>
  <si>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</si>
  <si>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</si>
  <si>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</si>
  <si>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</si>
  <si>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</si>
  <si>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</si>
  <si>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</si>
  <si>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</si>
  <si>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</si>
  <si>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</si>
  <si>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</si>
  <si>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</si>
  <si>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</si>
  <si>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</si>
  <si>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</si>
  <si>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</si>
  <si>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</si>
  <si>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</si>
  <si>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</si>
  <si>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</si>
  <si>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</si>
  <si>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</si>
  <si>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</si>
  <si>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</si>
  <si>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</si>
  <si>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</si>
  <si>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</si>
  <si>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</si>
  <si>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</si>
  <si>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</si>
  <si>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</si>
  <si>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</si>
  <si>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</si>
  <si>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</si>
  <si>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</si>
  <si>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</si>
  <si>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</si>
  <si>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</si>
  <si>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</si>
  <si>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</si>
  <si>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</si>
  <si>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</si>
  <si>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</si>
  <si>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</si>
  <si>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</si>
  <si>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</si>
  <si>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</si>
  <si>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</si>
  <si>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</si>
  <si>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</si>
  <si>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</si>
  <si>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</si>
  <si>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</si>
  <si>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</si>
  <si>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</si>
  <si>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</si>
  <si>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</si>
  <si>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</si>
  <si>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</si>
  <si>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</si>
  <si>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</si>
  <si>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</si>
  <si>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</si>
  <si>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</si>
  <si>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</si>
  <si>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</si>
  <si>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</si>
  <si>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</si>
  <si>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</si>
  <si>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</si>
  <si>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</si>
  <si>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</si>
  <si>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</si>
  <si>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</si>
  <si>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</si>
  <si>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</si>
  <si>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</si>
  <si>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</si>
  <si>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</si>
  <si>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</si>
  <si>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</si>
  <si>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</si>
  <si>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</si>
  <si>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</si>
  <si>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</si>
  <si>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</si>
  <si>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</si>
  <si>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</si>
  <si>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</si>
  <si>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</si>
  <si>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</si>
  <si>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</si>
  <si>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</si>
  <si>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</si>
  <si>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</si>
  <si>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</si>
  <si>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</si>
  <si>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</si>
  <si>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</si>
  <si>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</si>
  <si>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</si>
  <si>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</si>
  <si>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</si>
  <si>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</si>
  <si>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</si>
  <si>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</si>
  <si>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</si>
  <si>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</si>
  <si>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</si>
  <si>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</si>
  <si>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</si>
  <si>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</si>
  <si>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</si>
  <si>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</si>
  <si>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</si>
  <si>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</si>
  <si>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</si>
  <si>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</si>
  <si>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</si>
  <si>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</si>
  <si>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</si>
  <si>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</si>
  <si>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</si>
  <si>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</si>
  <si>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</si>
  <si>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</si>
  <si>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</si>
  <si>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</si>
  <si>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</si>
  <si>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</si>
  <si>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</si>
  <si>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</si>
  <si>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</si>
  <si>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</si>
  <si>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</si>
  <si>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</si>
  <si>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</si>
  <si>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</si>
  <si>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</si>
  <si>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</si>
  <si>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</si>
  <si>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</si>
  <si>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</si>
  <si>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</si>
  <si>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</si>
  <si>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</si>
  <si>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</si>
  <si>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</si>
  <si>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</si>
  <si>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</si>
  <si>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</si>
  <si>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</si>
  <si>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</si>
  <si>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</si>
  <si>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</si>
  <si>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</si>
  <si>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</si>
  <si>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</si>
  <si>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</si>
  <si>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</si>
  <si>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</si>
  <si>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</si>
  <si>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</si>
  <si>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</si>
  <si>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</si>
  <si>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</si>
  <si>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</si>
  <si>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</si>
  <si>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</si>
  <si>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</si>
  <si>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</si>
  <si>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</si>
  <si>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</si>
  <si>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</si>
  <si>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</si>
  <si>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</si>
  <si>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</si>
  <si>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</si>
  <si>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</si>
  <si>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</si>
  <si>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</si>
  <si>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</si>
  <si>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</si>
  <si>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</si>
  <si>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</si>
  <si>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</si>
  <si>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</si>
  <si>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</si>
  <si>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</si>
  <si>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</si>
  <si>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</si>
  <si>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</si>
  <si>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</si>
  <si>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</si>
  <si>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</si>
  <si>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</si>
  <si>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</si>
  <si>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</si>
  <si>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</si>
  <si>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</si>
  <si>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</si>
  <si>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</si>
  <si>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</si>
  <si>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</si>
  <si>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</si>
  <si>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</si>
  <si>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</si>
  <si>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</si>
  <si>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</si>
  <si>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</si>
  <si>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</si>
  <si>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</si>
  <si>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</si>
  <si>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</si>
  <si>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</si>
  <si>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</si>
  <si>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</si>
  <si>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</si>
  <si>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</si>
  <si>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</si>
  <si>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</si>
  <si>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</si>
  <si>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</si>
  <si>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</si>
  <si>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</si>
  <si>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</si>
  <si>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</si>
  <si>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</si>
  <si>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</si>
  <si>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</si>
  <si>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</si>
  <si>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</si>
  <si>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</si>
  <si>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</si>
  <si>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</si>
  <si>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</si>
  <si>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</si>
  <si>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</si>
  <si>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</si>
  <si>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</si>
  <si>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</si>
  <si>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</si>
  <si>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</si>
  <si>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</si>
  <si>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</si>
  <si>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</si>
  <si>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</si>
  <si>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</si>
  <si>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</si>
  <si>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</si>
  <si>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</si>
  <si>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</si>
  <si>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</si>
  <si>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</si>
  <si>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</si>
  <si>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</si>
  <si>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</si>
  <si>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</si>
  <si>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</si>
  <si>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</si>
  <si>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</si>
  <si>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</si>
  <si>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</si>
  <si>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</si>
  <si>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</si>
  <si>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</si>
  <si>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</si>
  <si>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</si>
  <si>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</si>
  <si>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</si>
  <si>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</si>
  <si>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</si>
  <si>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</si>
  <si>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</si>
  <si>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</si>
  <si>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</si>
  <si>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</si>
  <si>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</si>
  <si>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</si>
  <si>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</si>
  <si>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</si>
  <si>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</si>
  <si>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</si>
  <si>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</si>
  <si>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</si>
  <si>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</si>
  <si>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</si>
  <si>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</si>
  <si>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</si>
  <si>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</si>
  <si>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</si>
  <si>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</si>
  <si>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</si>
  <si>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</si>
  <si>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</si>
  <si>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</si>
  <si>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</si>
  <si>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</si>
  <si>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</si>
  <si>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</si>
  <si>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</si>
  <si>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</si>
  <si>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</si>
  <si>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</si>
  <si>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</si>
  <si>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</si>
  <si>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</si>
  <si>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</si>
  <si>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</si>
  <si>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</si>
  <si>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</si>
  <si>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</si>
  <si>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</si>
  <si>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</si>
  <si>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</si>
  <si>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</si>
  <si>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</si>
  <si>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</si>
  <si>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</si>
  <si>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</si>
  <si>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</si>
  <si>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</si>
  <si>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</si>
  <si>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</si>
  <si>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</si>
  <si>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</si>
  <si>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</si>
  <si>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</si>
  <si>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</si>
  <si>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</si>
  <si>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</si>
  <si>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</si>
  <si>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</si>
  <si>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</si>
  <si>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</si>
  <si>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</si>
  <si>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</si>
  <si>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</si>
  <si>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</si>
  <si>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</si>
  <si>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</si>
  <si>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</si>
  <si>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</si>
  <si>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</si>
  <si>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</si>
  <si>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</si>
  <si>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</si>
  <si>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</si>
  <si>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</si>
  <si>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</si>
  <si>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</si>
  <si>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</si>
  <si>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</si>
  <si>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</si>
  <si>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</si>
  <si>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</si>
  <si>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</si>
  <si>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</si>
  <si>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</si>
  <si>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</si>
  <si>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</si>
  <si>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</si>
  <si>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</si>
  <si>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</si>
  <si>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</si>
  <si>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</si>
  <si>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</si>
  <si>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</si>
  <si>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</si>
  <si>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</si>
  <si>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</si>
  <si>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</si>
  <si>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</si>
  <si>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</si>
  <si>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</si>
  <si>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</si>
  <si>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</si>
  <si>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</si>
  <si>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</si>
  <si>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</si>
  <si>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</si>
  <si>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</si>
  <si>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</si>
  <si>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</si>
  <si>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</si>
  <si>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</si>
  <si>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</si>
  <si>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</si>
  <si>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</si>
  <si>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</si>
  <si>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</si>
  <si>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</si>
  <si>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</si>
  <si>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</si>
  <si>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</si>
  <si>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</si>
  <si>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</si>
  <si>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</si>
  <si>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</si>
  <si>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</si>
  <si>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</si>
  <si>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</si>
  <si>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</si>
  <si>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</si>
  <si>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</si>
  <si>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</si>
  <si>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</si>
  <si>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</si>
  <si>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</si>
  <si>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</si>
  <si>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</si>
  <si>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</si>
  <si>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</si>
  <si>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</si>
  <si>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</si>
  <si>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</si>
  <si>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</si>
  <si>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</si>
  <si>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</si>
  <si>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</si>
  <si>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</si>
  <si>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</si>
  <si>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</si>
  <si>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</si>
  <si>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</si>
  <si>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</si>
  <si>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</si>
  <si>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</si>
  <si>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</si>
  <si>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</si>
  <si>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</si>
  <si>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</si>
  <si>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</si>
  <si>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</si>
  <si>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</si>
  <si>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</si>
  <si>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</si>
  <si>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</si>
  <si>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</si>
  <si>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</si>
  <si>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</si>
  <si>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</si>
  <si>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</si>
  <si>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</si>
  <si>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</si>
  <si>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</si>
  <si>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</si>
  <si>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</si>
  <si>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</si>
  <si>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</si>
  <si>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</si>
  <si>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</si>
  <si>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</si>
  <si>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</si>
  <si>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</si>
  <si>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</si>
  <si>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</si>
  <si>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</si>
  <si>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</si>
  <si>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</si>
  <si>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</si>
  <si>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</si>
  <si>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</si>
  <si>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</si>
  <si>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</si>
  <si>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</si>
  <si>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</si>
  <si>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</si>
  <si>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</si>
  <si>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</si>
  <si>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</si>
  <si>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</si>
  <si>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</si>
  <si>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</si>
  <si>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</si>
  <si>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</si>
  <si>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</si>
  <si>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</si>
  <si>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</si>
  <si>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</si>
  <si>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</si>
  <si>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</si>
  <si>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</si>
  <si>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</si>
  <si>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</si>
  <si>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</si>
  <si>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</si>
  <si>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</si>
  <si>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</si>
  <si>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</si>
  <si>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</si>
  <si>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</si>
  <si>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</si>
  <si>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</si>
  <si>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</si>
  <si>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</si>
  <si>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</si>
  <si>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</si>
  <si>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</si>
  <si>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</si>
  <si>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</si>
  <si>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</si>
  <si>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</si>
  <si>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</si>
  <si>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</si>
  <si>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</si>
  <si>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</si>
  <si>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</si>
  <si>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</si>
  <si>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</si>
  <si>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</si>
  <si>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</si>
  <si>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</si>
  <si>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</si>
  <si>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</si>
  <si>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</si>
  <si>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</si>
  <si>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</si>
  <si>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</si>
  <si>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</si>
  <si>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</si>
  <si>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</si>
  <si>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</si>
  <si>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</si>
  <si>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</si>
  <si>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</si>
  <si>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</si>
  <si>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</si>
  <si>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</si>
  <si>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</si>
  <si>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</si>
  <si>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</si>
  <si>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</si>
  <si>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</si>
  <si>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</si>
  <si>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</si>
  <si>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</si>
  <si>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</si>
  <si>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</si>
  <si>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</si>
  <si>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</si>
  <si>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</si>
  <si>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</si>
  <si>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</si>
  <si>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</si>
  <si>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</si>
  <si>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</si>
  <si>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</si>
  <si>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</si>
  <si>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</si>
  <si>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</si>
  <si>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</si>
  <si>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</si>
  <si>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</si>
  <si>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</si>
  <si>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</si>
  <si>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</si>
  <si>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</si>
  <si>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</si>
  <si>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</si>
  <si>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</si>
  <si>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</si>
  <si>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</si>
  <si>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</si>
  <si>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</si>
  <si>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</si>
  <si>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</si>
  <si>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</si>
  <si>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</si>
  <si>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</si>
  <si>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</si>
  <si>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</si>
  <si>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</si>
  <si>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</si>
  <si>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</si>
  <si>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</si>
  <si>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</si>
  <si>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</si>
  <si>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</si>
  <si>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</si>
  <si>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</si>
  <si>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</si>
  <si>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</si>
  <si>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</si>
  <si>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</si>
  <si>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</si>
  <si>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</si>
  <si>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</si>
  <si>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</si>
  <si>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</si>
  <si>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</si>
  <si>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</si>
  <si>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</si>
  <si>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</si>
  <si>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</si>
  <si>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</si>
  <si>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</si>
  <si>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</si>
  <si>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</si>
  <si>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</si>
  <si>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</si>
  <si>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</si>
  <si>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</si>
  <si>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</si>
  <si>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</si>
  <si>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</si>
  <si>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</si>
  <si>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</si>
  <si>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</si>
  <si>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</si>
  <si>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</si>
  <si>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</si>
  <si>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</si>
  <si>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</si>
  <si>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</si>
  <si>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</si>
  <si>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</si>
  <si>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</si>
  <si>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</si>
  <si>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</si>
  <si>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</si>
  <si>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</si>
  <si>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</si>
  <si>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</si>
  <si>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</si>
  <si>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</si>
  <si>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</si>
  <si>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</si>
  <si>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</si>
  <si>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</si>
  <si>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</si>
  <si>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</si>
  <si>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</si>
  <si>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</si>
  <si>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</si>
  <si>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</si>
  <si>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</si>
  <si>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</si>
  <si>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</si>
  <si>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</si>
  <si>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</si>
  <si>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</si>
  <si>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</si>
  <si>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</si>
  <si>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</si>
  <si>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</si>
  <si>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</si>
  <si>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</si>
  <si>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</si>
  <si>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</si>
  <si>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</si>
  <si>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</si>
  <si>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</si>
  <si>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</si>
  <si>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</si>
  <si>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</si>
  <si>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</si>
  <si>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</si>
  <si>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</si>
  <si>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</si>
  <si>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</si>
  <si>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</si>
  <si>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</si>
  <si>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</si>
  <si>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</si>
  <si>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</si>
  <si>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</si>
  <si>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</si>
  <si>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</si>
  <si>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</si>
  <si>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</si>
  <si>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</si>
  <si>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</si>
  <si>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</si>
  <si>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</si>
  <si>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</si>
  <si>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</si>
  <si>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</si>
  <si>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</si>
  <si>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</si>
  <si>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</si>
  <si>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</si>
  <si>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</si>
  <si>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</si>
  <si>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</si>
  <si>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</si>
  <si>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</si>
  <si>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</si>
  <si>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</si>
  <si>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</si>
  <si>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</si>
  <si>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</si>
  <si>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</si>
  <si>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</si>
  <si>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</si>
  <si>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</si>
  <si>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</si>
  <si>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</si>
  <si>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</si>
  <si>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</si>
  <si>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</si>
  <si>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</si>
  <si>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</si>
  <si>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</si>
  <si>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</si>
  <si>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</si>
  <si>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</si>
  <si>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</si>
  <si>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</si>
  <si>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</si>
  <si>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</si>
  <si>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</si>
  <si>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</si>
  <si>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</si>
  <si>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</si>
  <si>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</si>
  <si>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</si>
  <si>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</si>
  <si>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</si>
  <si>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</si>
  <si>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</si>
  <si>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</si>
  <si>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</si>
  <si>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</si>
  <si>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</si>
  <si>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</si>
  <si>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</si>
  <si>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</si>
  <si>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</si>
  <si>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</si>
  <si>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</si>
  <si>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</si>
  <si>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</si>
  <si>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</si>
  <si>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</si>
  <si>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</si>
  <si>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</si>
  <si>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</si>
  <si>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</si>
  <si>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</si>
  <si>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</si>
  <si>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</si>
  <si>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</si>
  <si>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</si>
  <si>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</si>
  <si>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</si>
  <si>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</si>
  <si>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</si>
  <si>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</si>
  <si>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</si>
  <si>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</si>
  <si>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</si>
  <si>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</si>
  <si>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</si>
  <si>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</si>
  <si>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</si>
  <si>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</si>
  <si>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</si>
  <si>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</si>
  <si>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</si>
  <si>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</si>
  <si>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</si>
  <si>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</si>
  <si>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</si>
  <si>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</si>
  <si>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</si>
  <si>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</si>
  <si>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</si>
  <si>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</si>
  <si>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</si>
  <si>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</si>
  <si>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</si>
  <si>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</si>
  <si>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</si>
  <si>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</si>
  <si>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</si>
  <si>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</si>
  <si>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</si>
  <si>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</si>
  <si>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</si>
  <si>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</si>
  <si>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</si>
  <si>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</si>
  <si>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</si>
  <si>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</si>
  <si>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</si>
  <si>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</si>
  <si>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</si>
  <si>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</si>
  <si>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</si>
  <si>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</si>
  <si>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</si>
  <si>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</si>
  <si>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</si>
  <si>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</si>
  <si>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</si>
  <si>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</si>
  <si>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</si>
  <si>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</si>
  <si>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</si>
  <si>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</si>
  <si>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</si>
  <si>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</si>
  <si>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</si>
  <si>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</si>
  <si>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</si>
  <si>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</si>
  <si>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</si>
  <si>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</si>
  <si>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</si>
  <si>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</si>
  <si>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</si>
  <si>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</si>
  <si>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</si>
  <si>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</si>
  <si>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</si>
  <si>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</si>
  <si>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</si>
  <si>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</si>
  <si>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</si>
  <si>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</si>
  <si>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</si>
  <si>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</si>
  <si>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</si>
  <si>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</si>
  <si>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</si>
  <si>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</si>
  <si>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</si>
  <si>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</si>
  <si>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</si>
  <si>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</si>
  <si>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</si>
  <si>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</si>
  <si>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</si>
  <si>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</si>
  <si>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</si>
  <si>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</si>
  <si>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</si>
  <si>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</si>
  <si>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</si>
  <si>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</si>
  <si>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</si>
  <si>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</si>
  <si>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</si>
  <si>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</si>
  <si>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</si>
  <si>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</si>
  <si>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</si>
  <si>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</si>
  <si>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</si>
  <si>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</si>
  <si>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</si>
  <si>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</si>
  <si>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</si>
  <si>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</si>
  <si>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</si>
  <si>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</si>
  <si>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</si>
  <si>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</si>
  <si>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</si>
  <si>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</si>
  <si>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</si>
  <si>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</si>
  <si>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</si>
  <si>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</si>
  <si>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</si>
  <si>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</si>
  <si>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</si>
  <si>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</si>
  <si>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</si>
  <si>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</si>
  <si>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</si>
  <si>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</si>
  <si>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</si>
  <si>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</si>
  <si>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</si>
  <si>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</si>
  <si>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</si>
  <si>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</si>
  <si>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</si>
  <si>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</si>
  <si>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</si>
  <si>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</si>
  <si>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</si>
  <si>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</si>
  <si>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</si>
  <si>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</si>
  <si>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</si>
  <si>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</si>
  <si>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</si>
  <si>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</si>
  <si>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</si>
  <si>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</si>
  <si>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</si>
  <si>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</si>
  <si>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</si>
  <si>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</si>
  <si>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</si>
  <si>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</si>
  <si>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</si>
  <si>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</si>
  <si>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</si>
  <si>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</si>
  <si>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</si>
  <si>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</si>
  <si>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</si>
  <si>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</si>
  <si>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</si>
  <si>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</si>
  <si>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</si>
  <si>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</si>
  <si>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</si>
  <si>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</si>
  <si>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</si>
  <si>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</si>
  <si>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</si>
  <si>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</si>
  <si>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</si>
  <si>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</si>
  <si>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</si>
  <si>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</si>
  <si>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</si>
  <si>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</si>
  <si>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</si>
  <si>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</si>
  <si>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</si>
  <si>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</si>
  <si>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</si>
  <si>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</si>
  <si>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</si>
  <si>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</si>
  <si>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</si>
  <si>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</si>
  <si>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</si>
  <si>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</si>
  <si>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</si>
  <si>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</si>
  <si>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</si>
  <si>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</si>
  <si>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</si>
  <si>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</si>
  <si>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</si>
  <si>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</si>
  <si>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</si>
  <si>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</si>
  <si>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</si>
  <si>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</si>
  <si>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</si>
  <si>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</si>
  <si>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</si>
  <si>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</si>
  <si>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</si>
  <si>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</si>
  <si>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</si>
  <si>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</si>
  <si>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</si>
  <si>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</si>
  <si>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</si>
  <si>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</si>
  <si>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</si>
  <si>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</si>
  <si>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</si>
  <si>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</si>
  <si>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</si>
  <si>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</si>
  <si>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</si>
  <si>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</si>
  <si>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</si>
  <si>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</si>
  <si>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</si>
  <si>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</si>
  <si>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</si>
  <si>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</si>
  <si>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</si>
  <si>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</si>
  <si>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</si>
  <si>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</si>
  <si>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</si>
  <si>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</si>
  <si>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</si>
  <si>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</si>
  <si>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</si>
  <si>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</si>
  <si>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</si>
  <si>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</si>
  <si>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</si>
  <si>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</si>
  <si>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</si>
  <si>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</si>
  <si>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</si>
  <si>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</si>
  <si>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</si>
  <si>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</si>
  <si>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</si>
  <si>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</si>
  <si>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</si>
  <si>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</si>
  <si>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</si>
  <si>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</si>
  <si>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</si>
  <si>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</si>
  <si>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</si>
  <si>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</si>
  <si>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</si>
  <si>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</si>
  <si>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</si>
  <si>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</si>
  <si>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</si>
  <si>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</si>
  <si>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</si>
  <si>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</si>
  <si>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</si>
  <si>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</si>
  <si>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</si>
  <si>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</si>
  <si>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</si>
  <si>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</si>
  <si>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</si>
  <si>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</si>
  <si>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</si>
  <si>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</si>
  <si>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</si>
  <si>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</si>
  <si>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</si>
  <si>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</si>
  <si>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</si>
  <si>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</si>
  <si>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</si>
  <si>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</si>
  <si>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</si>
  <si>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</si>
  <si>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</si>
  <si>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</si>
  <si>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</si>
  <si>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</si>
  <si>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</si>
  <si>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</si>
  <si>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</si>
  <si>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</si>
  <si>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</si>
  <si>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</si>
  <si>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</si>
  <si>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</si>
  <si>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</si>
  <si>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</si>
  <si>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</si>
  <si>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</si>
  <si>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</si>
  <si>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</si>
  <si>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</si>
  <si>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</si>
  <si>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</si>
  <si>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</si>
  <si>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</si>
  <si>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</si>
  <si>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</si>
  <si>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</si>
  <si>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</si>
  <si>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</si>
  <si>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</si>
  <si>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</si>
  <si>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</si>
  <si>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</si>
  <si>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</si>
  <si>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</si>
  <si>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</si>
  <si>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</si>
  <si>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</si>
  <si>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</si>
  <si>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</si>
  <si>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</si>
  <si>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</si>
  <si>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</si>
  <si>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</si>
  <si>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</si>
  <si>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</si>
  <si>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</si>
  <si>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</si>
  <si>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</si>
  <si>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</si>
  <si>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</si>
  <si>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</si>
  <si>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</si>
  <si>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</si>
  <si>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</si>
  <si>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</si>
  <si>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</si>
  <si>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</si>
  <si>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</si>
  <si>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</si>
  <si>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</si>
  <si>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</si>
  <si>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</si>
  <si>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</si>
  <si>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</si>
  <si>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</si>
  <si>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</si>
  <si>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</si>
  <si>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</si>
  <si>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</si>
  <si>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</si>
  <si>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</si>
  <si>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</si>
  <si>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</si>
  <si>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</si>
  <si>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</si>
  <si>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</si>
  <si>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</si>
  <si>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</si>
  <si>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</si>
  <si>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</si>
  <si>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</si>
  <si>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</si>
  <si>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</si>
  <si>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</si>
  <si>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</si>
  <si>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</si>
  <si>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</si>
  <si>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</si>
  <si>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</si>
  <si>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</si>
  <si>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</si>
  <si>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</si>
  <si>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</si>
  <si>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</si>
  <si>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</si>
  <si>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</si>
  <si>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</si>
  <si>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</si>
  <si>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</si>
  <si>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</si>
  <si>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</si>
  <si>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</si>
  <si>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</si>
  <si>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</si>
  <si>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</si>
  <si>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</si>
  <si>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</si>
  <si>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</si>
  <si>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</si>
  <si>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</si>
  <si>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</si>
  <si>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</si>
  <si>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</si>
  <si>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</si>
  <si>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</si>
  <si>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</si>
  <si>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</si>
  <si>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</si>
  <si>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</si>
  <si>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</si>
  <si>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</si>
  <si>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</si>
  <si>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</si>
  <si>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</si>
  <si>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</si>
  <si>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</si>
  <si>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</si>
  <si>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</si>
  <si>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</si>
  <si>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</si>
  <si>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</si>
  <si>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</si>
  <si>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</si>
  <si>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</si>
  <si>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</si>
  <si>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</si>
  <si>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</si>
  <si>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</si>
  <si>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</si>
  <si>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</si>
  <si>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</si>
  <si>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</si>
  <si>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</si>
  <si>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</si>
  <si>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</si>
  <si>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</si>
  <si>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</si>
  <si>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</si>
  <si>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</si>
  <si>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</si>
  <si>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</si>
  <si>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</si>
  <si>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</si>
  <si>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</si>
  <si>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</si>
  <si>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</si>
  <si>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</si>
  <si>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</si>
  <si>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</si>
  <si>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</si>
  <si>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</si>
  <si>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</si>
  <si>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</si>
  <si>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</si>
  <si>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</si>
  <si>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</si>
  <si>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</si>
  <si>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</si>
  <si>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</si>
  <si>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</si>
  <si>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</si>
  <si>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</si>
  <si>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</si>
  <si>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</si>
  <si>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</si>
  <si>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</si>
  <si>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</si>
  <si>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</si>
  <si>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</si>
  <si>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</si>
  <si>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</si>
  <si>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</si>
  <si>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</si>
  <si>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</si>
  <si>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</si>
  <si>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</si>
  <si>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</si>
  <si>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</si>
  <si>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</si>
  <si>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</si>
  <si>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</si>
  <si>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</si>
  <si>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</si>
  <si>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</si>
  <si>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</si>
  <si>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</si>
  <si>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</si>
  <si>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</si>
  <si>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</si>
  <si>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</si>
  <si>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</si>
  <si>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</si>
  <si>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</si>
  <si>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</si>
  <si>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</si>
  <si>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</si>
  <si>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</si>
  <si>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</si>
  <si>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</si>
  <si>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</si>
  <si>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</si>
  <si>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</si>
  <si>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</si>
  <si>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</si>
  <si>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</si>
  <si>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</si>
  <si>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</si>
  <si>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</si>
  <si>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</si>
  <si>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</si>
  <si>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</si>
  <si>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</si>
  <si>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</si>
  <si>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</si>
  <si>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</si>
  <si>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</si>
  <si>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</si>
  <si>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</si>
  <si>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</si>
  <si>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</si>
  <si>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</si>
  <si>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</si>
  <si>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</si>
  <si>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</si>
  <si>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</si>
  <si>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</si>
  <si>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</si>
  <si>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</si>
  <si>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</si>
  <si>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</si>
  <si>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</si>
  <si>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</si>
  <si>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</si>
  <si>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</si>
  <si>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</si>
  <si>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</si>
  <si>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</si>
  <si>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</si>
  <si>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</si>
  <si>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</si>
  <si>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</si>
  <si>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</si>
  <si>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</si>
  <si>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</si>
  <si>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</si>
  <si>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</si>
  <si>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</si>
  <si>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</si>
  <si>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</si>
  <si>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</si>
  <si>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</si>
  <si>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</si>
  <si>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</si>
  <si>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</si>
  <si>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</si>
  <si>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</si>
  <si>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</si>
  <si>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</si>
  <si>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</si>
  <si>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</si>
  <si>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</si>
  <si>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</si>
  <si>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</si>
  <si>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</si>
  <si>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</si>
  <si>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</si>
  <si>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</si>
  <si>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</si>
  <si>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</si>
  <si>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</si>
  <si>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</si>
  <si>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</si>
  <si>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</si>
  <si>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</si>
  <si>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</si>
  <si>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</si>
  <si>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</si>
  <si>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</si>
  <si>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</si>
  <si>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</si>
  <si>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</si>
  <si>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</si>
  <si>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</si>
  <si>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</si>
  <si>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</si>
  <si>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</si>
  <si>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</si>
  <si>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</si>
  <si>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</si>
  <si>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</si>
  <si>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</si>
  <si>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</si>
  <si>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</si>
  <si>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</si>
  <si>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</si>
  <si>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</si>
  <si>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</si>
  <si>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</si>
  <si>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</si>
  <si>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</si>
  <si>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</si>
  <si>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</si>
  <si>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</si>
  <si>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</si>
  <si>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</si>
  <si>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</si>
  <si>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</si>
  <si>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</si>
  <si>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</si>
  <si>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</si>
  <si>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</si>
  <si>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</si>
  <si>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</si>
  <si>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</si>
  <si>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</si>
  <si>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</si>
  <si>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</si>
  <si>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</si>
  <si>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</si>
  <si>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</si>
  <si>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</si>
  <si>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</si>
  <si>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</si>
  <si>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</si>
  <si>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</si>
  <si>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</si>
  <si>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</si>
  <si>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</si>
  <si>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</si>
  <si>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</si>
  <si>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</si>
  <si>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</si>
  <si>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</si>
  <si>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</si>
  <si>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</si>
  <si>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</si>
  <si>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</si>
  <si>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</si>
  <si>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</si>
  <si>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</si>
  <si>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</si>
  <si>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</si>
  <si>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</si>
  <si>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</si>
  <si>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</si>
  <si>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</si>
  <si>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</si>
  <si>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</si>
  <si>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</si>
  <si>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</si>
  <si>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</si>
  <si>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</si>
  <si>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</si>
  <si>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</si>
  <si>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</si>
  <si>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</si>
  <si>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</si>
  <si>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</si>
  <si>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</si>
  <si>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</si>
  <si>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</si>
  <si>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</si>
  <si>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</si>
  <si>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</si>
  <si>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</si>
  <si>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</si>
  <si>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</si>
  <si>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</si>
  <si>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</si>
  <si>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</si>
  <si>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</si>
  <si>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</si>
  <si>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</si>
  <si>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</si>
  <si>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</si>
  <si>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</si>
  <si>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</si>
  <si>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</si>
  <si>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</si>
  <si>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</si>
  <si>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</si>
  <si>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</si>
  <si>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</si>
  <si>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</si>
  <si>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</si>
  <si>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</si>
  <si>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</si>
  <si>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</si>
  <si>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</si>
  <si>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</si>
  <si>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</si>
  <si>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</si>
  <si>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</si>
  <si>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</si>
  <si>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</si>
  <si>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</si>
  <si>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</si>
  <si>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</si>
  <si>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</si>
  <si>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</si>
  <si>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</si>
  <si>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</si>
  <si>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</si>
  <si>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</si>
  <si>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</si>
  <si>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</si>
  <si>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</si>
  <si>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</si>
  <si>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</si>
  <si>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</si>
  <si>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</si>
  <si>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</si>
  <si>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</si>
  <si>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</si>
  <si>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</si>
  <si>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</si>
  <si>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</si>
  <si>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</si>
  <si>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</si>
  <si>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</si>
  <si>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</si>
  <si>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</si>
  <si>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</si>
  <si>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</si>
  <si>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</si>
  <si>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</si>
  <si>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</si>
  <si>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</si>
  <si>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</si>
  <si>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</si>
  <si>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</si>
  <si>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</si>
  <si>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</si>
  <si>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</si>
  <si>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</si>
  <si>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</si>
  <si>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</si>
  <si>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</si>
  <si>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</si>
  <si>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</si>
  <si>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</si>
  <si>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</si>
  <si>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</si>
  <si>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</si>
  <si>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</si>
  <si>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</si>
  <si>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</si>
  <si>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</si>
  <si>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</si>
  <si>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</si>
  <si>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</si>
  <si>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</si>
  <si>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</si>
  <si>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</si>
  <si>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</si>
  <si>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</si>
  <si>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</si>
  <si>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</si>
  <si>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</si>
  <si>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</si>
  <si>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</si>
  <si>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</si>
  <si>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</si>
  <si>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</si>
  <si>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</si>
  <si>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</si>
  <si>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</si>
  <si>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</si>
  <si>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</si>
  <si>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</si>
  <si>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</si>
  <si>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</si>
  <si>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</si>
  <si>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</si>
  <si>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</si>
  <si>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</si>
  <si>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</si>
  <si>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</si>
  <si>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</si>
  <si>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</si>
  <si>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</si>
  <si>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</si>
  <si>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</si>
  <si>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</si>
  <si>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</si>
  <si>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</si>
  <si>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</si>
  <si>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</si>
  <si>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</si>
  <si>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</si>
  <si>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</si>
  <si>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</si>
  <si>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</si>
  <si>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</si>
  <si>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</si>
  <si>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</si>
  <si>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</si>
  <si>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</si>
  <si>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</si>
  <si>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</si>
  <si>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</si>
  <si>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</si>
  <si>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</si>
  <si>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</si>
  <si>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</si>
  <si>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</si>
  <si>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</si>
  <si>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</si>
  <si>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</si>
  <si>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</si>
  <si>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</si>
  <si>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</si>
  <si>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</si>
  <si>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</si>
  <si>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</si>
  <si>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</si>
  <si>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</si>
  <si>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</si>
  <si>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</si>
  <si>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</si>
  <si>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</si>
  <si>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</si>
  <si>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</si>
  <si>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</si>
  <si>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</si>
  <si>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</si>
  <si>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</si>
  <si>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</si>
  <si>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</si>
  <si>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</si>
  <si>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</si>
  <si>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</si>
  <si>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</si>
  <si>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</si>
  <si>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</si>
  <si>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</si>
  <si>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</si>
  <si>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</si>
  <si>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</si>
  <si>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</si>
  <si>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</si>
  <si>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</si>
  <si>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</si>
  <si>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</si>
  <si>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</si>
  <si>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</si>
  <si>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</si>
  <si>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</si>
  <si>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</si>
  <si>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</si>
  <si>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</si>
  <si>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</si>
  <si>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</si>
  <si>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</si>
  <si>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</si>
  <si>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</si>
  <si>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</si>
  <si>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</si>
  <si>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</si>
  <si>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</si>
  <si>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</si>
  <si>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</si>
  <si>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</si>
  <si>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</si>
  <si>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</si>
  <si>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</si>
  <si>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</si>
  <si>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</si>
  <si>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</si>
  <si>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</si>
  <si>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</si>
  <si>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</si>
  <si>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</si>
  <si>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</si>
  <si>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</si>
  <si>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</si>
  <si>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</si>
  <si>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</si>
  <si>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</si>
  <si>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</si>
  <si>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</si>
  <si>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</si>
  <si>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</si>
  <si>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</si>
  <si>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</si>
  <si>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</si>
  <si>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</si>
  <si>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</si>
  <si>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</si>
  <si>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</si>
  <si>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</si>
  <si>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</si>
  <si>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</si>
  <si>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</si>
  <si>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</si>
  <si>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</si>
  <si>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</si>
  <si>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</si>
  <si>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</si>
  <si>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</si>
  <si>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</si>
  <si>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</si>
  <si>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</si>
  <si>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</si>
  <si>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</si>
  <si>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</si>
  <si>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</si>
  <si>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</si>
  <si>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</si>
  <si>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</si>
  <si>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</si>
  <si>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</si>
  <si>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</si>
  <si>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</si>
  <si>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</si>
  <si>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</si>
  <si>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</si>
  <si>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</si>
  <si>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</si>
  <si>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</si>
  <si>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</si>
  <si>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</si>
  <si>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</si>
  <si>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</si>
  <si>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</si>
  <si>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</si>
  <si>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</si>
  <si>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</si>
  <si>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</si>
  <si>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</si>
  <si>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</si>
  <si>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</si>
  <si>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</si>
  <si>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</si>
  <si>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</si>
  <si>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</si>
  <si>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</si>
  <si>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</si>
  <si>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</si>
  <si>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</si>
  <si>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</si>
  <si>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</si>
  <si>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</si>
  <si>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</si>
  <si>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</si>
  <si>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</si>
  <si>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</si>
  <si>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</si>
  <si>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</si>
  <si>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</si>
  <si>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</si>
  <si>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</si>
  <si>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</si>
  <si>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</si>
  <si>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</si>
  <si>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</si>
  <si>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</si>
  <si>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</si>
  <si>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</si>
  <si>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</si>
  <si>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</si>
  <si>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</si>
  <si>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</si>
  <si>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</si>
  <si>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</si>
  <si>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</si>
  <si>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</si>
  <si>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</si>
  <si>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</si>
  <si>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</si>
  <si>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</si>
  <si>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</si>
  <si>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</si>
  <si>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</si>
  <si>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</si>
  <si>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</si>
  <si>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</si>
  <si>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</si>
  <si>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</si>
  <si>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</si>
  <si>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</si>
  <si>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</si>
  <si>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</si>
  <si>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</si>
  <si>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</si>
  <si>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</si>
  <si>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</si>
  <si>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</si>
  <si>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</si>
  <si>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</si>
  <si>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</si>
  <si>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</si>
  <si>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</si>
  <si>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</si>
  <si>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</si>
  <si>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</si>
  <si>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</si>
  <si>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</si>
  <si>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</si>
  <si>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</si>
  <si>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</si>
  <si>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</si>
  <si>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</si>
  <si>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</si>
  <si>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</si>
  <si>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</si>
  <si>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</si>
  <si>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</si>
  <si>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</si>
  <si>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</si>
  <si>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</si>
  <si>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</si>
  <si>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</si>
  <si>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</si>
  <si>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</si>
  <si>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</si>
  <si>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</si>
  <si>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</si>
  <si>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</si>
  <si>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</si>
  <si>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</si>
  <si>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</si>
  <si>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</si>
  <si>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</si>
  <si>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</si>
  <si>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</si>
  <si>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</si>
  <si>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</si>
  <si>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</si>
  <si>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</si>
  <si>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</si>
  <si>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</si>
  <si>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</si>
  <si>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</si>
  <si>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</si>
  <si>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</si>
  <si>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</si>
  <si>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</si>
  <si>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</si>
  <si>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</si>
  <si>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</si>
  <si>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</si>
  <si>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</si>
  <si>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</si>
  <si>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</si>
  <si>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</si>
  <si>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</si>
  <si>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</si>
  <si>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</si>
  <si>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</si>
  <si>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</si>
  <si>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</si>
  <si>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</si>
  <si>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</si>
  <si>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</si>
  <si>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</si>
  <si>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</si>
  <si>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</si>
  <si>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</si>
  <si>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</si>
  <si>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</si>
  <si>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</si>
  <si>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</si>
  <si>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</si>
  <si>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</si>
  <si>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</si>
  <si>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</si>
  <si>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</si>
  <si>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</si>
  <si>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</si>
  <si>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</si>
  <si>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</si>
  <si>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</si>
  <si>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</si>
  <si>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</si>
  <si>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</si>
  <si>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</si>
  <si>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</si>
  <si>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</si>
  <si>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</si>
  <si>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</si>
  <si>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</si>
  <si>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</si>
  <si>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</si>
  <si>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</si>
  <si>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</si>
  <si>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</si>
  <si>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</si>
  <si>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</si>
  <si>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</si>
  <si>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</si>
  <si>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</si>
  <si>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</si>
  <si>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</si>
  <si>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</si>
  <si>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序列</t>
  </si>
  <si>
    <t>房号</t>
  </si>
  <si>
    <t>商（租）户名称</t>
  </si>
  <si>
    <t>面积</t>
  </si>
  <si>
    <r>
      <rPr>
        <b/>
        <sz val="10"/>
        <rFont val="微软雅黑"/>
        <family val="2"/>
        <charset val="134"/>
      </rPr>
      <t>月租金</t>
    </r>
    <r>
      <rPr>
        <b/>
        <sz val="10"/>
        <rFont val="Arial"/>
        <family val="2"/>
      </rPr>
      <t>/</t>
    </r>
    <r>
      <rPr>
        <b/>
        <sz val="10"/>
        <rFont val="微软雅黑"/>
        <family val="2"/>
        <charset val="134"/>
      </rPr>
      <t>合同</t>
    </r>
    <phoneticPr fontId="144" type="noConversion"/>
  </si>
  <si>
    <t>1#</t>
  </si>
  <si>
    <t>杭州金诚文化发展集团有限公司</t>
    <phoneticPr fontId="144" type="noConversion"/>
  </si>
  <si>
    <t>2#-1F-W1</t>
  </si>
  <si>
    <t>北京子悦日和餐饮管理有限公司</t>
  </si>
  <si>
    <t>2#-1F-E+E1</t>
  </si>
  <si>
    <t>北京私家味道餐饮有限责任公司</t>
    <phoneticPr fontId="144" type="noConversion"/>
  </si>
  <si>
    <t>2#-1F-W2</t>
  </si>
  <si>
    <t>北京一然天保餐饮管理有限公司</t>
  </si>
  <si>
    <t>2#-1F-W3</t>
  </si>
  <si>
    <r>
      <rPr>
        <sz val="10"/>
        <rFont val="宋体"/>
        <family val="3"/>
        <charset val="134"/>
      </rPr>
      <t>北京鹊缘叁两餐饮管理中心</t>
    </r>
    <r>
      <rPr>
        <sz val="10"/>
        <rFont val="Arial"/>
        <family val="2"/>
      </rPr>
      <t>.</t>
    </r>
    <phoneticPr fontId="4" type="noConversion"/>
  </si>
  <si>
    <t>2#-A-2F</t>
  </si>
  <si>
    <t>北京耀盛商业发展有限公司</t>
  </si>
  <si>
    <t>2#-B-2F</t>
  </si>
  <si>
    <t>2#-3F</t>
  </si>
  <si>
    <t>五洲电影发行有限公司</t>
  </si>
  <si>
    <t>2#-4F</t>
  </si>
  <si>
    <t>恒诚科技发展（北京）有限公司</t>
  </si>
  <si>
    <t>2#-A-5F</t>
  </si>
  <si>
    <t>霍尔果斯万达影院技术服务有限公司北京分公司，企业身份证：91110105MA00BKRL5F</t>
  </si>
  <si>
    <t>2#-B-5F</t>
  </si>
  <si>
    <t>北京毕括信息咨询有限公司</t>
    <phoneticPr fontId="4" type="noConversion"/>
  </si>
  <si>
    <t>2#-A-6F</t>
  </si>
  <si>
    <t>北京思维造物信息科技有限公司</t>
  </si>
  <si>
    <t>2#-B-6F</t>
  </si>
  <si>
    <t>北京思维造物信息科技有限公司</t>
    <phoneticPr fontId="4" type="noConversion"/>
  </si>
  <si>
    <t>2#-A-7F</t>
  </si>
  <si>
    <t>2#-B-7F</t>
  </si>
  <si>
    <t>北京元道同和建筑设计咨询有限公司</t>
    <phoneticPr fontId="144" type="noConversion"/>
  </si>
  <si>
    <t>2#-A-8F</t>
  </si>
  <si>
    <t>2#-B-8F</t>
    <phoneticPr fontId="4" type="noConversion"/>
  </si>
  <si>
    <t>深圳琮碧秋实投资管理有限公司</t>
    <phoneticPr fontId="4" type="noConversion"/>
  </si>
  <si>
    <r>
      <t>3#-1.2</t>
    </r>
    <r>
      <rPr>
        <b/>
        <sz val="10"/>
        <rFont val="微软雅黑"/>
        <family val="2"/>
        <charset val="134"/>
      </rPr>
      <t>夹层</t>
    </r>
  </si>
  <si>
    <t>北京我最在行科技发展有限公司</t>
    <phoneticPr fontId="144" type="noConversion"/>
  </si>
  <si>
    <t>3#-1F</t>
  </si>
  <si>
    <t>金网络怡成资产管理（北京）有限公司</t>
  </si>
  <si>
    <t>3#2F -N1</t>
  </si>
  <si>
    <r>
      <rPr>
        <sz val="10"/>
        <rFont val="宋体"/>
        <family val="3"/>
        <charset val="134"/>
      </rPr>
      <t>北京景美广告有限公司</t>
    </r>
  </si>
  <si>
    <t>3#-2F-N2</t>
  </si>
  <si>
    <t>北京我最在行科技发展有限公司</t>
  </si>
  <si>
    <t xml:space="preserve"> </t>
    <phoneticPr fontId="4" type="noConversion"/>
  </si>
  <si>
    <t>3#-2F-N3</t>
  </si>
  <si>
    <t>待签约</t>
  </si>
  <si>
    <t>3#-3F-N1</t>
  </si>
  <si>
    <t>北京果壳互动信息技术有限公司</t>
    <phoneticPr fontId="144" type="noConversion"/>
  </si>
  <si>
    <t>3#-3F-S1</t>
  </si>
  <si>
    <t>北京京视传媒有限责任公司</t>
  </si>
  <si>
    <t>3#-3F-S2</t>
    <phoneticPr fontId="4" type="noConversion"/>
  </si>
  <si>
    <t>北京京视传媒有限责任公司</t>
    <phoneticPr fontId="4" type="noConversion"/>
  </si>
  <si>
    <t>3#-4F</t>
  </si>
  <si>
    <t>北京果壳互动信息技术有限公司</t>
  </si>
  <si>
    <t>3#-5F</t>
  </si>
  <si>
    <t>北京十月初五影视传媒有限公司</t>
  </si>
  <si>
    <t>5#</t>
  </si>
  <si>
    <t>北京开拍网络科技有限公司</t>
    <phoneticPr fontId="4" type="noConversion"/>
  </si>
  <si>
    <t>6#</t>
  </si>
  <si>
    <t>北京盛世龙庭物业管理有限公司</t>
  </si>
  <si>
    <t>7#</t>
  </si>
  <si>
    <t>北京兰境文化发展有限公司</t>
  </si>
  <si>
    <r>
      <t>8#</t>
    </r>
    <r>
      <rPr>
        <b/>
        <sz val="10"/>
        <rFont val="宋体"/>
        <family val="3"/>
        <charset val="134"/>
      </rPr>
      <t>西</t>
    </r>
    <r>
      <rPr>
        <b/>
        <sz val="10"/>
        <rFont val="Arial"/>
        <family val="2"/>
      </rPr>
      <t>(101)</t>
    </r>
    <phoneticPr fontId="4" type="noConversion"/>
  </si>
  <si>
    <t>北京青云互动科技有限公司</t>
  </si>
  <si>
    <t>霍尔果斯青云网络科技有限公司</t>
  </si>
  <si>
    <t>霍尔果斯智云互娱科技有限公司</t>
  </si>
  <si>
    <r>
      <t>8#</t>
    </r>
    <r>
      <rPr>
        <b/>
        <sz val="10"/>
        <rFont val="宋体"/>
        <family val="3"/>
        <charset val="134"/>
      </rPr>
      <t>东</t>
    </r>
    <r>
      <rPr>
        <b/>
        <sz val="10"/>
        <rFont val="Arial"/>
        <family val="2"/>
      </rPr>
      <t>(102)</t>
    </r>
    <phoneticPr fontId="4" type="noConversion"/>
  </si>
  <si>
    <t xml:space="preserve">宁波正觉文化传播有限公司 </t>
  </si>
  <si>
    <t>9#101</t>
  </si>
  <si>
    <t>沐迪（北京）珠宝有限公司</t>
  </si>
  <si>
    <t>9#-103</t>
  </si>
  <si>
    <r>
      <rPr>
        <sz val="10"/>
        <color indexed="8"/>
        <rFont val="宋体"/>
        <family val="3"/>
        <charset val="134"/>
      </rPr>
      <t>北京翰香凝服饰有限公司</t>
    </r>
    <phoneticPr fontId="4" type="noConversion"/>
  </si>
  <si>
    <t>9#-104</t>
  </si>
  <si>
    <t>天津阳春白雪商贸有限公司</t>
    <phoneticPr fontId="144" type="noConversion"/>
  </si>
  <si>
    <t>9#-102</t>
  </si>
  <si>
    <t>北京悦林纱文化传播有限公司</t>
  </si>
  <si>
    <t>9#-205/207</t>
  </si>
  <si>
    <t>9#-302</t>
  </si>
  <si>
    <t>9#-201</t>
  </si>
  <si>
    <t>北京步麓建筑设计有限公司</t>
    <phoneticPr fontId="4" type="noConversion"/>
  </si>
  <si>
    <t>9#202-204</t>
    <phoneticPr fontId="144" type="noConversion"/>
  </si>
  <si>
    <t>北京步麓建筑设计咨询有限公司</t>
    <phoneticPr fontId="144" type="noConversion"/>
  </si>
  <si>
    <t>9#-208/209</t>
  </si>
  <si>
    <t>9#-211/308/105</t>
  </si>
  <si>
    <t>北京禧珠文化发展有限公司</t>
  </si>
  <si>
    <t>9#-210</t>
  </si>
  <si>
    <r>
      <rPr>
        <sz val="10"/>
        <color indexed="8"/>
        <rFont val="微软雅黑"/>
        <family val="2"/>
        <charset val="134"/>
      </rPr>
      <t>北京璞木工坊商贸有限公司</t>
    </r>
    <r>
      <rPr>
        <sz val="10"/>
        <color indexed="8"/>
        <rFont val="Arial"/>
        <family val="2"/>
      </rPr>
      <t xml:space="preserve"> </t>
    </r>
    <phoneticPr fontId="144" type="noConversion"/>
  </si>
  <si>
    <t>9#-303</t>
  </si>
  <si>
    <t>北京仁歌科技股份有限公司</t>
  </si>
  <si>
    <t>9#-304</t>
  </si>
  <si>
    <t>北京埃姆创意文化有限公司</t>
    <phoneticPr fontId="4" type="noConversion"/>
  </si>
  <si>
    <t>9#-305/306</t>
  </si>
  <si>
    <t>北京拉格纳罗斯信息科技有限公司</t>
    <phoneticPr fontId="144" type="noConversion"/>
  </si>
  <si>
    <t>9#-307</t>
  </si>
  <si>
    <t>北京绿樱网络科技有限公司</t>
    <phoneticPr fontId="144" type="noConversion"/>
  </si>
  <si>
    <r>
      <t>10#-1F-</t>
    </r>
    <r>
      <rPr>
        <b/>
        <sz val="10"/>
        <rFont val="微软雅黑"/>
        <family val="2"/>
        <charset val="134"/>
      </rPr>
      <t>北侧</t>
    </r>
  </si>
  <si>
    <t>北京桔子树音乐艺术培训有限公司</t>
  </si>
  <si>
    <r>
      <t>10#-1F</t>
    </r>
    <r>
      <rPr>
        <b/>
        <sz val="10"/>
        <rFont val="微软雅黑"/>
        <family val="2"/>
        <charset val="134"/>
      </rPr>
      <t>东</t>
    </r>
  </si>
  <si>
    <t>空置</t>
  </si>
  <si>
    <t>10#-3F</t>
  </si>
  <si>
    <t>北京颢仓咨询服务有限公司</t>
  </si>
  <si>
    <t>10#-2F</t>
  </si>
  <si>
    <t>上海龙韵广告传播股份有限公司</t>
  </si>
  <si>
    <r>
      <t>11#</t>
    </r>
    <r>
      <rPr>
        <b/>
        <sz val="10"/>
        <rFont val="微软雅黑"/>
        <family val="2"/>
        <charset val="134"/>
      </rPr>
      <t>东</t>
    </r>
    <r>
      <rPr>
        <b/>
        <sz val="10"/>
        <rFont val="Arial"/>
        <family val="2"/>
      </rPr>
      <t>1</t>
    </r>
    <r>
      <rPr>
        <b/>
        <sz val="10"/>
        <rFont val="微软雅黑"/>
        <family val="2"/>
        <charset val="134"/>
      </rPr>
      <t>、</t>
    </r>
    <r>
      <rPr>
        <b/>
        <sz val="10"/>
        <rFont val="Arial"/>
        <family val="2"/>
      </rPr>
      <t>2</t>
    </r>
    <r>
      <rPr>
        <b/>
        <sz val="10"/>
        <rFont val="微软雅黑"/>
        <family val="2"/>
        <charset val="134"/>
      </rPr>
      <t>层</t>
    </r>
  </si>
  <si>
    <r>
      <t xml:space="preserve"> </t>
    </r>
    <r>
      <rPr>
        <sz val="10"/>
        <color theme="1"/>
        <rFont val="微软雅黑"/>
        <family val="2"/>
        <charset val="134"/>
      </rPr>
      <t>北京新鼎明文化传媒有限公司</t>
    </r>
  </si>
  <si>
    <r>
      <t>11#1</t>
    </r>
    <r>
      <rPr>
        <b/>
        <sz val="10"/>
        <rFont val="微软雅黑"/>
        <family val="2"/>
        <charset val="134"/>
      </rPr>
      <t>层西侧</t>
    </r>
  </si>
  <si>
    <r>
      <t>11#-2F</t>
    </r>
    <r>
      <rPr>
        <b/>
        <sz val="10"/>
        <rFont val="微软雅黑"/>
        <family val="2"/>
        <charset val="134"/>
      </rPr>
      <t>西</t>
    </r>
  </si>
  <si>
    <r>
      <rPr>
        <sz val="10"/>
        <rFont val="宋体"/>
        <family val="3"/>
        <charset val="134"/>
      </rPr>
      <t>北京合金鼎盛企业管理咨询有限公司</t>
    </r>
  </si>
  <si>
    <r>
      <t>11#-2F</t>
    </r>
    <r>
      <rPr>
        <b/>
        <sz val="10"/>
        <rFont val="微软雅黑"/>
        <family val="2"/>
        <charset val="134"/>
      </rPr>
      <t>东</t>
    </r>
  </si>
  <si>
    <t>12#</t>
  </si>
  <si>
    <t>15#</t>
  </si>
  <si>
    <t>北京百味纯麦餐饮有限责任公司</t>
  </si>
  <si>
    <t>18#</t>
    <phoneticPr fontId="4" type="noConversion"/>
  </si>
  <si>
    <t>北京奇异夸克科技发展有限公司</t>
  </si>
  <si>
    <t>18#</t>
  </si>
  <si>
    <t>北京恒盛华星投资管理有限公司</t>
  </si>
  <si>
    <r>
      <t>18#-1</t>
    </r>
    <r>
      <rPr>
        <b/>
        <sz val="10"/>
        <rFont val="宋体"/>
        <family val="3"/>
        <charset val="134"/>
      </rPr>
      <t>层</t>
    </r>
    <phoneticPr fontId="144" type="noConversion"/>
  </si>
  <si>
    <t>19#</t>
  </si>
  <si>
    <t>中视科华有限公司</t>
    <phoneticPr fontId="144" type="noConversion"/>
  </si>
  <si>
    <t>20#</t>
  </si>
  <si>
    <t>上海腾讯影业文化传播有限公司</t>
  </si>
  <si>
    <t>王鹏</t>
  </si>
  <si>
    <t>郑燚</t>
  </si>
  <si>
    <t>通路</t>
  </si>
  <si>
    <t>通电</t>
  </si>
  <si>
    <t>通讯</t>
  </si>
  <si>
    <t>通上水</t>
  </si>
  <si>
    <t>通下水</t>
  </si>
  <si>
    <t>现房</t>
  </si>
  <si>
    <t>综合项目（商业、办公）</t>
  </si>
  <si>
    <t>估价对象容积率</t>
  </si>
  <si>
    <t>工业用地</t>
  </si>
  <si>
    <t>容积率修正</t>
  </si>
  <si>
    <t>地上</t>
  </si>
  <si>
    <t>办公楼</t>
  </si>
  <si>
    <t>是</t>
  </si>
  <si>
    <t>未包含在土地购买价格中</t>
  </si>
  <si>
    <t>已包含在土地取得成本中</t>
  </si>
  <si>
    <t>按租金收入计税</t>
  </si>
  <si>
    <t>企业</t>
  </si>
  <si>
    <t>出让</t>
  </si>
  <si>
    <t>北京市</t>
  </si>
  <si>
    <t>房地产抵押价值</t>
  </si>
  <si>
    <t>抵押</t>
  </si>
  <si>
    <t>北京农商银行股份有限公司东城支行</t>
    <phoneticPr fontId="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</si>
  <si>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7" type="noConversion"/>
  </si>
  <si>
    <t>原件</t>
  </si>
  <si>
    <t>办公</t>
    <phoneticPr fontId="8" type="noConversion"/>
  </si>
  <si>
    <t>成新度</t>
  </si>
  <si>
    <t>收益法</t>
  </si>
  <si>
    <t>非生产用房</t>
  </si>
  <si>
    <t>七通一平</t>
  </si>
  <si>
    <t>按公示增长率计算</t>
  </si>
  <si>
    <t>较差</t>
  </si>
  <si>
    <t>较好</t>
  </si>
  <si>
    <t>一般</t>
  </si>
  <si>
    <t>成本法</t>
  </si>
  <si>
    <t>砖混</t>
  </si>
  <si>
    <t>项目局部</t>
  </si>
  <si>
    <t>成本比率</t>
  </si>
  <si>
    <t>押一</t>
  </si>
  <si>
    <t>土地证</t>
    <phoneticPr fontId="144" type="noConversion"/>
  </si>
  <si>
    <t>土地使用权人</t>
    <phoneticPr fontId="144" type="noConversion"/>
  </si>
  <si>
    <t>坐落</t>
    <phoneticPr fontId="144" type="noConversion"/>
  </si>
  <si>
    <t>土地面积</t>
    <phoneticPr fontId="144" type="noConversion"/>
  </si>
  <si>
    <t>地号</t>
    <phoneticPr fontId="144" type="noConversion"/>
  </si>
  <si>
    <t>图号</t>
    <phoneticPr fontId="144" type="noConversion"/>
  </si>
  <si>
    <t>地类（用途）</t>
    <phoneticPr fontId="144" type="noConversion"/>
  </si>
  <si>
    <t>终止日期</t>
    <phoneticPr fontId="144" type="noConversion"/>
  </si>
  <si>
    <r>
      <t>京朝国用（2011出）第00053号</t>
    </r>
    <r>
      <rPr>
        <sz val="11"/>
        <color theme="1"/>
        <rFont val="宋体"/>
        <family val="2"/>
        <charset val="134"/>
        <scheme val="minor"/>
      </rPr>
      <t/>
    </r>
    <phoneticPr fontId="144" type="noConversion"/>
  </si>
  <si>
    <t>北京尚博地投资顾问有限公司</t>
    <phoneticPr fontId="144" type="noConversion"/>
  </si>
  <si>
    <t>朝阳区郎家园6号[3-2]</t>
    <phoneticPr fontId="144" type="noConversion"/>
  </si>
  <si>
    <t>50102100012000000</t>
    <phoneticPr fontId="144" type="noConversion"/>
  </si>
  <si>
    <t>I-2-2-100（4）</t>
    <phoneticPr fontId="144" type="noConversion"/>
  </si>
  <si>
    <t>工业</t>
    <phoneticPr fontId="144" type="noConversion"/>
  </si>
  <si>
    <t>房产证</t>
    <phoneticPr fontId="144" type="noConversion"/>
  </si>
  <si>
    <t>房屋所有权人</t>
    <phoneticPr fontId="144" type="noConversion"/>
  </si>
  <si>
    <t>房屋坐落</t>
    <phoneticPr fontId="144" type="noConversion"/>
  </si>
  <si>
    <t>房屋登记表</t>
    <phoneticPr fontId="144" type="noConversion"/>
  </si>
  <si>
    <t>现状</t>
    <phoneticPr fontId="144" type="noConversion"/>
  </si>
  <si>
    <t>楼号或幢号</t>
    <phoneticPr fontId="144" type="noConversion"/>
  </si>
  <si>
    <t>房屋总层数</t>
    <phoneticPr fontId="144" type="noConversion"/>
  </si>
  <si>
    <t>所在层数</t>
    <phoneticPr fontId="144" type="noConversion"/>
  </si>
  <si>
    <t>结构</t>
    <phoneticPr fontId="144" type="noConversion"/>
  </si>
  <si>
    <t>建筑面积</t>
    <phoneticPr fontId="144" type="noConversion"/>
  </si>
  <si>
    <t>规划用途</t>
    <phoneticPr fontId="144" type="noConversion"/>
  </si>
  <si>
    <t>房号</t>
    <phoneticPr fontId="144" type="noConversion"/>
  </si>
  <si>
    <t>建成年代</t>
    <phoneticPr fontId="144" type="noConversion"/>
  </si>
  <si>
    <r>
      <t>X京房权证朝字第956029号</t>
    </r>
    <r>
      <rPr>
        <sz val="11"/>
        <color theme="1"/>
        <rFont val="宋体"/>
        <family val="2"/>
        <charset val="134"/>
        <scheme val="minor"/>
      </rPr>
      <t/>
    </r>
  </si>
  <si>
    <t>朝阳区郎家园6号[3-2]1幢等7幢</t>
    <phoneticPr fontId="144" type="noConversion"/>
  </si>
  <si>
    <t>1幢</t>
    <phoneticPr fontId="144" type="noConversion"/>
  </si>
  <si>
    <t>01</t>
    <phoneticPr fontId="144" type="noConversion"/>
  </si>
  <si>
    <t>1</t>
    <phoneticPr fontId="144" type="noConversion"/>
  </si>
  <si>
    <t>砖木</t>
    <phoneticPr fontId="144" type="noConversion"/>
  </si>
  <si>
    <t>17#</t>
    <phoneticPr fontId="144" type="noConversion"/>
  </si>
  <si>
    <t>2幢</t>
    <phoneticPr fontId="144" type="noConversion"/>
  </si>
  <si>
    <t>04</t>
    <phoneticPr fontId="144" type="noConversion"/>
  </si>
  <si>
    <t>1-4</t>
    <phoneticPr fontId="144" type="noConversion"/>
  </si>
  <si>
    <t>混合</t>
    <phoneticPr fontId="144" type="noConversion"/>
  </si>
  <si>
    <t>——</t>
    <phoneticPr fontId="144" type="noConversion"/>
  </si>
  <si>
    <t>3幢</t>
    <phoneticPr fontId="144" type="noConversion"/>
  </si>
  <si>
    <t>18#</t>
    <phoneticPr fontId="144" type="noConversion"/>
  </si>
  <si>
    <t>80年代</t>
    <phoneticPr fontId="144" type="noConversion"/>
  </si>
  <si>
    <t>4幢</t>
    <phoneticPr fontId="144" type="noConversion"/>
  </si>
  <si>
    <t>18C#</t>
    <phoneticPr fontId="144" type="noConversion"/>
  </si>
  <si>
    <t>5幢</t>
    <phoneticPr fontId="144" type="noConversion"/>
  </si>
  <si>
    <t>19#</t>
    <phoneticPr fontId="144" type="noConversion"/>
  </si>
  <si>
    <t>6幢</t>
    <phoneticPr fontId="144" type="noConversion"/>
  </si>
  <si>
    <t>20#</t>
    <phoneticPr fontId="144" type="noConversion"/>
  </si>
  <si>
    <t>拆除</t>
    <phoneticPr fontId="144" type="noConversion"/>
  </si>
  <si>
    <t>7幢</t>
    <phoneticPr fontId="144" type="noConversion"/>
  </si>
  <si>
    <t>合计</t>
    <phoneticPr fontId="144" type="noConversion"/>
  </si>
  <si>
    <t>——</t>
    <phoneticPr fontId="144" type="noConversion"/>
  </si>
  <si>
    <t>现状</t>
    <phoneticPr fontId="144" type="noConversion"/>
  </si>
  <si>
    <t>加固翻新</t>
    <phoneticPr fontId="144" type="noConversion"/>
  </si>
  <si>
    <t>拆除</t>
    <phoneticPr fontId="144" type="noConversion"/>
  </si>
  <si>
    <t>2010年拆除改建</t>
    <phoneticPr fontId="144" type="noConversion"/>
  </si>
  <si>
    <t>2012年拆除改建</t>
    <phoneticPr fontId="144" type="noConversion"/>
  </si>
  <si>
    <t>——</t>
    <phoneticPr fontId="144" type="noConversion"/>
  </si>
  <si>
    <t>出租面积</t>
    <phoneticPr fontId="144" type="noConversion"/>
  </si>
</sst>
</file>

<file path=xl/styles.xml><?xml version="1.0" encoding="utf-8"?>
<styleSheet xmlns="http://schemas.openxmlformats.org/spreadsheetml/2006/main">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name val="微软雅黑"/>
      <family val="2"/>
      <charset val="134"/>
    </font>
    <font>
      <sz val="10"/>
      <color indexed="8"/>
      <name val="微软雅黑"/>
      <family val="2"/>
      <charset val="134"/>
    </font>
    <font>
      <sz val="10"/>
      <color theme="1"/>
      <name val="微软雅黑"/>
      <family val="2"/>
      <charset val="134"/>
    </font>
    <font>
      <sz val="9"/>
      <color indexed="81"/>
      <name val="Tahoma"/>
      <family val="2"/>
      <charset val="134"/>
    </font>
    <font>
      <sz val="9"/>
      <color indexed="81"/>
      <name val="Arial"/>
      <family val="2"/>
    </font>
    <font>
      <sz val="9"/>
      <color indexed="81"/>
      <name val="Tahoma"/>
      <family val="2"/>
    </font>
    <font>
      <sz val="12"/>
      <color theme="1"/>
      <name val="微软雅黑"/>
      <family val="2"/>
      <charset val="134"/>
    </font>
    <font>
      <b/>
      <sz val="12"/>
      <color theme="1"/>
      <name val="微软雅黑"/>
      <family val="2"/>
      <charset val="134"/>
    </font>
    <font>
      <sz val="12"/>
      <color rgb="FFFF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43" fontId="100" fillId="0" borderId="0" applyFont="0" applyFill="0" applyBorder="0" applyAlignment="0" applyProtection="0">
      <alignment vertical="center"/>
    </xf>
    <xf numFmtId="0" fontId="138" fillId="0" borderId="0">
      <alignment vertical="center"/>
    </xf>
  </cellStyleXfs>
  <cellXfs count="336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58" fillId="0" borderId="1" xfId="10" applyFont="1" applyFill="1" applyBorder="1" applyAlignment="1">
      <alignment horizontal="center" vertical="center" wrapText="1"/>
    </xf>
    <xf numFmtId="0" fontId="58" fillId="0" borderId="1" xfId="10" applyFont="1" applyFill="1" applyBorder="1" applyAlignment="1">
      <alignment horizontal="left" vertical="center" wrapText="1"/>
    </xf>
    <xf numFmtId="43" fontId="58" fillId="0" borderId="1" xfId="13" applyFont="1" applyFill="1" applyBorder="1" applyAlignment="1">
      <alignment horizontal="center" vertical="center" wrapText="1"/>
    </xf>
    <xf numFmtId="0" fontId="106" fillId="0" borderId="0" xfId="10" applyFont="1" applyFill="1">
      <alignment vertical="center"/>
    </xf>
    <xf numFmtId="0" fontId="51" fillId="0" borderId="1" xfId="10" applyFont="1" applyFill="1" applyBorder="1" applyAlignment="1">
      <alignment horizontal="center" vertical="center"/>
    </xf>
    <xf numFmtId="0" fontId="58" fillId="0" borderId="3" xfId="10" applyFont="1" applyFill="1" applyBorder="1" applyAlignment="1">
      <alignment horizontal="left" vertical="center" wrapText="1"/>
    </xf>
    <xf numFmtId="176" fontId="131" fillId="5" borderId="1" xfId="10" applyNumberFormat="1" applyFont="1" applyFill="1" applyBorder="1" applyAlignment="1">
      <alignment horizontal="left" vertical="center" wrapText="1"/>
    </xf>
    <xf numFmtId="0" fontId="57" fillId="0" borderId="1" xfId="10" applyFont="1" applyFill="1" applyBorder="1" applyAlignment="1">
      <alignment horizontal="center" vertical="center" wrapText="1"/>
    </xf>
    <xf numFmtId="43" fontId="57" fillId="0" borderId="1" xfId="13" applyFont="1" applyFill="1" applyBorder="1" applyAlignment="1">
      <alignment horizontal="center" vertical="center" wrapText="1"/>
    </xf>
    <xf numFmtId="0" fontId="57" fillId="5" borderId="1" xfId="10" applyFont="1" applyFill="1" applyBorder="1" applyAlignment="1">
      <alignment horizontal="left" vertical="center" wrapText="1"/>
    </xf>
    <xf numFmtId="0" fontId="20" fillId="5" borderId="1" xfId="10" applyFont="1" applyFill="1" applyBorder="1" applyAlignment="1">
      <alignment horizontal="left" vertical="center" wrapText="1"/>
    </xf>
    <xf numFmtId="0" fontId="57" fillId="5" borderId="1" xfId="14" applyFont="1" applyFill="1" applyBorder="1" applyAlignment="1">
      <alignment horizontal="left" vertical="center" wrapText="1"/>
    </xf>
    <xf numFmtId="0" fontId="20" fillId="5" borderId="1" xfId="14" applyFont="1" applyFill="1" applyBorder="1" applyAlignment="1">
      <alignment horizontal="left" vertical="center" wrapText="1"/>
    </xf>
    <xf numFmtId="0" fontId="51" fillId="0" borderId="2" xfId="10" applyFont="1" applyFill="1" applyBorder="1" applyAlignment="1">
      <alignment horizontal="center" vertical="center"/>
    </xf>
    <xf numFmtId="0" fontId="58" fillId="0" borderId="7" xfId="10" applyFont="1" applyFill="1" applyBorder="1" applyAlignment="1">
      <alignment horizontal="left" vertical="center" wrapText="1"/>
    </xf>
    <xf numFmtId="0" fontId="57" fillId="0" borderId="2" xfId="10" applyFont="1" applyFill="1" applyBorder="1" applyAlignment="1">
      <alignment horizontal="center" vertical="center" wrapText="1"/>
    </xf>
    <xf numFmtId="0" fontId="57" fillId="0" borderId="1" xfId="10" applyFont="1" applyFill="1" applyBorder="1" applyAlignment="1">
      <alignment horizontal="left" vertical="center" wrapText="1"/>
    </xf>
    <xf numFmtId="176" fontId="20" fillId="5" borderId="1" xfId="10" applyNumberFormat="1" applyFont="1" applyFill="1" applyBorder="1" applyAlignment="1">
      <alignment horizontal="left" vertical="center" wrapText="1"/>
    </xf>
    <xf numFmtId="176" fontId="57" fillId="5" borderId="1" xfId="10" applyNumberFormat="1" applyFont="1" applyFill="1" applyBorder="1" applyAlignment="1">
      <alignment horizontal="left" vertical="center" wrapText="1"/>
    </xf>
    <xf numFmtId="176" fontId="58" fillId="0" borderId="3" xfId="10" applyNumberFormat="1" applyFont="1" applyFill="1" applyBorder="1" applyAlignment="1">
      <alignment horizontal="left" vertical="center" wrapText="1"/>
    </xf>
    <xf numFmtId="186" fontId="57" fillId="0" borderId="1" xfId="10" applyNumberFormat="1" applyFont="1" applyFill="1" applyBorder="1" applyAlignment="1">
      <alignment horizontal="center" vertical="center" wrapText="1"/>
    </xf>
    <xf numFmtId="176" fontId="58" fillId="0" borderId="1" xfId="10" applyNumberFormat="1" applyFont="1" applyFill="1" applyBorder="1" applyAlignment="1">
      <alignment horizontal="left" vertical="center" wrapText="1"/>
    </xf>
    <xf numFmtId="0" fontId="51" fillId="5" borderId="1" xfId="10" applyFont="1" applyFill="1" applyBorder="1" applyAlignment="1">
      <alignment vertical="center"/>
    </xf>
    <xf numFmtId="0" fontId="51" fillId="0" borderId="15" xfId="10" applyFont="1" applyFill="1" applyBorder="1" applyAlignment="1">
      <alignment horizontal="center" vertical="center"/>
    </xf>
    <xf numFmtId="0" fontId="81" fillId="5" borderId="1" xfId="10" applyFont="1" applyFill="1" applyBorder="1" applyAlignment="1">
      <alignment vertical="center"/>
    </xf>
    <xf numFmtId="176" fontId="58" fillId="5" borderId="3" xfId="10" applyNumberFormat="1" applyFont="1" applyFill="1" applyBorder="1" applyAlignment="1">
      <alignment horizontal="left" vertical="center" wrapText="1"/>
    </xf>
    <xf numFmtId="176" fontId="57" fillId="0" borderId="1" xfId="10" applyNumberFormat="1" applyFont="1" applyFill="1" applyBorder="1" applyAlignment="1">
      <alignment horizontal="left" vertical="center" wrapText="1"/>
    </xf>
    <xf numFmtId="0" fontId="56" fillId="5" borderId="3" xfId="10" applyFont="1" applyFill="1" applyBorder="1" applyAlignment="1">
      <alignment horizontal="left" vertical="center"/>
    </xf>
    <xf numFmtId="0" fontId="51" fillId="0" borderId="1" xfId="10" applyFont="1" applyFill="1" applyBorder="1" applyAlignment="1">
      <alignment horizontal="left" vertical="center"/>
    </xf>
    <xf numFmtId="0" fontId="58" fillId="5" borderId="3" xfId="10" applyFont="1" applyFill="1" applyBorder="1" applyAlignment="1">
      <alignment horizontal="left" vertical="center" wrapText="1"/>
    </xf>
    <xf numFmtId="0" fontId="57" fillId="0" borderId="1" xfId="10" applyFont="1" applyFill="1" applyBorder="1" applyAlignment="1">
      <alignment horizontal="left" vertical="center"/>
    </xf>
    <xf numFmtId="0" fontId="57" fillId="0" borderId="1" xfId="10" applyFont="1" applyFill="1" applyBorder="1" applyAlignment="1">
      <alignment horizontal="center" vertical="center"/>
    </xf>
    <xf numFmtId="0" fontId="20" fillId="5" borderId="1" xfId="10" applyFont="1" applyFill="1" applyBorder="1" applyAlignment="1">
      <alignment horizontal="left" vertical="center"/>
    </xf>
    <xf numFmtId="0" fontId="57" fillId="5" borderId="1" xfId="10" applyFont="1" applyFill="1" applyBorder="1" applyAlignment="1">
      <alignment horizontal="left" vertical="center"/>
    </xf>
    <xf numFmtId="0" fontId="51" fillId="5" borderId="1" xfId="10" applyFont="1" applyFill="1" applyBorder="1" applyAlignment="1">
      <alignment horizontal="left" vertical="center"/>
    </xf>
    <xf numFmtId="0" fontId="139" fillId="0" borderId="1" xfId="10" applyFont="1" applyFill="1" applyBorder="1" applyAlignment="1">
      <alignment horizontal="left" vertical="center" wrapText="1"/>
    </xf>
    <xf numFmtId="43" fontId="106" fillId="0" borderId="0" xfId="13" applyFont="1" applyFill="1">
      <alignment vertical="center"/>
    </xf>
    <xf numFmtId="0" fontId="231" fillId="0" borderId="4" xfId="0" applyNumberFormat="1" applyFont="1" applyFill="1" applyBorder="1" applyAlignment="1" applyProtection="1">
      <alignment horizontal="left" vertical="center"/>
      <protection locked="0"/>
    </xf>
    <xf numFmtId="0" fontId="191"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21" fillId="5" borderId="17" xfId="0" applyFont="1" applyFill="1" applyBorder="1" applyAlignment="1" applyProtection="1">
      <alignment horizontal="center" vertical="center" wrapText="1"/>
      <protection locked="0"/>
    </xf>
    <xf numFmtId="10" fontId="121" fillId="0" borderId="1" xfId="1" applyNumberFormat="1" applyFont="1" applyFill="1" applyBorder="1" applyAlignment="1" applyProtection="1">
      <alignment horizontal="center" vertical="center"/>
      <protection locked="0"/>
    </xf>
    <xf numFmtId="0" fontId="121" fillId="5" borderId="10" xfId="0" applyFont="1" applyFill="1" applyBorder="1" applyAlignment="1" applyProtection="1">
      <alignment horizontal="center" vertical="center"/>
      <protection locked="0"/>
    </xf>
    <xf numFmtId="0" fontId="261" fillId="0" borderId="0" xfId="10" applyFont="1" applyAlignment="1">
      <alignment vertical="center" wrapText="1"/>
    </xf>
    <xf numFmtId="0" fontId="261" fillId="0" borderId="0" xfId="10" applyFont="1">
      <alignment vertical="center"/>
    </xf>
    <xf numFmtId="0" fontId="100" fillId="0" borderId="0" xfId="10">
      <alignment vertical="center"/>
    </xf>
    <xf numFmtId="0" fontId="262" fillId="0" borderId="6" xfId="10" applyFont="1" applyBorder="1" applyAlignment="1">
      <alignment horizontal="left" vertical="center" wrapText="1"/>
    </xf>
    <xf numFmtId="0" fontId="262" fillId="0" borderId="9" xfId="10" applyFont="1" applyBorder="1" applyAlignment="1">
      <alignment horizontal="left" vertical="center" wrapText="1"/>
    </xf>
    <xf numFmtId="49" fontId="262" fillId="0" borderId="9" xfId="10" applyNumberFormat="1" applyFont="1" applyBorder="1" applyAlignment="1">
      <alignment horizontal="left" vertical="center" wrapText="1"/>
    </xf>
    <xf numFmtId="0" fontId="262" fillId="0" borderId="10" xfId="10" applyFont="1" applyBorder="1" applyAlignment="1">
      <alignment horizontal="left" vertical="center" wrapText="1"/>
    </xf>
    <xf numFmtId="0" fontId="261" fillId="17" borderId="25" xfId="10" applyFont="1" applyFill="1" applyBorder="1" applyAlignment="1">
      <alignment horizontal="left" vertical="center" wrapText="1"/>
    </xf>
    <xf numFmtId="0" fontId="261" fillId="17" borderId="32" xfId="10" applyFont="1" applyFill="1" applyBorder="1" applyAlignment="1">
      <alignment horizontal="left" vertical="center" wrapText="1"/>
    </xf>
    <xf numFmtId="49" fontId="261" fillId="17" borderId="32" xfId="10" applyNumberFormat="1" applyFont="1" applyFill="1" applyBorder="1" applyAlignment="1">
      <alignment horizontal="left" vertical="center" wrapText="1"/>
    </xf>
    <xf numFmtId="14" fontId="261" fillId="17" borderId="49" xfId="10" applyNumberFormat="1" applyFont="1" applyFill="1" applyBorder="1" applyAlignment="1">
      <alignment horizontal="left" vertical="center" wrapText="1"/>
    </xf>
    <xf numFmtId="0" fontId="262" fillId="0" borderId="1" xfId="10" applyFont="1" applyBorder="1" applyAlignment="1">
      <alignment horizontal="left" vertical="center" wrapText="1"/>
    </xf>
    <xf numFmtId="49" fontId="262" fillId="0" borderId="1" xfId="10" applyNumberFormat="1" applyFont="1" applyBorder="1" applyAlignment="1">
      <alignment horizontal="left" vertical="center" wrapText="1"/>
    </xf>
    <xf numFmtId="0" fontId="262" fillId="0" borderId="1" xfId="10" applyFont="1" applyFill="1" applyBorder="1" applyAlignment="1">
      <alignment horizontal="left" vertical="center" wrapText="1"/>
    </xf>
    <xf numFmtId="0" fontId="262" fillId="0" borderId="24" xfId="10" applyFont="1" applyBorder="1" applyAlignment="1">
      <alignment horizontal="left" vertical="center" wrapText="1"/>
    </xf>
    <xf numFmtId="0" fontId="261" fillId="17" borderId="1" xfId="10" applyFont="1" applyFill="1" applyBorder="1" applyAlignment="1">
      <alignment horizontal="left" vertical="center" wrapText="1"/>
    </xf>
    <xf numFmtId="0" fontId="261" fillId="17" borderId="1" xfId="10" applyFont="1" applyFill="1" applyBorder="1" applyAlignment="1">
      <alignment horizontal="left" vertical="center"/>
    </xf>
    <xf numFmtId="0" fontId="261" fillId="17" borderId="24" xfId="10" applyFont="1" applyFill="1" applyBorder="1" applyAlignment="1">
      <alignment horizontal="left" vertical="center"/>
    </xf>
    <xf numFmtId="0" fontId="261" fillId="17" borderId="49" xfId="10" applyFont="1" applyFill="1" applyBorder="1" applyAlignment="1">
      <alignment horizontal="left" vertical="center"/>
    </xf>
    <xf numFmtId="14" fontId="62" fillId="0" borderId="13" xfId="0" applyNumberFormat="1" applyFont="1" applyFill="1" applyBorder="1" applyAlignment="1" applyProtection="1">
      <alignment horizontal="left" vertical="center"/>
      <protection locked="0"/>
    </xf>
    <xf numFmtId="0" fontId="262" fillId="0" borderId="5" xfId="10" applyFont="1" applyFill="1" applyBorder="1" applyAlignment="1">
      <alignment horizontal="left" vertical="center" wrapText="1"/>
    </xf>
    <xf numFmtId="0" fontId="261" fillId="17" borderId="5" xfId="10" applyFont="1" applyFill="1" applyBorder="1" applyAlignment="1">
      <alignment horizontal="left" vertical="center"/>
    </xf>
    <xf numFmtId="0" fontId="261" fillId="17" borderId="33" xfId="10" applyFont="1" applyFill="1" applyBorder="1" applyAlignment="1">
      <alignment horizontal="left" vertical="center" wrapText="1"/>
    </xf>
    <xf numFmtId="0" fontId="263" fillId="17" borderId="24" xfId="10" applyFont="1" applyFill="1" applyBorder="1" applyAlignment="1">
      <alignment horizontal="left" vertical="center"/>
    </xf>
    <xf numFmtId="0" fontId="172" fillId="6" borderId="13" xfId="12"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62" fillId="0" borderId="9" xfId="10" applyFont="1" applyBorder="1" applyAlignment="1">
      <alignment horizontal="left" vertical="center" wrapText="1"/>
    </xf>
    <xf numFmtId="0" fontId="261" fillId="0" borderId="9" xfId="10" applyFont="1" applyBorder="1" applyAlignment="1">
      <alignment horizontal="left" vertical="center"/>
    </xf>
    <xf numFmtId="0" fontId="261" fillId="0" borderId="28" xfId="10" applyFont="1" applyBorder="1" applyAlignment="1">
      <alignment horizontal="left" vertical="center"/>
    </xf>
    <xf numFmtId="0" fontId="261" fillId="0" borderId="10" xfId="10" applyFont="1" applyBorder="1" applyAlignment="1">
      <alignment horizontal="left" vertical="center"/>
    </xf>
    <xf numFmtId="0" fontId="261" fillId="17" borderId="11" xfId="10" applyFont="1" applyFill="1" applyBorder="1" applyAlignment="1">
      <alignment horizontal="center" vertical="center" wrapText="1"/>
    </xf>
    <xf numFmtId="0" fontId="261" fillId="17" borderId="14" xfId="10" applyFont="1" applyFill="1" applyBorder="1" applyAlignment="1">
      <alignment horizontal="center" vertical="center" wrapText="1"/>
    </xf>
    <xf numFmtId="0" fontId="261" fillId="17" borderId="41" xfId="10" applyFont="1" applyFill="1" applyBorder="1" applyAlignment="1">
      <alignment horizontal="center" vertical="center" wrapText="1"/>
    </xf>
    <xf numFmtId="0" fontId="261" fillId="17" borderId="13" xfId="10" applyFont="1" applyFill="1" applyBorder="1" applyAlignment="1">
      <alignment horizontal="center" vertical="center" wrapText="1"/>
    </xf>
    <xf numFmtId="0" fontId="261" fillId="17" borderId="15" xfId="10" applyFont="1" applyFill="1" applyBorder="1" applyAlignment="1">
      <alignment horizontal="center" vertical="center" wrapText="1"/>
    </xf>
    <xf numFmtId="0" fontId="261" fillId="17" borderId="2" xfId="10" applyFont="1" applyFill="1" applyBorder="1" applyAlignment="1">
      <alignment horizontal="center" vertical="center" wrapText="1"/>
    </xf>
    <xf numFmtId="0" fontId="262" fillId="0" borderId="6" xfId="10" applyFont="1" applyBorder="1" applyAlignment="1">
      <alignment horizontal="left" vertical="center" wrapText="1"/>
    </xf>
    <xf numFmtId="0" fontId="262" fillId="0" borderId="23" xfId="10" applyFont="1" applyBorder="1" applyAlignment="1">
      <alignment horizontal="left" vertical="center" wrapText="1"/>
    </xf>
    <xf numFmtId="0" fontId="262" fillId="0" borderId="1" xfId="10" applyFont="1" applyBorder="1" applyAlignment="1">
      <alignment horizontal="left"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0" borderId="13" xfId="10" applyFont="1" applyFill="1" applyBorder="1" applyAlignment="1">
      <alignment horizontal="center" vertical="center"/>
    </xf>
    <xf numFmtId="0" fontId="51" fillId="0" borderId="2" xfId="10" applyFont="1" applyFill="1" applyBorder="1" applyAlignment="1">
      <alignment horizontal="center" vertical="center"/>
    </xf>
    <xf numFmtId="0" fontId="51" fillId="0" borderId="15" xfId="10" applyFont="1" applyFill="1" applyBorder="1" applyAlignment="1">
      <alignment horizontal="center" vertical="center"/>
    </xf>
    <xf numFmtId="0" fontId="58" fillId="5" borderId="13" xfId="10" applyFont="1" applyFill="1" applyBorder="1" applyAlignment="1">
      <alignment horizontal="left" vertical="center" wrapText="1"/>
    </xf>
    <xf numFmtId="0" fontId="58" fillId="5" borderId="15" xfId="10" applyFont="1" applyFill="1" applyBorder="1" applyAlignment="1">
      <alignment horizontal="left" vertical="center" wrapText="1"/>
    </xf>
    <xf numFmtId="0" fontId="58" fillId="5" borderId="2" xfId="10" applyFont="1" applyFill="1" applyBorder="1" applyAlignment="1">
      <alignment horizontal="left" vertical="center" wrapText="1"/>
    </xf>
    <xf numFmtId="0" fontId="261" fillId="17" borderId="33" xfId="10" applyFont="1" applyFill="1" applyBorder="1" applyAlignment="1">
      <alignment horizontal="center" vertical="center" wrapText="1"/>
    </xf>
    <xf numFmtId="0" fontId="261" fillId="17" borderId="66" xfId="10" applyFont="1" applyFill="1" applyBorder="1" applyAlignment="1">
      <alignment horizontal="center" vertical="center" wrapText="1"/>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2 3" xfId="14"/>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3"/>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65288;&#37070;&#22253;&#183;&#199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96;&#27979;&#31639;&#34920;&#21450;&#39044;&#35780;-&#23425;&#23567;&#40151;20180529-103436/&#29616;&#25151;&#65288;&#37070;&#22253;&#183;&#19996;&#65289;&#1996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东"/>
      <sheetName val="数据-汇总表"/>
      <sheetName val="数据-取费表"/>
      <sheetName val="租约"/>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27202.3</v>
          </cell>
          <cell r="C14">
            <v>18455.759999999998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东"/>
      <sheetName val="数据-汇总表"/>
      <sheetName val="数据-取费表"/>
      <sheetName val="租约"/>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G19">
            <v>74538</v>
          </cell>
        </row>
        <row r="122">
          <cell r="D122">
            <v>74538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北京市朝阳区郎家园6号[3-2]1幢等7幢房地产抵押价值预评估</v>
      </c>
    </row>
    <row r="3" spans="1:2" s="1596" customFormat="1">
      <c r="A3" s="1594" t="s">
        <v>1221</v>
      </c>
      <c r="B3" s="1595" t="str">
        <f>'预评函-封皮'!B40</f>
        <v>北京农商银行股份有限公司东城支行</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受贵公司委托，我公司对北京市朝阳区郎家园6号[3-2]1幢等7幢房地产抵押价值进行了预评估。</v>
      </c>
    </row>
    <row r="7" spans="1:2" s="1596" customFormat="1">
      <c r="A7" s="1594" t="s">
        <v>1264</v>
      </c>
      <c r="B7" s="1595" t="str">
        <f>'预评函-1'!A7</f>
        <v>估价对象为北京市朝阳区郎家园6号[3-2]1幢等7幢房地产，为北京尚博地投资顾问有限公司所有。根据《国有土地使用证》[]，估价对象（分摊）出让国有建设用地使用权面积为4638.1平方米。根据《房屋所有权证》[]，估价对象建筑面积为2864.5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郎家园6号[3-2]1幢等7幢房地产,属北京尚博地投资顾问有限公司开发建设的综合项目（商业、办公），该项目尚在开发建设中。根据《国有土地使用证》[]，估价对象（分摊）出让国有建设用地使用权面积为4638.1平方米。根据《房屋所有权证》[]，估价对象规划建筑面积为2864.5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北京尚博地投资顾问有限公司拟使用北京市朝阳区郎家园6号[3-2]1幢等7幢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2018年5月24日（评估专业人员实地查勘之日）</v>
      </c>
    </row>
    <row r="13" spans="1:2" s="1596" customFormat="1">
      <c r="A13" s="1594" t="s">
        <v>1227</v>
      </c>
      <c r="B13" s="1595" t="str">
        <f>'预评函-1'!A18</f>
        <v>本次估价的“房地产价值”是指在正常市场情况下，在价值时点2018年5月24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10349</v>
      </c>
    </row>
    <row r="21" spans="1:2" s="1596" customFormat="1">
      <c r="A21" s="1594" t="s">
        <v>1235</v>
      </c>
      <c r="B21" s="1595">
        <f ca="1">'预评函-2'!D7</f>
        <v>36128</v>
      </c>
    </row>
    <row r="22" spans="1:2" s="1596" customFormat="1">
      <c r="A22" s="1594" t="s">
        <v>1236</v>
      </c>
      <c r="B22" s="1595" t="str">
        <f ca="1">'预评函-2'!D6</f>
        <v>壹亿零叁佰肆拾玖万元整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10349</v>
      </c>
    </row>
    <row r="31" spans="1:2" s="1596" customFormat="1">
      <c r="A31" s="1594" t="s">
        <v>1274</v>
      </c>
      <c r="B31" s="1595">
        <f ca="1">'预评函-2'!D15</f>
        <v>36128</v>
      </c>
    </row>
    <row r="32" spans="1:2" s="1596" customFormat="1">
      <c r="A32" s="1594" t="s">
        <v>1241</v>
      </c>
      <c r="B32" s="1595" t="str">
        <f ca="1">'预评函-2'!D14</f>
        <v>壹亿零叁佰肆拾玖万元整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北京市朝阳区郎家园6号[3-2]1幢等7幢房地产</v>
      </c>
    </row>
    <row r="42" spans="1:2" s="1596" customFormat="1">
      <c r="A42" s="1594" t="s">
        <v>1288</v>
      </c>
      <c r="B42" s="1595" t="str">
        <f>'预评函-3'!B2</f>
        <v>建筑面积</v>
      </c>
    </row>
    <row r="43" spans="1:2" s="1596" customFormat="1">
      <c r="A43" s="1594" t="s">
        <v>1289</v>
      </c>
      <c r="B43" s="1595">
        <f>'预评函-3'!B4</f>
        <v>2864.5</v>
      </c>
    </row>
    <row r="44" spans="1:2" s="1596" customFormat="1">
      <c r="A44" s="1594" t="s">
        <v>1273</v>
      </c>
      <c r="B44" s="1595" t="str">
        <f>'预评函-3'!C2</f>
        <v>(分摊)土地面积</v>
      </c>
    </row>
    <row r="45" spans="1:2" s="1596" customFormat="1">
      <c r="A45" s="1594" t="s">
        <v>1245</v>
      </c>
      <c r="B45" s="1595">
        <f>'预评函-3'!C4</f>
        <v>4638.1000000000004</v>
      </c>
    </row>
    <row r="46" spans="1:2" s="1596" customFormat="1">
      <c r="A46" s="1594" t="s">
        <v>1271</v>
      </c>
      <c r="B46" s="1595" t="str">
        <f>'预评函-3'!D2</f>
        <v>出让国有建设用地使用权价值</v>
      </c>
    </row>
    <row r="47" spans="1:2" s="1596" customFormat="1">
      <c r="A47" s="1594" t="s">
        <v>1246</v>
      </c>
      <c r="B47" s="1595">
        <f ca="1">'预评函-3'!D4</f>
        <v>9055</v>
      </c>
    </row>
    <row r="48" spans="1:2" s="1596" customFormat="1">
      <c r="A48" s="1594" t="s">
        <v>1247</v>
      </c>
      <c r="B48" s="1595">
        <f ca="1">'预评函-3'!E4</f>
        <v>31611</v>
      </c>
    </row>
    <row r="49" spans="1:2" s="1596" customFormat="1">
      <c r="A49" s="1594" t="s">
        <v>1248</v>
      </c>
      <c r="B49" s="1595" t="str">
        <f ca="1">'预评函-3'!D5</f>
        <v>玖仟零伍拾伍万元整</v>
      </c>
    </row>
    <row r="50" spans="1:2" s="1596" customFormat="1">
      <c r="A50" s="1594" t="s">
        <v>1272</v>
      </c>
      <c r="B50" s="1595" t="str">
        <f>'预评函-3'!F2</f>
        <v>在建建筑物价值</v>
      </c>
    </row>
    <row r="51" spans="1:2" s="1596" customFormat="1">
      <c r="A51" s="1594" t="s">
        <v>1249</v>
      </c>
      <c r="B51" s="1595">
        <f ca="1">'预评函-3'!F4</f>
        <v>1294</v>
      </c>
    </row>
    <row r="52" spans="1:2" s="1596" customFormat="1">
      <c r="A52" s="1594" t="s">
        <v>1250</v>
      </c>
      <c r="B52" s="1595">
        <f ca="1">'预评函-3'!G4</f>
        <v>4517</v>
      </c>
    </row>
    <row r="53" spans="1:2" s="1596" customFormat="1">
      <c r="A53" s="1594" t="s">
        <v>1278</v>
      </c>
      <c r="B53" s="1595" t="str">
        <f ca="1">'预评函-3'!F5</f>
        <v>壹仟贰佰玖拾肆万元整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57" sqref="B5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为估价委托人在向北京农商银行股份有限公司东城支行办理贷款手续过程中，确定房地产抵押贷款额度提供参考依据而评估房地产抵押价值。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尚博地投资顾问有限公司拟使用北京市朝阳区郎家园6号[3-2]1幢等7幢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7"/>
      <c r="B54" s="2025" t="s">
        <v>864</v>
      </c>
      <c r="C54" s="2022" t="s">
        <v>1281</v>
      </c>
    </row>
    <row r="55" spans="1:4">
      <c r="A55" s="3057"/>
      <c r="B55" s="2025" t="s">
        <v>865</v>
      </c>
      <c r="C55" s="2022" t="s">
        <v>1282</v>
      </c>
    </row>
    <row r="56" spans="1:4">
      <c r="A56" s="3057"/>
      <c r="B56" s="2025" t="s">
        <v>866</v>
      </c>
      <c r="C56" s="2022" t="s">
        <v>1286</v>
      </c>
    </row>
    <row r="57" spans="1:4">
      <c r="A57" s="305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C29" sqref="C2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58" t="str">
        <f>IF(B10="北京市","北京市",C10)&amp;F10&amp;IF(结果表!G1="在建","出让国有建设用地使用权及在建建筑物",IF(结果表!G1="土地","出让国有建设用地使用权",))&amp;B9&amp;"预评估"</f>
        <v>北京市朝阳区郎家园6号[3-2]1幢等7幢房地产抵押价值预评估</v>
      </c>
      <c r="C1" s="3059"/>
      <c r="D1" s="3059"/>
      <c r="E1" s="3059"/>
      <c r="F1" s="3059"/>
      <c r="G1" s="3059"/>
      <c r="H1" s="3059"/>
      <c r="I1" s="306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北京市朝阳区郎家园6号[3-2]1幢等7幢房地产抵押价值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北京市朝阳区郎家园6号[3-2]1幢等7幢房地产</v>
      </c>
    </row>
    <row r="3" spans="1:19" ht="18" customHeight="1">
      <c r="A3" s="2038" t="s">
        <v>1778</v>
      </c>
      <c r="B3" s="2039">
        <v>43244</v>
      </c>
      <c r="C3" s="2040" t="s">
        <v>1779</v>
      </c>
      <c r="D3" s="3008">
        <f>B3</f>
        <v>43244</v>
      </c>
      <c r="E3" s="2029"/>
      <c r="F3" s="2029"/>
      <c r="G3" s="2029"/>
      <c r="H3" s="2029"/>
      <c r="I3" s="2029"/>
      <c r="J3" s="2029"/>
      <c r="K3" s="2030"/>
      <c r="L3" s="2031"/>
      <c r="M3" s="2031"/>
      <c r="N3" s="2032"/>
      <c r="O3" s="2033"/>
      <c r="P3" s="2032"/>
      <c r="Q3" s="2032"/>
      <c r="R3" s="2032"/>
      <c r="S3" s="2034"/>
    </row>
    <row r="4" spans="1:19" ht="18" customHeight="1" thickBot="1">
      <c r="A4" s="2041" t="s">
        <v>1780</v>
      </c>
      <c r="B4" s="2042" t="s">
        <v>3168</v>
      </c>
      <c r="C4" s="1040">
        <f ca="1">SUMIF(注册房地产估价师,B4,估价师及机构信息!B3:B24)</f>
        <v>1120050019</v>
      </c>
      <c r="D4" s="2042" t="s">
        <v>3169</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t="str">
        <f>B6</f>
        <v>北京农商银行股份有限公司东城支行</v>
      </c>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84" t="s">
        <v>3191</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t="str">
        <f>C11</f>
        <v>北京尚博地投资顾问有限公司</v>
      </c>
      <c r="C7" s="2052"/>
      <c r="D7" s="2053"/>
      <c r="E7" s="2037"/>
      <c r="F7" s="2045"/>
      <c r="G7" s="2045"/>
      <c r="H7" s="2045"/>
      <c r="I7" s="2045"/>
      <c r="J7" s="2045"/>
      <c r="K7" s="2056"/>
      <c r="L7" s="2031"/>
      <c r="M7" s="2031"/>
      <c r="N7" s="2032"/>
      <c r="O7" s="2033"/>
      <c r="P7" s="2032"/>
      <c r="Q7" s="2032"/>
      <c r="R7" s="2032"/>
    </row>
    <row r="8" spans="1:19" ht="18" customHeight="1">
      <c r="A8" s="2051" t="s">
        <v>1784</v>
      </c>
      <c r="B8" s="2057" t="s">
        <v>3190</v>
      </c>
      <c r="C8" s="2058"/>
      <c r="D8" s="3061" t="s">
        <v>1785</v>
      </c>
      <c r="E8" s="2059" t="s">
        <v>3189</v>
      </c>
      <c r="F8" s="2060"/>
      <c r="G8" s="2029"/>
      <c r="H8" s="2029"/>
      <c r="I8" s="2029"/>
      <c r="J8" s="2045"/>
      <c r="K8" s="2046"/>
      <c r="L8" s="2031"/>
      <c r="M8" s="2031"/>
      <c r="N8" s="2032"/>
      <c r="O8" s="2033"/>
      <c r="P8" s="2032"/>
      <c r="Q8" s="2032"/>
      <c r="R8" s="2032"/>
    </row>
    <row r="9" spans="1:19" ht="18" customHeight="1" thickBot="1">
      <c r="A9" s="2043" t="s">
        <v>1786</v>
      </c>
      <c r="B9" s="2061" t="s">
        <v>3189</v>
      </c>
      <c r="C9" s="2062"/>
      <c r="D9" s="3062"/>
      <c r="E9" s="2061"/>
      <c r="F9" s="2063"/>
      <c r="G9" s="2064"/>
      <c r="H9" s="2064"/>
      <c r="I9" s="2064"/>
      <c r="J9" s="2045"/>
      <c r="K9" s="2056"/>
      <c r="L9" s="2031"/>
      <c r="M9" s="2031"/>
      <c r="N9" s="2032"/>
      <c r="O9" s="2033"/>
      <c r="P9" s="2032"/>
      <c r="Q9" s="2032"/>
      <c r="R9" s="2032"/>
    </row>
    <row r="10" spans="1:19" ht="18" customHeight="1" thickTop="1">
      <c r="A10" s="2065" t="s">
        <v>1787</v>
      </c>
      <c r="B10" s="2066" t="s">
        <v>3188</v>
      </c>
      <c r="C10" s="2067"/>
      <c r="D10" s="2050"/>
      <c r="E10" s="2068" t="s">
        <v>1788</v>
      </c>
      <c r="F10" s="2983" t="str">
        <f>西!D7</f>
        <v>朝阳区郎家园6号[3-2]1幢等7幢</v>
      </c>
      <c r="G10" s="2069"/>
      <c r="H10" s="2070"/>
      <c r="I10" s="2050"/>
      <c r="J10" s="2045"/>
      <c r="K10" s="2056"/>
      <c r="L10" s="2031"/>
      <c r="M10" s="2031"/>
      <c r="N10" s="2032"/>
      <c r="O10" s="2033"/>
      <c r="P10" s="2032"/>
      <c r="Q10" s="2032"/>
      <c r="R10" s="2032"/>
    </row>
    <row r="11" spans="1:19" ht="18" customHeight="1">
      <c r="A11" s="2071" t="s">
        <v>1789</v>
      </c>
      <c r="B11" s="2072" t="s">
        <v>3186</v>
      </c>
      <c r="C11" s="2073" t="str">
        <f>西!C7</f>
        <v>北京尚博地投资顾问有限公司</v>
      </c>
      <c r="D11" s="2074"/>
      <c r="E11" s="2045"/>
      <c r="F11" s="2045"/>
      <c r="G11" s="2045"/>
      <c r="H11" s="2045"/>
      <c r="I11" s="2045"/>
      <c r="J11" s="2045"/>
      <c r="K11" s="2056"/>
      <c r="L11" s="2031"/>
      <c r="M11" s="2031"/>
      <c r="N11" s="2032"/>
      <c r="O11" s="2033"/>
      <c r="P11" s="2032"/>
      <c r="Q11" s="2032"/>
      <c r="R11" s="2032"/>
    </row>
    <row r="12" spans="1:19" ht="18" customHeight="1">
      <c r="A12" s="2075" t="s">
        <v>1790</v>
      </c>
      <c r="B12" s="2072" t="s">
        <v>3187</v>
      </c>
      <c r="C12" s="2076" t="s">
        <v>1791</v>
      </c>
      <c r="D12" s="2077" t="s">
        <v>1792</v>
      </c>
      <c r="E12" s="2077" t="s">
        <v>1793</v>
      </c>
      <c r="F12" s="2077" t="s">
        <v>1794</v>
      </c>
      <c r="G12" s="2077" t="s">
        <v>1795</v>
      </c>
      <c r="H12" s="2077" t="s">
        <v>1796</v>
      </c>
      <c r="I12" s="2077" t="s">
        <v>1797</v>
      </c>
      <c r="J12" s="2045"/>
      <c r="K12" s="2056"/>
      <c r="L12" s="2031"/>
      <c r="M12" s="2031"/>
      <c r="N12" s="2032"/>
      <c r="O12" s="2033"/>
      <c r="P12" s="2032"/>
      <c r="Q12" s="2032"/>
      <c r="R12" s="2032"/>
    </row>
    <row r="13" spans="1:19" ht="18" customHeight="1">
      <c r="A13" s="2078"/>
      <c r="B13" s="2079"/>
      <c r="C13" s="2080" t="s">
        <v>1798</v>
      </c>
      <c r="D13" s="2081"/>
      <c r="E13" s="2081"/>
      <c r="F13" s="2081"/>
      <c r="G13" s="2081"/>
      <c r="H13" s="2081"/>
      <c r="I13" s="1050">
        <f>西!I3</f>
        <v>58034</v>
      </c>
      <c r="J13" s="2045"/>
      <c r="K13" s="2056"/>
      <c r="L13" s="2031"/>
      <c r="M13" s="2031"/>
      <c r="N13" s="2032"/>
      <c r="O13" s="2033"/>
      <c r="P13" s="2032"/>
      <c r="Q13" s="2032"/>
      <c r="R13" s="2032"/>
    </row>
    <row r="14" spans="1:19" ht="18" customHeight="1">
      <c r="A14" s="2078"/>
      <c r="B14" s="2079"/>
      <c r="C14" s="2080" t="s">
        <v>1799</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40.520000000000003</v>
      </c>
      <c r="J15" s="2045"/>
      <c r="K15" s="2084"/>
      <c r="L15" s="2085"/>
      <c r="M15" s="2085"/>
      <c r="N15" s="2086"/>
      <c r="O15" s="2085"/>
      <c r="P15" s="2086"/>
      <c r="Q15" s="2032"/>
      <c r="R15" s="2032"/>
    </row>
    <row r="16" spans="1:19" ht="30.75" customHeight="1">
      <c r="A16" s="2068" t="s">
        <v>1801</v>
      </c>
      <c r="B16" s="3068"/>
      <c r="C16" s="3069"/>
      <c r="D16" s="3070"/>
      <c r="E16" s="2087" t="s">
        <v>1802</v>
      </c>
      <c r="F16" s="3071"/>
      <c r="G16" s="3072"/>
      <c r="H16" s="3072"/>
      <c r="I16" s="3073"/>
      <c r="J16" s="2032"/>
      <c r="K16" s="2084"/>
      <c r="L16" s="2085"/>
      <c r="M16" s="2085"/>
      <c r="N16" s="2086"/>
      <c r="O16" s="2085"/>
      <c r="P16" s="2086"/>
      <c r="Q16" s="2032"/>
      <c r="R16" s="2032"/>
    </row>
    <row r="17" spans="1:22" ht="18" customHeight="1">
      <c r="A17" s="2088" t="s">
        <v>1803</v>
      </c>
      <c r="B17" s="2038" t="s">
        <v>1804</v>
      </c>
      <c r="C17" s="1057">
        <f>'数据-汇总表'!E3</f>
        <v>2864.5</v>
      </c>
      <c r="D17" s="2089" t="s">
        <v>1805</v>
      </c>
      <c r="E17" s="3074" t="s">
        <v>3192</v>
      </c>
      <c r="F17" s="3075"/>
      <c r="G17" s="3075"/>
      <c r="H17" s="3075"/>
      <c r="I17" s="3076"/>
      <c r="J17" s="2032"/>
      <c r="K17" s="2090"/>
      <c r="L17" s="2085"/>
      <c r="M17" s="2085"/>
      <c r="N17" s="2086"/>
      <c r="O17" s="2085"/>
      <c r="P17" s="2086"/>
      <c r="Q17" s="2032"/>
      <c r="R17" s="2032"/>
      <c r="S17" s="2032"/>
      <c r="T17" s="2032"/>
      <c r="U17" s="2032"/>
      <c r="V17" s="2032"/>
    </row>
    <row r="18" spans="1:22" ht="36" customHeight="1" thickBot="1">
      <c r="A18" s="2091" t="s">
        <v>70</v>
      </c>
      <c r="B18" s="2041" t="s">
        <v>1806</v>
      </c>
      <c r="C18" s="1447">
        <f>'数据-汇总表'!D3</f>
        <v>4638.1000000000004</v>
      </c>
      <c r="D18" s="2092" t="s">
        <v>1805</v>
      </c>
      <c r="E18" s="3077" t="s">
        <v>1807</v>
      </c>
      <c r="F18" s="3078"/>
      <c r="G18" s="3078"/>
      <c r="H18" s="3078"/>
      <c r="I18" s="3079"/>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c r="D19" s="2094" t="s">
        <v>1810</v>
      </c>
      <c r="E19" s="2095"/>
      <c r="F19" s="2096" t="str">
        <f>IF(AND(C19="是",E19="否"),"是否提供他项权证或相关说明","")</f>
        <v/>
      </c>
      <c r="G19" s="2097"/>
      <c r="H19" s="2045"/>
      <c r="I19" s="2045"/>
      <c r="J19" s="2045"/>
      <c r="K19" s="2056"/>
      <c r="L19" s="2031"/>
      <c r="M19" s="2031"/>
      <c r="N19" s="2086"/>
      <c r="O19" s="2085"/>
      <c r="P19" s="2086"/>
      <c r="Q19" s="2032"/>
      <c r="R19" s="2032"/>
      <c r="S19" s="2032"/>
      <c r="T19" s="2032"/>
      <c r="U19" s="2032"/>
      <c r="V19" s="2032"/>
    </row>
    <row r="20" spans="1:22" ht="18" customHeight="1">
      <c r="A20" s="2098" t="s">
        <v>1811</v>
      </c>
      <c r="B20" s="3064" t="s">
        <v>1812</v>
      </c>
      <c r="C20" s="3065"/>
      <c r="D20" s="3066" t="s">
        <v>1813</v>
      </c>
      <c r="E20" s="3067"/>
      <c r="F20" s="2099" t="s">
        <v>1814</v>
      </c>
      <c r="G20" s="2045"/>
      <c r="H20" s="2045"/>
      <c r="I20" s="2045"/>
      <c r="J20" s="2045"/>
      <c r="K20" s="3063" t="s">
        <v>1815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6"/>
      <c r="O20" s="2085"/>
      <c r="P20" s="2086"/>
      <c r="Q20" s="2032"/>
      <c r="R20" s="2032"/>
      <c r="S20" s="2032"/>
      <c r="T20" s="2032"/>
      <c r="U20" s="2032"/>
      <c r="V20" s="2032"/>
    </row>
    <row r="21" spans="1:22" ht="24.75" customHeight="1">
      <c r="A21" s="2098"/>
      <c r="B21" s="2100" t="s">
        <v>1816</v>
      </c>
      <c r="C21" s="2101" t="s">
        <v>1817</v>
      </c>
      <c r="D21" s="2102"/>
      <c r="E21" s="2103"/>
      <c r="F21" s="2104"/>
      <c r="G21" s="2045"/>
      <c r="H21" s="2045"/>
      <c r="I21" s="2045"/>
      <c r="J21" s="2045"/>
      <c r="K21" s="306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1818</v>
      </c>
      <c r="C22" s="2101" t="s">
        <v>3193</v>
      </c>
      <c r="D22" s="2029"/>
      <c r="E22" s="2029"/>
      <c r="F22" s="2106"/>
      <c r="G22" s="2045"/>
      <c r="H22" s="2045"/>
      <c r="I22" s="2045"/>
      <c r="J22" s="2045"/>
      <c r="K22" s="306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81" t="s">
        <v>1825</v>
      </c>
      <c r="B27" s="2065" t="s">
        <v>1826</v>
      </c>
      <c r="C27" s="2121" t="s">
        <v>3176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81"/>
      <c r="B28" s="2038" t="s">
        <v>1827</v>
      </c>
      <c r="C28" s="2123"/>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81"/>
      <c r="B29" s="2038" t="s">
        <v>1828</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82"/>
      <c r="B30" s="2038" t="s">
        <v>1829</v>
      </c>
      <c r="C30" s="3083"/>
      <c r="D30" s="3084"/>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85" t="s">
        <v>1830</v>
      </c>
      <c r="B31" s="2128" t="s">
        <v>3175</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86"/>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86"/>
      <c r="B33" s="2132"/>
      <c r="C33" s="2071"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5" t="s">
        <v>3170</v>
      </c>
      <c r="C34" s="2135" t="s">
        <v>3171</v>
      </c>
      <c r="D34" s="2135" t="s">
        <v>3172</v>
      </c>
      <c r="E34" s="2135" t="s">
        <v>3173</v>
      </c>
      <c r="F34" s="2135" t="s">
        <v>3174</v>
      </c>
      <c r="G34" s="2135"/>
      <c r="H34" s="2135"/>
      <c r="I34" s="2045"/>
      <c r="J34" s="2045"/>
      <c r="K34" s="1798">
        <f>COUNTIF(B34:H34,"——")</f>
        <v>0</v>
      </c>
      <c r="L34" s="2076" t="s">
        <v>1832</v>
      </c>
      <c r="M34" s="2076" t="s">
        <v>1833</v>
      </c>
      <c r="N34" s="2076" t="s">
        <v>1834</v>
      </c>
      <c r="O34" s="2076" t="s">
        <v>1835</v>
      </c>
      <c r="P34" s="2076" t="s">
        <v>1836</v>
      </c>
      <c r="Q34" s="2076" t="s">
        <v>1837</v>
      </c>
      <c r="R34" s="2076" t="s">
        <v>1838</v>
      </c>
      <c r="S34" s="3080" t="s">
        <v>1839</v>
      </c>
      <c r="T34" s="2136" t="str">
        <f>NUMBERSTRING(7-K34,1)&amp;"通"</f>
        <v>七通</v>
      </c>
      <c r="U34" s="2032"/>
      <c r="V34" s="2032"/>
    </row>
    <row r="35" spans="1:22" ht="18" customHeight="1">
      <c r="A35" s="2137"/>
      <c r="B35" s="3087" t="s">
        <v>1840</v>
      </c>
      <c r="C35" s="3087"/>
      <c r="D35" s="3087"/>
      <c r="E35" s="3087"/>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0"/>
      <c r="T35" s="48" t="str">
        <f>IF(T34="一通",L35,IF(T34="二通",M35,IF(T34="三通",N35,IF(T34="四通",O35,IF(T34="五通",P35,IF(T34="六通",Q35,R35))))))</f>
        <v>通路、通电、通讯、通上水、通下水、、</v>
      </c>
      <c r="U35" s="2032"/>
      <c r="V35" s="2032"/>
    </row>
    <row r="36" spans="1:22" ht="18" customHeight="1">
      <c r="A36" s="2139"/>
      <c r="B36" s="2138" t="s">
        <v>1841</v>
      </c>
      <c r="C36" s="2138" t="s">
        <v>1842</v>
      </c>
      <c r="D36" s="2138" t="s">
        <v>1843</v>
      </c>
      <c r="E36" s="2138" t="s">
        <v>1844</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1845</v>
      </c>
      <c r="B37" s="2142" t="s">
        <v>269</v>
      </c>
      <c r="C37" s="2142" t="s">
        <v>269</v>
      </c>
      <c r="D37" s="2142" t="s">
        <v>269</v>
      </c>
      <c r="E37" s="2142" t="s">
        <v>442</v>
      </c>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1846</v>
      </c>
      <c r="B38" s="2144" t="s">
        <v>291</v>
      </c>
      <c r="C38" s="2144" t="s">
        <v>322</v>
      </c>
      <c r="D38" s="2144" t="s">
        <v>322</v>
      </c>
      <c r="E38" s="2144" t="s">
        <v>260</v>
      </c>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0" sqref="F20"/>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西!E3</f>
        <v>4638.1000000000004</v>
      </c>
      <c r="B3" s="14">
        <f>IF(C3="否",G5-AT5,G5)</f>
        <v>2864.5</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1876</v>
      </c>
      <c r="B5" s="1806"/>
      <c r="C5" s="1806"/>
      <c r="D5" s="1809"/>
      <c r="E5" s="16" t="s">
        <v>1</v>
      </c>
      <c r="F5" s="16">
        <f>SUM(F13:F587)</f>
        <v>0</v>
      </c>
      <c r="G5" s="16">
        <f>SUM(G13:G587)</f>
        <v>2864.5</v>
      </c>
      <c r="H5" s="16">
        <f t="shared" ref="H5:AT5" si="0">SUM(H13:H656)</f>
        <v>2864.5</v>
      </c>
      <c r="I5" s="16">
        <f t="shared" si="0"/>
        <v>2864.5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2864.5</v>
      </c>
      <c r="BA5" s="18">
        <f t="shared" si="1"/>
        <v>2864.5</v>
      </c>
      <c r="BB5" s="18">
        <f t="shared" si="1"/>
        <v>2864.5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1877</v>
      </c>
      <c r="B6" s="2176"/>
      <c r="C6" s="2176"/>
      <c r="D6" s="2177"/>
      <c r="E6" s="16">
        <f>H6+AC6+AT6</f>
        <v>4638.1000000000004</v>
      </c>
      <c r="F6" s="16" t="s">
        <v>1</v>
      </c>
      <c r="G6" s="16" t="s">
        <v>2</v>
      </c>
      <c r="H6" s="20">
        <f>SUMIF(I$12:AB$12,"总值",I6:AB6)</f>
        <v>4638.1000000000004</v>
      </c>
      <c r="I6" s="16">
        <f t="shared" ref="I6:AB6" si="2">ROUND($A$3*I5/$B$3,2)</f>
        <v>4638.1000000000004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4638.1000000000004</v>
      </c>
      <c r="AZ6" s="16" t="s">
        <v>3</v>
      </c>
      <c r="BA6" s="16">
        <f>ROUND($AY$6*BA5/$AZ$5,2)</f>
        <v>4638.1000000000004</v>
      </c>
      <c r="BB6" s="16">
        <f>ROUND($AY$6*BB5/$AZ$5,2)</f>
        <v>4638.1000000000004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1885</v>
      </c>
      <c r="AV7" s="23" t="s">
        <v>1886</v>
      </c>
      <c r="AW7" s="2168" t="s">
        <v>1887</v>
      </c>
      <c r="AX7" s="23" t="s">
        <v>1880</v>
      </c>
      <c r="AY7" s="1806"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21"/>
      <c r="K8" s="1821"/>
      <c r="L8" s="1821"/>
      <c r="M8" s="1821"/>
      <c r="N8" s="1821"/>
      <c r="O8" s="1821"/>
      <c r="P8" s="1821"/>
      <c r="Q8" s="1821"/>
      <c r="R8" s="1821"/>
      <c r="S8" s="1821"/>
      <c r="T8" s="1821"/>
      <c r="U8" s="1821"/>
      <c r="V8" s="2188"/>
      <c r="W8" s="1821"/>
      <c r="X8" s="1821"/>
      <c r="Y8" s="1821"/>
      <c r="Z8" s="1821"/>
      <c r="AA8" s="2188"/>
      <c r="AB8" s="2189"/>
      <c r="AC8" s="984" t="s">
        <v>1891</v>
      </c>
      <c r="AD8" s="2190"/>
      <c r="AE8" s="2182"/>
      <c r="AF8" s="1821"/>
      <c r="AG8" s="1821"/>
      <c r="AH8" s="1821"/>
      <c r="AI8" s="1821"/>
      <c r="AJ8" s="1821"/>
      <c r="AK8" s="1821"/>
      <c r="AL8" s="1821"/>
      <c r="AM8" s="1821"/>
      <c r="AN8" s="1821"/>
      <c r="AO8" s="1821"/>
      <c r="AP8" s="1821"/>
      <c r="AQ8" s="1821"/>
      <c r="AR8" s="1821"/>
      <c r="AS8" s="1821"/>
      <c r="AT8" s="1295" t="s">
        <v>1892</v>
      </c>
      <c r="AU8" s="2184" t="s">
        <v>1893</v>
      </c>
      <c r="AV8" s="1295"/>
      <c r="AW8" s="2167"/>
      <c r="AX8" s="1295"/>
      <c r="AY8" s="2168"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1896</v>
      </c>
      <c r="I9" s="2193" t="s">
        <v>3180</v>
      </c>
      <c r="J9" s="984"/>
      <c r="K9" s="2193"/>
      <c r="L9" s="984"/>
      <c r="M9" s="2193"/>
      <c r="N9" s="984"/>
      <c r="O9" s="2193"/>
      <c r="P9" s="984"/>
      <c r="Q9" s="2193"/>
      <c r="R9" s="984"/>
      <c r="S9" s="2193"/>
      <c r="T9" s="984"/>
      <c r="U9" s="2193"/>
      <c r="V9" s="984"/>
      <c r="W9" s="2193"/>
      <c r="X9" s="2194"/>
      <c r="Y9" s="2193"/>
      <c r="Z9" s="984"/>
      <c r="AA9" s="2193"/>
      <c r="AB9" s="984"/>
      <c r="AC9" s="2185"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5"/>
      <c r="AT9" s="2184"/>
      <c r="AU9" s="2184" t="s">
        <v>1899</v>
      </c>
      <c r="AV9" s="1295"/>
      <c r="AW9" s="2167"/>
      <c r="AX9" s="1295"/>
      <c r="AY9" s="28"/>
      <c r="AZ9" s="28" t="s">
        <v>1889</v>
      </c>
      <c r="BA9" s="2196" t="s">
        <v>1900</v>
      </c>
      <c r="BB9" s="2197"/>
      <c r="BC9" s="1341"/>
      <c r="BD9" s="1341"/>
      <c r="BE9" s="1341"/>
      <c r="BF9" s="1341"/>
      <c r="BG9" s="1341"/>
      <c r="BH9" s="1341"/>
      <c r="BI9" s="1341"/>
      <c r="BJ9" s="1341"/>
      <c r="BK9" s="2198"/>
      <c r="BL9" s="15" t="s">
        <v>1901</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1902</v>
      </c>
      <c r="AE10" s="2200"/>
      <c r="AF10" s="15" t="s">
        <v>1902</v>
      </c>
      <c r="AG10" s="2200"/>
      <c r="AH10" s="15" t="s">
        <v>1903</v>
      </c>
      <c r="AI10" s="2200"/>
      <c r="AJ10" s="15" t="s">
        <v>1903</v>
      </c>
      <c r="AK10" s="2200"/>
      <c r="AL10" s="15" t="s">
        <v>1904</v>
      </c>
      <c r="AM10" s="1301"/>
      <c r="AN10" s="15" t="s">
        <v>1904</v>
      </c>
      <c r="AO10" s="1301"/>
      <c r="AP10" s="15" t="s">
        <v>1905</v>
      </c>
      <c r="AQ10" s="1301"/>
      <c r="AR10" s="15" t="s">
        <v>1905</v>
      </c>
      <c r="AS10" s="1301"/>
      <c r="AT10" s="2184"/>
      <c r="AU10" s="2184"/>
      <c r="AV10" s="1295"/>
      <c r="AW10" s="2167"/>
      <c r="AX10" s="1295"/>
      <c r="AY10" s="28"/>
      <c r="AZ10" s="28"/>
      <c r="BA10" s="2201" t="s">
        <v>1896</v>
      </c>
      <c r="BB10" s="2202"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3181</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1906</v>
      </c>
      <c r="AE11" s="1822"/>
      <c r="AF11" s="2206" t="s">
        <v>1906</v>
      </c>
      <c r="AG11" s="1822"/>
      <c r="AH11" s="2206" t="s">
        <v>1907</v>
      </c>
      <c r="AI11" s="2207"/>
      <c r="AJ11" s="2206" t="s">
        <v>1907</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1"/>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c r="D13" s="2215" t="s">
        <v>3182</v>
      </c>
      <c r="E13" s="16">
        <f>IF($C$3="是",ROUND($A$3*G13/$B$3,2),ROUND($A$3*(G13-AT13)/$B$3,2))</f>
        <v>4638.1000000000004</v>
      </c>
      <c r="F13" s="32"/>
      <c r="G13" s="33">
        <f>H13+AC13+AT13</f>
        <v>2864.5</v>
      </c>
      <c r="H13" s="20">
        <f>SUMIF(I$12:AB$12,"总值",I13:AB13)</f>
        <v>2864.5</v>
      </c>
      <c r="I13" s="2216">
        <f>西!M14</f>
        <v>2864.5</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4638.1000000000004</v>
      </c>
      <c r="AZ13" s="16">
        <f>BA13+BL13</f>
        <v>2864.5</v>
      </c>
      <c r="BA13" s="16">
        <f>SUM(BB13:BK13)</f>
        <v>2864.5</v>
      </c>
      <c r="BB13" s="16">
        <f>IF($D13="是",I13-J13,0)</f>
        <v>2864.5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B1:P15"/>
  <sheetViews>
    <sheetView topLeftCell="D1" workbookViewId="0">
      <selection activeCell="I6" sqref="I6:I13"/>
    </sheetView>
  </sheetViews>
  <sheetFormatPr defaultRowHeight="17.25"/>
  <cols>
    <col min="1" max="1" width="1.375" style="2991" customWidth="1"/>
    <col min="2" max="4" width="13.5" style="2989" customWidth="1"/>
    <col min="5" max="7" width="12.625" style="2989" customWidth="1"/>
    <col min="8" max="8" width="14.625" style="2989" customWidth="1"/>
    <col min="9" max="10" width="12.625" style="2989" customWidth="1"/>
    <col min="11" max="11" width="12.625" style="2990" customWidth="1"/>
    <col min="12" max="12" width="16.875" style="2990" bestFit="1" customWidth="1"/>
    <col min="13" max="13" width="12.625" style="2990" customWidth="1"/>
    <col min="14" max="16" width="9" style="2990"/>
    <col min="17" max="16384" width="9" style="2991"/>
  </cols>
  <sheetData>
    <row r="1" spans="2:16" ht="9.75" customHeight="1" thickBot="1"/>
    <row r="2" spans="2:16" ht="36" customHeight="1">
      <c r="B2" s="2992" t="s">
        <v>3208</v>
      </c>
      <c r="C2" s="2993" t="s">
        <v>3209</v>
      </c>
      <c r="D2" s="2993" t="s">
        <v>3210</v>
      </c>
      <c r="E2" s="2993" t="s">
        <v>3211</v>
      </c>
      <c r="F2" s="2994" t="s">
        <v>3212</v>
      </c>
      <c r="G2" s="2994" t="s">
        <v>3213</v>
      </c>
      <c r="H2" s="2993" t="s">
        <v>3214</v>
      </c>
      <c r="I2" s="2995" t="s">
        <v>3215</v>
      </c>
    </row>
    <row r="3" spans="2:16" ht="66" customHeight="1" thickBot="1">
      <c r="B3" s="2996" t="s">
        <v>3216</v>
      </c>
      <c r="C3" s="2997" t="s">
        <v>3217</v>
      </c>
      <c r="D3" s="2997" t="s">
        <v>3218</v>
      </c>
      <c r="E3" s="2997">
        <v>4638.1000000000004</v>
      </c>
      <c r="F3" s="2998" t="s">
        <v>3219</v>
      </c>
      <c r="G3" s="2998" t="s">
        <v>3220</v>
      </c>
      <c r="H3" s="2997" t="s">
        <v>3221</v>
      </c>
      <c r="I3" s="2999">
        <v>58034</v>
      </c>
    </row>
    <row r="4" spans="2:16" ht="36" customHeight="1" thickBot="1"/>
    <row r="5" spans="2:16" ht="36" customHeight="1">
      <c r="B5" s="3100" t="s">
        <v>3222</v>
      </c>
      <c r="C5" s="3090" t="s">
        <v>3223</v>
      </c>
      <c r="D5" s="3090" t="s">
        <v>3224</v>
      </c>
      <c r="E5" s="3090" t="s">
        <v>3225</v>
      </c>
      <c r="F5" s="3090"/>
      <c r="G5" s="3090"/>
      <c r="H5" s="3090"/>
      <c r="I5" s="3090"/>
      <c r="J5" s="3090"/>
      <c r="K5" s="3091" t="s">
        <v>3226</v>
      </c>
      <c r="L5" s="3092"/>
      <c r="M5" s="3093"/>
    </row>
    <row r="6" spans="2:16" ht="36" customHeight="1">
      <c r="B6" s="3101"/>
      <c r="C6" s="3102"/>
      <c r="D6" s="3102"/>
      <c r="E6" s="3000" t="s">
        <v>3227</v>
      </c>
      <c r="F6" s="3001" t="s">
        <v>3228</v>
      </c>
      <c r="G6" s="3001" t="s">
        <v>3229</v>
      </c>
      <c r="H6" s="3000" t="s">
        <v>3230</v>
      </c>
      <c r="I6" s="3000" t="s">
        <v>3231</v>
      </c>
      <c r="J6" s="3000" t="s">
        <v>3232</v>
      </c>
      <c r="K6" s="3002" t="s">
        <v>3233</v>
      </c>
      <c r="L6" s="3009" t="s">
        <v>3260</v>
      </c>
      <c r="M6" s="3003" t="s">
        <v>3231</v>
      </c>
      <c r="O6" s="2990" t="s">
        <v>3234</v>
      </c>
    </row>
    <row r="7" spans="2:16" ht="36" customHeight="1">
      <c r="B7" s="3094" t="s">
        <v>3235</v>
      </c>
      <c r="C7" s="3097" t="s">
        <v>3217</v>
      </c>
      <c r="D7" s="3097" t="s">
        <v>3236</v>
      </c>
      <c r="E7" s="3004" t="s">
        <v>3237</v>
      </c>
      <c r="F7" s="3004" t="s">
        <v>3238</v>
      </c>
      <c r="G7" s="3004" t="s">
        <v>3239</v>
      </c>
      <c r="H7" s="3004" t="s">
        <v>3240</v>
      </c>
      <c r="I7" s="3004">
        <v>289.60000000000002</v>
      </c>
      <c r="J7" s="3004"/>
      <c r="K7" s="3005" t="s">
        <v>3241</v>
      </c>
      <c r="L7" s="3010" t="s">
        <v>3261</v>
      </c>
      <c r="M7" s="3006">
        <f>I7</f>
        <v>289.60000000000002</v>
      </c>
    </row>
    <row r="8" spans="2:16" ht="36" customHeight="1">
      <c r="B8" s="3095"/>
      <c r="C8" s="3098"/>
      <c r="D8" s="3098"/>
      <c r="E8" s="3004" t="s">
        <v>3242</v>
      </c>
      <c r="F8" s="3004" t="s">
        <v>3243</v>
      </c>
      <c r="G8" s="3004" t="s">
        <v>3244</v>
      </c>
      <c r="H8" s="3004" t="s">
        <v>3245</v>
      </c>
      <c r="I8" s="3004">
        <v>1284.8</v>
      </c>
      <c r="J8" s="3004"/>
      <c r="K8" s="3005" t="s">
        <v>3246</v>
      </c>
      <c r="L8" s="3010" t="s">
        <v>3262</v>
      </c>
      <c r="M8" s="3006">
        <v>0</v>
      </c>
    </row>
    <row r="9" spans="2:16" ht="36" customHeight="1">
      <c r="B9" s="3095"/>
      <c r="C9" s="3098"/>
      <c r="D9" s="3098"/>
      <c r="E9" s="3004" t="s">
        <v>3247</v>
      </c>
      <c r="F9" s="3004" t="s">
        <v>3243</v>
      </c>
      <c r="G9" s="3004" t="s">
        <v>3244</v>
      </c>
      <c r="H9" s="3004" t="s">
        <v>3245</v>
      </c>
      <c r="I9" s="3004">
        <v>1876</v>
      </c>
      <c r="J9" s="3004"/>
      <c r="K9" s="3005" t="s">
        <v>3248</v>
      </c>
      <c r="L9" s="3010" t="s">
        <v>3261</v>
      </c>
      <c r="M9" s="3006">
        <f t="shared" ref="M9:M13" si="0">I9</f>
        <v>1876</v>
      </c>
      <c r="O9" s="2990" t="s">
        <v>3249</v>
      </c>
      <c r="P9" s="2990">
        <v>2010</v>
      </c>
    </row>
    <row r="10" spans="2:16" ht="36" customHeight="1">
      <c r="B10" s="3095"/>
      <c r="C10" s="3098"/>
      <c r="D10" s="3098"/>
      <c r="E10" s="3004" t="s">
        <v>3250</v>
      </c>
      <c r="F10" s="3004" t="s">
        <v>3238</v>
      </c>
      <c r="G10" s="3004" t="s">
        <v>3239</v>
      </c>
      <c r="H10" s="3004" t="s">
        <v>3240</v>
      </c>
      <c r="I10" s="3004">
        <v>154.19999999999999</v>
      </c>
      <c r="J10" s="3004"/>
      <c r="K10" s="3005" t="s">
        <v>3251</v>
      </c>
      <c r="L10" s="3010" t="s">
        <v>3263</v>
      </c>
      <c r="M10" s="3012">
        <f t="shared" si="0"/>
        <v>154.19999999999999</v>
      </c>
      <c r="P10" s="2990">
        <v>2010</v>
      </c>
    </row>
    <row r="11" spans="2:16" ht="36" customHeight="1">
      <c r="B11" s="3095"/>
      <c r="C11" s="3098"/>
      <c r="D11" s="3098"/>
      <c r="E11" s="3004" t="s">
        <v>3252</v>
      </c>
      <c r="F11" s="3004" t="s">
        <v>3238</v>
      </c>
      <c r="G11" s="3004" t="s">
        <v>3239</v>
      </c>
      <c r="H11" s="3004" t="s">
        <v>3240</v>
      </c>
      <c r="I11" s="3004">
        <v>203.9</v>
      </c>
      <c r="J11" s="3004"/>
      <c r="K11" s="3005" t="s">
        <v>3253</v>
      </c>
      <c r="L11" s="3010" t="s">
        <v>3263</v>
      </c>
      <c r="M11" s="3012">
        <f t="shared" si="0"/>
        <v>203.9</v>
      </c>
      <c r="P11" s="2990">
        <v>2012</v>
      </c>
    </row>
    <row r="12" spans="2:16" ht="36" customHeight="1">
      <c r="B12" s="3095"/>
      <c r="C12" s="3098"/>
      <c r="D12" s="3098"/>
      <c r="E12" s="3004" t="s">
        <v>3254</v>
      </c>
      <c r="F12" s="3004" t="s">
        <v>3238</v>
      </c>
      <c r="G12" s="3004" t="s">
        <v>3239</v>
      </c>
      <c r="H12" s="3004" t="s">
        <v>3240</v>
      </c>
      <c r="I12" s="3004">
        <v>57.7</v>
      </c>
      <c r="J12" s="3004"/>
      <c r="K12" s="3005" t="s">
        <v>3259</v>
      </c>
      <c r="L12" s="3010" t="s">
        <v>3264</v>
      </c>
      <c r="M12" s="3006">
        <v>0</v>
      </c>
      <c r="P12" s="2990" t="s">
        <v>3256</v>
      </c>
    </row>
    <row r="13" spans="2:16" ht="36" customHeight="1">
      <c r="B13" s="3096"/>
      <c r="C13" s="3099"/>
      <c r="D13" s="3099"/>
      <c r="E13" s="3004" t="s">
        <v>3257</v>
      </c>
      <c r="F13" s="3004" t="s">
        <v>3238</v>
      </c>
      <c r="G13" s="3004" t="s">
        <v>3239</v>
      </c>
      <c r="H13" s="3004" t="s">
        <v>3240</v>
      </c>
      <c r="I13" s="3004">
        <v>340.8</v>
      </c>
      <c r="J13" s="3004"/>
      <c r="K13" s="3005" t="s">
        <v>3255</v>
      </c>
      <c r="L13" s="3010" t="s">
        <v>3263</v>
      </c>
      <c r="M13" s="3012">
        <f t="shared" si="0"/>
        <v>340.8</v>
      </c>
      <c r="P13" s="2990">
        <v>2013</v>
      </c>
    </row>
    <row r="14" spans="2:16" ht="36" customHeight="1" thickBot="1">
      <c r="B14" s="2996"/>
      <c r="C14" s="2997"/>
      <c r="D14" s="2997"/>
      <c r="E14" s="2997" t="s">
        <v>3258</v>
      </c>
      <c r="F14" s="2997"/>
      <c r="G14" s="2997"/>
      <c r="H14" s="2997"/>
      <c r="I14" s="2997">
        <f>SUM(I7:I13)</f>
        <v>4207</v>
      </c>
      <c r="J14" s="2997"/>
      <c r="K14" s="2997" t="s">
        <v>3258</v>
      </c>
      <c r="L14" s="3011" t="s">
        <v>3265</v>
      </c>
      <c r="M14" s="3007">
        <f>SUM(M7:M13)</f>
        <v>2864.5</v>
      </c>
    </row>
    <row r="15" spans="2:16" ht="36" customHeight="1"/>
  </sheetData>
  <mergeCells count="8">
    <mergeCell ref="E5:J5"/>
    <mergeCell ref="K5:M5"/>
    <mergeCell ref="B7:B13"/>
    <mergeCell ref="C7:C13"/>
    <mergeCell ref="D7:D13"/>
    <mergeCell ref="B5:B6"/>
    <mergeCell ref="C5:C6"/>
    <mergeCell ref="D5:D6"/>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1935</v>
      </c>
      <c r="B1" s="1395"/>
      <c r="C1" s="1395"/>
      <c r="D1" s="1395"/>
      <c r="E1" s="1395"/>
      <c r="F1" s="1395"/>
      <c r="G1" s="1395"/>
      <c r="H1" s="1395"/>
      <c r="I1" s="1395"/>
      <c r="J1" s="1395"/>
      <c r="K1" s="1395"/>
      <c r="L1" s="1395"/>
      <c r="M1" s="1395"/>
      <c r="N1" s="1395"/>
      <c r="O1" s="1395"/>
      <c r="P1" s="1395"/>
    </row>
    <row r="2" spans="1:16" ht="15">
      <c r="A2" s="3112" t="s">
        <v>1936</v>
      </c>
      <c r="B2" s="3112"/>
      <c r="C2" s="3112"/>
      <c r="D2" s="970" t="s">
        <v>1912</v>
      </c>
      <c r="E2" s="2229" t="s">
        <v>1913</v>
      </c>
      <c r="F2" s="1395"/>
      <c r="G2" s="2230"/>
      <c r="H2" s="2231"/>
      <c r="I2" s="2232" t="s">
        <v>1937</v>
      </c>
      <c r="J2" s="1395"/>
      <c r="K2" s="1395"/>
      <c r="L2" s="1395"/>
      <c r="M2" s="1395"/>
      <c r="N2" s="1430"/>
      <c r="O2" s="1395"/>
      <c r="P2" s="1395"/>
    </row>
    <row r="3" spans="1:16" ht="15.75" thickBot="1">
      <c r="A3" s="3113" t="s">
        <v>1910</v>
      </c>
      <c r="B3" s="3113"/>
      <c r="C3" s="3113"/>
      <c r="D3" s="46">
        <f>'数据-基础表'!AY6</f>
        <v>4638.1000000000004</v>
      </c>
      <c r="E3" s="46">
        <f>'数据-基础表'!AZ5</f>
        <v>2864.5</v>
      </c>
      <c r="F3" s="1395"/>
      <c r="G3" s="1402"/>
      <c r="H3" s="1250" t="s">
        <v>1911</v>
      </c>
      <c r="I3" s="55">
        <f>ROUND('数据-基础表'!B3/'数据-基础表'!A3,2)</f>
        <v>0.62</v>
      </c>
      <c r="J3" s="1395"/>
      <c r="K3" s="1395"/>
      <c r="L3" s="1395"/>
      <c r="M3" s="1395"/>
      <c r="N3" s="1430"/>
      <c r="O3" s="1395"/>
      <c r="P3" s="1395"/>
    </row>
    <row r="4" spans="1:16" ht="15">
      <c r="A4" s="3114"/>
      <c r="B4" s="3115"/>
      <c r="C4" s="3116"/>
      <c r="D4" s="2233" t="s">
        <v>1912</v>
      </c>
      <c r="E4" s="2234" t="s">
        <v>1913</v>
      </c>
      <c r="F4" s="1395"/>
      <c r="G4" s="2235" t="s">
        <v>1938</v>
      </c>
      <c r="H4" s="1250" t="s">
        <v>1918</v>
      </c>
      <c r="I4" s="55">
        <f>ROUND(SUMIF('数据-基础表'!I9:AS9,"地上",'数据-基础表'!I5:AS5)/'数据-基础表'!A3,2)</f>
        <v>0.62</v>
      </c>
      <c r="J4" s="1395"/>
      <c r="K4" s="1395"/>
      <c r="L4" s="1395"/>
      <c r="M4" s="1395"/>
      <c r="N4" s="1430"/>
      <c r="O4" s="1395"/>
      <c r="P4" s="1395"/>
    </row>
    <row r="5" spans="1:16">
      <c r="A5" s="47" t="s">
        <v>1914</v>
      </c>
      <c r="B5" s="3117" t="s">
        <v>1915</v>
      </c>
      <c r="C5" s="3117"/>
      <c r="D5" s="48">
        <f>ROUND($D$3*E5/$E$3,2)</f>
        <v>0</v>
      </c>
      <c r="E5" s="49">
        <f>SUMIF('数据-基础表'!$11:$11,"住宅",'数据-基础表'!$5:$5)</f>
        <v>0</v>
      </c>
      <c r="F5" s="1395"/>
      <c r="G5" s="1402"/>
      <c r="H5" s="1250" t="s">
        <v>1911</v>
      </c>
      <c r="I5" s="55">
        <f>ROUND(E31/D31,2)</f>
        <v>0.62</v>
      </c>
      <c r="J5" s="1395"/>
      <c r="K5" s="1395"/>
      <c r="L5" s="1395"/>
      <c r="M5" s="1395"/>
      <c r="N5" s="1395"/>
      <c r="O5" s="1395"/>
      <c r="P5" s="1395"/>
    </row>
    <row r="6" spans="1:16" ht="15" thickBot="1">
      <c r="A6" s="2236"/>
      <c r="B6" s="3117" t="s">
        <v>1916</v>
      </c>
      <c r="C6" s="3117"/>
      <c r="D6" s="48">
        <f>ROUND($D$3*E6/$E$3,2)</f>
        <v>4638.1000000000004</v>
      </c>
      <c r="E6" s="49">
        <f>E3-E5</f>
        <v>2864.5</v>
      </c>
      <c r="F6" s="1395"/>
      <c r="G6" s="2237" t="s">
        <v>1917</v>
      </c>
      <c r="H6" s="1402" t="s">
        <v>1918</v>
      </c>
      <c r="I6" s="942">
        <f>ROUND(F31/D31,2)</f>
        <v>0.62</v>
      </c>
      <c r="J6" s="1395"/>
      <c r="K6" s="1395"/>
      <c r="L6" s="1395"/>
      <c r="M6" s="1395"/>
      <c r="N6" s="1395"/>
      <c r="O6" s="1395"/>
      <c r="P6" s="1395"/>
    </row>
    <row r="7" spans="1:16" ht="15">
      <c r="A7" s="3109"/>
      <c r="B7" s="3110"/>
      <c r="C7" s="3111"/>
      <c r="D7" s="2233" t="s">
        <v>1912</v>
      </c>
      <c r="E7" s="2238" t="s">
        <v>1919</v>
      </c>
      <c r="F7" s="1395"/>
      <c r="G7" s="2230" t="s">
        <v>1920</v>
      </c>
      <c r="H7" s="64"/>
      <c r="I7" s="420"/>
      <c r="J7" s="1395"/>
      <c r="K7" s="1395"/>
      <c r="L7" s="1395"/>
      <c r="M7" s="1395"/>
      <c r="N7" s="1395"/>
      <c r="O7" s="1395"/>
      <c r="P7" s="1395"/>
    </row>
    <row r="8" spans="1:16">
      <c r="A8" s="47" t="s">
        <v>1921</v>
      </c>
      <c r="B8" s="50" t="s">
        <v>1922</v>
      </c>
      <c r="C8" s="48" t="s">
        <v>1923</v>
      </c>
      <c r="D8" s="48">
        <f t="shared" ref="D8:D15" si="0">ROUND($D$3*E8/$E$3,2)</f>
        <v>4638.1000000000004</v>
      </c>
      <c r="E8" s="51">
        <f>SUMIF('数据-基础表'!BB10:BK10,"地上",'数据-基础表'!BB5:BK5)</f>
        <v>2864.5</v>
      </c>
      <c r="F8" s="1395"/>
      <c r="G8" s="2239"/>
      <c r="H8" s="2239"/>
      <c r="I8" s="1395"/>
      <c r="J8" s="1395"/>
      <c r="K8" s="1395"/>
      <c r="L8" s="1395"/>
      <c r="M8" s="1395"/>
      <c r="N8" s="1395"/>
      <c r="O8" s="1395"/>
      <c r="P8" s="1395"/>
    </row>
    <row r="9" spans="1:16">
      <c r="A9" s="2240"/>
      <c r="B9" s="2241"/>
      <c r="C9" s="48" t="s">
        <v>1924</v>
      </c>
      <c r="D9" s="48">
        <f t="shared" si="0"/>
        <v>0</v>
      </c>
      <c r="E9" s="52">
        <v>0</v>
      </c>
      <c r="F9" s="1395"/>
      <c r="G9" s="2239"/>
      <c r="H9" s="2239"/>
      <c r="I9" s="1395"/>
      <c r="J9" s="1395"/>
      <c r="K9" s="1395"/>
      <c r="L9" s="1395"/>
      <c r="M9" s="1395"/>
      <c r="N9" s="1395"/>
      <c r="O9" s="1395"/>
      <c r="P9" s="1395"/>
    </row>
    <row r="10" spans="1:16">
      <c r="A10" s="2240"/>
      <c r="B10" s="2241"/>
      <c r="C10" s="48" t="s">
        <v>1933</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1925</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1926</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1927</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1939</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1934</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1928</v>
      </c>
      <c r="D16" s="50">
        <f>SUM(D8:D15)</f>
        <v>4638.1000000000004</v>
      </c>
      <c r="E16" s="53">
        <f>SUM(E8:E15)</f>
        <v>2864.5</v>
      </c>
      <c r="F16" s="1395"/>
      <c r="G16" s="2239"/>
      <c r="H16" s="2242" t="s">
        <v>1940</v>
      </c>
      <c r="I16" s="2243"/>
      <c r="J16" s="1395"/>
      <c r="K16" s="3106" t="s">
        <v>1940</v>
      </c>
      <c r="L16" s="3107"/>
      <c r="M16" s="3107"/>
      <c r="N16" s="3107"/>
      <c r="O16" s="3107"/>
      <c r="P16" s="3108"/>
    </row>
    <row r="17" spans="1:19" ht="15">
      <c r="A17" s="2244" t="s">
        <v>1941</v>
      </c>
      <c r="B17" s="2245" t="s">
        <v>1942</v>
      </c>
      <c r="C17" s="2246" t="s">
        <v>1943</v>
      </c>
      <c r="D17" s="2247" t="s">
        <v>1931</v>
      </c>
      <c r="E17" s="2248" t="s">
        <v>1932</v>
      </c>
      <c r="F17" s="2249"/>
      <c r="G17" s="2250"/>
      <c r="H17" s="2251" t="s">
        <v>1944</v>
      </c>
      <c r="I17" s="2252" t="s">
        <v>1929</v>
      </c>
      <c r="J17" s="1395"/>
      <c r="K17" s="3103" t="s">
        <v>1945</v>
      </c>
      <c r="L17" s="3104"/>
      <c r="M17" s="3105"/>
      <c r="N17" s="3103" t="s">
        <v>1946</v>
      </c>
      <c r="O17" s="3104"/>
      <c r="P17" s="3105"/>
      <c r="R17" s="2230" t="s">
        <v>1947</v>
      </c>
      <c r="S17" s="64"/>
    </row>
    <row r="18" spans="1:19" ht="15">
      <c r="A18" s="2240"/>
      <c r="B18" s="2253"/>
      <c r="C18" s="2254"/>
      <c r="D18" s="2255"/>
      <c r="E18" s="2256" t="s">
        <v>1948</v>
      </c>
      <c r="F18" s="2257" t="s">
        <v>1949</v>
      </c>
      <c r="G18" s="2258" t="s">
        <v>1950</v>
      </c>
      <c r="H18" s="1265" t="s">
        <v>1951</v>
      </c>
      <c r="I18" s="2259" t="s">
        <v>1952</v>
      </c>
      <c r="J18" s="1395"/>
      <c r="K18" s="1265" t="s">
        <v>1953</v>
      </c>
      <c r="L18" s="2260" t="s">
        <v>1954</v>
      </c>
      <c r="M18" s="1049" t="s">
        <v>1955</v>
      </c>
      <c r="N18" s="1265" t="s">
        <v>1953</v>
      </c>
      <c r="O18" s="2260" t="s">
        <v>1954</v>
      </c>
      <c r="P18" s="1049" t="s">
        <v>1955</v>
      </c>
      <c r="R18" s="1250" t="s">
        <v>1956</v>
      </c>
      <c r="S18" s="1250" t="s">
        <v>1957</v>
      </c>
    </row>
    <row r="19" spans="1:19">
      <c r="A19" s="2261"/>
      <c r="B19" s="50" t="s">
        <v>1930</v>
      </c>
      <c r="C19" s="2985" t="s">
        <v>3194</v>
      </c>
      <c r="D19" s="48">
        <f>ROUND($D$3*E19/$E$3,2)</f>
        <v>4638.1000000000004</v>
      </c>
      <c r="E19" s="56">
        <f t="shared" ref="E19:E26" si="1">SUM(F19:G19)</f>
        <v>2864.5</v>
      </c>
      <c r="F19" s="57">
        <f>'数据-基础表'!I13</f>
        <v>2864.5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4638.1000000000004</v>
      </c>
      <c r="S19" s="1251">
        <f t="shared" si="5"/>
        <v>2864.5</v>
      </c>
    </row>
    <row r="20" spans="1:19">
      <c r="A20" s="2265"/>
      <c r="B20" s="50" t="s">
        <v>1958</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1958</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1959</v>
      </c>
      <c r="D27" s="1396">
        <f>SUM(D19:D26)</f>
        <v>4638.1000000000004</v>
      </c>
      <c r="E27" s="1397">
        <f>IF(SUM(E19:E26)='数据-基础表'!BA5,SUM(E19:E26),IF(F27="地上面积有误","面积有误","地下面积有误"))</f>
        <v>2864.5</v>
      </c>
      <c r="F27" s="1396">
        <f>IF(SUM(F19:F26)=E8,SUM(F19:F26),"地上面积有误")</f>
        <v>2864.5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4638.1000000000004</v>
      </c>
      <c r="S27" s="1250">
        <f>IF(SUM(S19:S26)=$E$3,SUM(S19:S26),SUM(S19:S26)&amp;"误差"&amp;ROUND(SUM(S19:S26)-E3,2))</f>
        <v>2864.5</v>
      </c>
    </row>
    <row r="28" spans="1:19">
      <c r="A28" s="2265"/>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1960</v>
      </c>
      <c r="C29" s="2269"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1963</v>
      </c>
      <c r="D31" s="729">
        <f>D27+D30</f>
        <v>4638.1000000000004</v>
      </c>
      <c r="E31" s="729">
        <f>E27+E30</f>
        <v>2864.5</v>
      </c>
      <c r="F31" s="730">
        <f>F27+F30</f>
        <v>2864.5</v>
      </c>
      <c r="G31" s="731">
        <f>G27+G30</f>
        <v>0</v>
      </c>
      <c r="H31" s="1395"/>
      <c r="I31" s="1395"/>
      <c r="J31" s="1395"/>
      <c r="K31" s="1395"/>
      <c r="L31" s="1395"/>
      <c r="M31" s="1395"/>
      <c r="N31" s="1395"/>
      <c r="O31" s="1395"/>
      <c r="P31" s="1395"/>
    </row>
    <row r="32" spans="1:19">
      <c r="A32" s="2235"/>
      <c r="B32" s="2235" t="s">
        <v>1964</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1966</v>
      </c>
      <c r="B2" s="1269">
        <f>项目基本情况!D3</f>
        <v>43244</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6" t="s">
        <v>1971</v>
      </c>
      <c r="AA4" s="2246"/>
      <c r="AB4" s="2246"/>
      <c r="AC4" s="2246"/>
      <c r="AD4" s="2246"/>
      <c r="AE4" s="2244" t="s">
        <v>1972</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1973</v>
      </c>
      <c r="B5" s="2292" t="s">
        <v>1974</v>
      </c>
      <c r="C5" s="2293" t="s">
        <v>1975</v>
      </c>
      <c r="D5" s="2294" t="s">
        <v>1976</v>
      </c>
      <c r="E5" s="1271" t="s">
        <v>1977</v>
      </c>
      <c r="F5" s="2295" t="s">
        <v>1978</v>
      </c>
      <c r="G5" s="1271" t="s">
        <v>1979</v>
      </c>
      <c r="H5" s="1271" t="s">
        <v>1980</v>
      </c>
      <c r="I5" s="1271" t="s">
        <v>1981</v>
      </c>
      <c r="J5" s="2296" t="s">
        <v>1982</v>
      </c>
      <c r="K5" s="2297" t="s">
        <v>1983</v>
      </c>
      <c r="L5" s="2298" t="s">
        <v>1984</v>
      </c>
      <c r="M5" s="2299" t="s">
        <v>1985</v>
      </c>
      <c r="N5" s="2300" t="s">
        <v>3195</v>
      </c>
      <c r="O5" s="2298" t="s">
        <v>1986</v>
      </c>
      <c r="P5" s="2301" t="s">
        <v>1987</v>
      </c>
      <c r="Q5" s="69" t="s">
        <v>1988</v>
      </c>
      <c r="R5" s="2302" t="s">
        <v>1989</v>
      </c>
      <c r="S5" s="2303" t="s">
        <v>1990</v>
      </c>
      <c r="T5" s="2304" t="s">
        <v>1991</v>
      </c>
      <c r="U5" s="1270" t="s">
        <v>1992</v>
      </c>
      <c r="V5" s="1271" t="s">
        <v>1993</v>
      </c>
      <c r="W5" s="1271" t="s">
        <v>1994</v>
      </c>
      <c r="X5" s="71"/>
      <c r="Y5" s="70" t="s">
        <v>1995</v>
      </c>
      <c r="Z5" s="2305" t="s">
        <v>1992</v>
      </c>
      <c r="AA5" s="1271" t="s">
        <v>1993</v>
      </c>
      <c r="AB5" s="1271" t="s">
        <v>1994</v>
      </c>
      <c r="AC5" s="71"/>
      <c r="AD5" s="71" t="s">
        <v>1995</v>
      </c>
      <c r="AE5" s="1270" t="s">
        <v>1996</v>
      </c>
      <c r="AF5" s="1271" t="s">
        <v>1997</v>
      </c>
      <c r="AG5" s="70" t="s">
        <v>1998</v>
      </c>
      <c r="AH5" s="1270" t="s">
        <v>1999</v>
      </c>
      <c r="AI5" s="2305" t="s">
        <v>2000</v>
      </c>
      <c r="AJ5" s="2305" t="s">
        <v>2001</v>
      </c>
      <c r="AK5" s="1271" t="s">
        <v>2002</v>
      </c>
      <c r="AL5" s="1271" t="s">
        <v>2003</v>
      </c>
      <c r="AM5" s="70" t="s">
        <v>2004</v>
      </c>
      <c r="AN5" s="2306" t="s">
        <v>2005</v>
      </c>
      <c r="AO5" s="2076" t="s">
        <v>2006</v>
      </c>
      <c r="AP5" s="1252" t="s">
        <v>2007</v>
      </c>
      <c r="AQ5" s="2307" t="s">
        <v>2008</v>
      </c>
      <c r="AR5" s="2307"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v>
      </c>
      <c r="B6" s="2309" t="str">
        <f>IF(A6=0,"","经营性")</f>
        <v>经营性</v>
      </c>
      <c r="C6" s="2310" t="s">
        <v>6</v>
      </c>
      <c r="D6" s="1054">
        <f>SUMIF(项目基本情况!D$12:I$12,C6,项目基本情况!D$14:I$14)</f>
        <v>50</v>
      </c>
      <c r="E6" s="1051">
        <f>IF(B6="","",SUMIF(项目基本情况!D$12:I$12,C6,项目基本情况!D$13:I$13))</f>
        <v>58034</v>
      </c>
      <c r="F6" s="72">
        <f>SUMIF(项目基本情况!D$12:I$12,C6,项目基本情况!D$15:I$15)</f>
        <v>40.520000000000003</v>
      </c>
      <c r="G6" s="73">
        <f>IF(ISERROR(ROUND(POWER(1+H6,D6-F6)*(POWER(1+H6,F6)-1)/(POWER(1+H6,D6)-1),3)),0,ROUND(POWER(1+H6,D6-F6)*(POWER(1+H6,F6)-1)/(POWER(1+H6,D6)-1),3))</f>
        <v>0.94399999999999995</v>
      </c>
      <c r="H6" s="802">
        <v>0.05</v>
      </c>
      <c r="I6" s="802">
        <v>0.06</v>
      </c>
      <c r="J6" s="74">
        <v>8.5000000000000006E-2</v>
      </c>
      <c r="K6" s="1254">
        <f>SUMIF('数据-汇总表'!C$19:C$33,A6,'数据-汇总表'!E$19:E$33)</f>
        <v>2864.5</v>
      </c>
      <c r="L6" s="803">
        <v>3000</v>
      </c>
      <c r="M6" s="75">
        <f t="shared" ref="M6:M14" si="0">ROUND(K6*L6/10000,0)</f>
        <v>859</v>
      </c>
      <c r="N6" s="2987">
        <v>0.7</v>
      </c>
      <c r="O6" s="75" t="str">
        <f>IF($N$5="成新度","——",ROUND(M6*N6,0))</f>
        <v>——</v>
      </c>
      <c r="P6" s="76" t="str">
        <f>IF($N$5="成新度","——",M6-O6)</f>
        <v>——</v>
      </c>
      <c r="Q6" s="804">
        <v>0.25</v>
      </c>
      <c r="R6" s="77">
        <f ca="1">SUMIF('数据-汇总表'!C$19:C$33,A6,'数据-汇总表'!R$19:R$27)</f>
        <v>4638.1000000000004</v>
      </c>
      <c r="S6" s="54">
        <f>IF('数据-汇总表'!$I$17="按面积比例",SUMIF('数据-汇总表'!C$19:C$33,A6,'数据-汇总表'!K$19:K$33),SUMIF('数据-汇总表'!C$19:C$33,A6,'数据-汇总表'!N$19:N$33))</f>
        <v>0</v>
      </c>
      <c r="T6" s="1446">
        <f>ROUND($L$14*S6/10000,0)</f>
        <v>0</v>
      </c>
      <c r="U6" s="78">
        <f>租约!F67</f>
        <v>8.6999999999999993</v>
      </c>
      <c r="V6" s="79">
        <v>0.02</v>
      </c>
      <c r="W6" s="79">
        <v>0.1</v>
      </c>
      <c r="X6" s="1264"/>
      <c r="Y6" s="80">
        <f>N6</f>
        <v>0.7</v>
      </c>
      <c r="Z6" s="81"/>
      <c r="AA6" s="74"/>
      <c r="AB6" s="74"/>
      <c r="AC6" s="1264"/>
      <c r="AD6" s="82"/>
      <c r="AE6" s="1265">
        <f ca="1">IF(AN6="",0,SUMIF(INDIRECT("'"&amp;AN6&amp;"'"&amp;"!E:E"),$AE$5,INDIRECT("'"&amp;AN6&amp;"'"&amp;"!F:F")))</f>
        <v>40.520000000000003</v>
      </c>
      <c r="AF6" s="1807"/>
      <c r="AG6" s="147">
        <f>IF(AF6="",0,AE6-AF6)</f>
        <v>0</v>
      </c>
      <c r="AH6" s="83"/>
      <c r="AI6" s="85">
        <v>365</v>
      </c>
      <c r="AJ6" s="86"/>
      <c r="AK6" s="87">
        <v>0.02</v>
      </c>
      <c r="AL6" s="88">
        <v>2E-3</v>
      </c>
      <c r="AM6" s="89">
        <v>0.03</v>
      </c>
      <c r="AN6" s="2311" t="s">
        <v>3196</v>
      </c>
      <c r="AO6" s="55">
        <f ca="1">SUMIF(INDIRECT("'"&amp;AN6&amp;"'"&amp;"!A:A"),"总价",INDIRECT("'"&amp;AN6&amp;"'"&amp;"!B:B"))</f>
        <v>12100</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hidden="1">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hidden="1">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hidden="1">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hidden="1">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hidden="1">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hidden="1">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hidden="1">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hidden="1">
      <c r="A14" s="2313" t="s">
        <v>2010</v>
      </c>
      <c r="B14" s="2309" t="s">
        <v>2011</v>
      </c>
      <c r="C14" s="2314"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2012</v>
      </c>
      <c r="B15" s="2309" t="s">
        <v>2011</v>
      </c>
      <c r="C15" s="2314"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2014</v>
      </c>
      <c r="B16" s="97"/>
      <c r="C16" s="1008"/>
      <c r="D16" s="2316"/>
      <c r="E16" s="97"/>
      <c r="F16" s="97"/>
      <c r="G16" s="98">
        <f>ROUND(SUMPRODUCT(G6:G13,K6:K13)/SUMPRODUCT((G6:G13&gt;0)*(K6:K13)),3)</f>
        <v>0.94399999999999995</v>
      </c>
      <c r="H16" s="99">
        <f>ROUND(SUMPRODUCT(H6:H13,K6:K13)/SUMPRODUCT((H6:H13&gt;0)*(K6:K13)),3)</f>
        <v>0.05</v>
      </c>
      <c r="I16" s="100"/>
      <c r="J16" s="100"/>
      <c r="K16" s="101">
        <f>SUM(K6:K15)</f>
        <v>2864.5</v>
      </c>
      <c r="L16" s="102">
        <f>ROUND(M16*10000/SUM(K6:K14),0)</f>
        <v>2999</v>
      </c>
      <c r="M16" s="102">
        <f>SUM(M6:M14)</f>
        <v>859</v>
      </c>
      <c r="N16" s="103">
        <f>ROUND(SUMPRODUCT(M6:M14,N6:N14)/M16,3)</f>
        <v>0.7</v>
      </c>
      <c r="O16" s="102">
        <f>SUM(O6:O14)</f>
        <v>0</v>
      </c>
      <c r="P16" s="102">
        <f>SUM(P6:P14)</f>
        <v>0</v>
      </c>
      <c r="Q16" s="104">
        <f>ROUND(SUMPRODUCT(Q6:Q13,K6:K13)/SUMPRODUCT((Q6:Q13&gt;0)*(K6:K13)),2)</f>
        <v>0.25</v>
      </c>
      <c r="R16" s="1258">
        <f ca="1">SUM(R6:R13)</f>
        <v>4638.1000000000004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2016</v>
      </c>
      <c r="B19" s="112">
        <v>0</v>
      </c>
      <c r="C19" s="2279" t="s">
        <v>2017</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2018</v>
      </c>
      <c r="B20" s="113">
        <v>1.5</v>
      </c>
      <c r="C20" s="2279" t="s">
        <v>2019</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2020</v>
      </c>
      <c r="B21" s="113">
        <v>1.5</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2021</v>
      </c>
      <c r="B22" s="114">
        <f>B19+B20</f>
        <v>1.5</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2022</v>
      </c>
      <c r="B23" s="114">
        <f>B19+B21</f>
        <v>1.5</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2023</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2024</v>
      </c>
      <c r="B26" s="2322" t="s">
        <v>2025</v>
      </c>
      <c r="C26" s="2323" t="s">
        <v>2026</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2027</v>
      </c>
      <c r="B27" s="116">
        <v>160</v>
      </c>
      <c r="C27" s="1767" t="s">
        <v>2028</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2029</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2030</v>
      </c>
      <c r="B29" s="121">
        <f ca="1">成本法!C9+成本法!C10</f>
        <v>57</v>
      </c>
      <c r="C29" s="1767" t="s">
        <v>2031</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2032</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2033</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2034</v>
      </c>
      <c r="B32" s="725"/>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2035</v>
      </c>
      <c r="B33" s="726">
        <v>0.03</v>
      </c>
      <c r="C33" s="1766" t="s">
        <v>2036</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2037</v>
      </c>
      <c r="B34" s="122">
        <v>0</v>
      </c>
      <c r="C34" s="1766" t="s">
        <v>2038</v>
      </c>
      <c r="D34" s="2280" t="s">
        <v>2039</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2040</v>
      </c>
      <c r="B35" s="119">
        <v>200</v>
      </c>
      <c r="C35" s="1766" t="s">
        <v>2041</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2042</v>
      </c>
      <c r="B36" s="123">
        <v>1.4999999999999999E-2</v>
      </c>
      <c r="C36" s="1766" t="s">
        <v>2043</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2044</v>
      </c>
      <c r="B37" s="124">
        <v>0.02</v>
      </c>
      <c r="C37" s="1766" t="s">
        <v>2045</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2046</v>
      </c>
      <c r="B38" s="122">
        <v>0.03</v>
      </c>
      <c r="C38" s="1766" t="s">
        <v>2045</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2047</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2048</v>
      </c>
      <c r="B40" s="1303">
        <f ca="1">存贷款利率!G1</f>
        <v>4.7500000000000001E-2</v>
      </c>
      <c r="C40" s="1766" t="s">
        <v>2049</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2050</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2051</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2052</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2053</v>
      </c>
      <c r="B44" s="128">
        <v>7.0000000000000007E-2</v>
      </c>
      <c r="C44" s="1766" t="s">
        <v>2054</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2055</v>
      </c>
      <c r="B45" s="126">
        <v>0.03</v>
      </c>
      <c r="C45" s="1767" t="s">
        <v>2056</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2057</v>
      </c>
      <c r="B46" s="126">
        <v>0.02</v>
      </c>
      <c r="C46" s="1767" t="s">
        <v>2058</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2059</v>
      </c>
      <c r="B47" s="129">
        <v>0</v>
      </c>
      <c r="C47" s="1767" t="s">
        <v>2060</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2061</v>
      </c>
      <c r="B48" s="130">
        <v>0.03</v>
      </c>
      <c r="C48" s="1774" t="s">
        <v>2062</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2063</v>
      </c>
      <c r="B49" s="126">
        <v>5.0000000000000001E-4</v>
      </c>
      <c r="C49" s="1774" t="s">
        <v>2064</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2065</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2066</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2067</v>
      </c>
      <c r="B52" s="133">
        <f>SUMIF(A54:A63,B53,B54:B63)</f>
        <v>24</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2068</v>
      </c>
      <c r="B53" s="2338" t="s">
        <v>269</v>
      </c>
      <c r="C53" s="1430" t="s">
        <v>2069</v>
      </c>
      <c r="D53" s="2339" t="s">
        <v>2070</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2071</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2072</v>
      </c>
      <c r="B55" s="84">
        <v>24</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2073</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2074</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2075</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2076</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2077</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2078</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2079</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2080</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dimension ref="A1:J67"/>
  <sheetViews>
    <sheetView topLeftCell="A42" workbookViewId="0">
      <selection activeCell="F74" sqref="F74"/>
    </sheetView>
  </sheetViews>
  <sheetFormatPr defaultColWidth="9" defaultRowHeight="12.75"/>
  <cols>
    <col min="1" max="1" width="5.125" style="2949" customWidth="1"/>
    <col min="2" max="2" width="12.5" style="2949" customWidth="1"/>
    <col min="3" max="3" width="26.75" style="2949" customWidth="1"/>
    <col min="4" max="4" width="16.625" style="2949" customWidth="1"/>
    <col min="5" max="5" width="16.625" style="2982" customWidth="1"/>
    <col min="6" max="7" width="9" style="2949"/>
    <col min="8" max="8" width="11.875" style="2949" bestFit="1" customWidth="1"/>
    <col min="9" max="16384" width="9" style="2949"/>
  </cols>
  <sheetData>
    <row r="1" spans="1:10" ht="30" customHeight="1">
      <c r="A1" s="2946" t="s">
        <v>3046</v>
      </c>
      <c r="B1" s="2947" t="s">
        <v>3047</v>
      </c>
      <c r="C1" s="2947" t="s">
        <v>3048</v>
      </c>
      <c r="D1" s="2946" t="s">
        <v>3049</v>
      </c>
      <c r="E1" s="2948" t="s">
        <v>3050</v>
      </c>
    </row>
    <row r="2" spans="1:10" ht="24" customHeight="1">
      <c r="A2" s="2950">
        <v>1</v>
      </c>
      <c r="B2" s="2951" t="s">
        <v>3051</v>
      </c>
      <c r="C2" s="2952" t="s">
        <v>3052</v>
      </c>
      <c r="D2" s="2953">
        <v>450</v>
      </c>
      <c r="E2" s="2954">
        <v>143718.75</v>
      </c>
      <c r="G2" s="3002" t="s">
        <v>3233</v>
      </c>
      <c r="H2" s="3000" t="s">
        <v>3227</v>
      </c>
      <c r="I2" s="3000" t="s">
        <v>3231</v>
      </c>
      <c r="J2" s="3000" t="s">
        <v>3266</v>
      </c>
    </row>
    <row r="3" spans="1:10" ht="24" customHeight="1">
      <c r="A3" s="2950">
        <v>2</v>
      </c>
      <c r="B3" s="2951" t="s">
        <v>3053</v>
      </c>
      <c r="C3" s="2955" t="s">
        <v>3054</v>
      </c>
      <c r="D3" s="2953">
        <v>220</v>
      </c>
      <c r="E3" s="2954"/>
      <c r="G3" s="3005" t="s">
        <v>3241</v>
      </c>
      <c r="H3" s="3004" t="s">
        <v>3237</v>
      </c>
      <c r="I3" s="3004">
        <v>289.60000000000002</v>
      </c>
      <c r="J3" s="3004">
        <v>0</v>
      </c>
    </row>
    <row r="4" spans="1:10" ht="24" customHeight="1">
      <c r="A4" s="2950">
        <v>3</v>
      </c>
      <c r="B4" s="2951" t="s">
        <v>3055</v>
      </c>
      <c r="C4" s="2956" t="s">
        <v>3056</v>
      </c>
      <c r="D4" s="2953">
        <v>500</v>
      </c>
      <c r="E4" s="2954">
        <v>76041.67</v>
      </c>
      <c r="G4" s="3005" t="s">
        <v>3246</v>
      </c>
      <c r="H4" s="3004" t="s">
        <v>3242</v>
      </c>
      <c r="I4" s="3004">
        <v>1284.8</v>
      </c>
      <c r="J4" s="3004">
        <v>0</v>
      </c>
    </row>
    <row r="5" spans="1:10" ht="24" customHeight="1">
      <c r="A5" s="2950">
        <v>4</v>
      </c>
      <c r="B5" s="2951" t="s">
        <v>3057</v>
      </c>
      <c r="C5" s="2955" t="s">
        <v>3058</v>
      </c>
      <c r="D5" s="2953">
        <v>150</v>
      </c>
      <c r="E5" s="2954">
        <v>22812.5</v>
      </c>
      <c r="G5" s="3005" t="s">
        <v>3248</v>
      </c>
      <c r="H5" s="3004" t="s">
        <v>3247</v>
      </c>
      <c r="I5" s="3004">
        <v>1876</v>
      </c>
      <c r="J5" s="3004">
        <f>D61+D62</f>
        <v>1950</v>
      </c>
    </row>
    <row r="6" spans="1:10" ht="24" customHeight="1">
      <c r="A6" s="2950">
        <v>5</v>
      </c>
      <c r="B6" s="2951" t="s">
        <v>3059</v>
      </c>
      <c r="C6" s="2955" t="s">
        <v>3060</v>
      </c>
      <c r="D6" s="2953">
        <v>150</v>
      </c>
      <c r="E6" s="2954">
        <v>22812.5</v>
      </c>
      <c r="G6" s="3005" t="s">
        <v>3251</v>
      </c>
      <c r="H6" s="3004" t="s">
        <v>3250</v>
      </c>
      <c r="I6" s="3004">
        <v>154.19999999999999</v>
      </c>
      <c r="J6" s="3004">
        <v>0</v>
      </c>
    </row>
    <row r="7" spans="1:10" ht="24" customHeight="1">
      <c r="A7" s="2950">
        <v>6</v>
      </c>
      <c r="B7" s="2951" t="s">
        <v>3061</v>
      </c>
      <c r="C7" s="2955" t="s">
        <v>3062</v>
      </c>
      <c r="D7" s="2953">
        <v>540</v>
      </c>
      <c r="E7" s="2954">
        <v>172462.5</v>
      </c>
      <c r="G7" s="3005" t="s">
        <v>3253</v>
      </c>
      <c r="H7" s="3004" t="s">
        <v>3252</v>
      </c>
      <c r="I7" s="3004">
        <v>203.9</v>
      </c>
      <c r="J7" s="3004">
        <f>D64</f>
        <v>900</v>
      </c>
    </row>
    <row r="8" spans="1:10" ht="24" customHeight="1">
      <c r="A8" s="2950">
        <v>7</v>
      </c>
      <c r="B8" s="2951" t="s">
        <v>3063</v>
      </c>
      <c r="C8" s="2955" t="s">
        <v>3062</v>
      </c>
      <c r="D8" s="2953">
        <v>540</v>
      </c>
      <c r="E8" s="2954">
        <v>172462.5</v>
      </c>
      <c r="G8" s="3005" t="s">
        <v>3246</v>
      </c>
      <c r="H8" s="3004" t="s">
        <v>3254</v>
      </c>
      <c r="I8" s="3004">
        <v>57.7</v>
      </c>
      <c r="J8" s="3004">
        <v>0</v>
      </c>
    </row>
    <row r="9" spans="1:10" ht="24" customHeight="1">
      <c r="A9" s="2950">
        <v>8</v>
      </c>
      <c r="B9" s="2951" t="s">
        <v>3064</v>
      </c>
      <c r="C9" s="2957" t="s">
        <v>3065</v>
      </c>
      <c r="D9" s="2950">
        <v>1080</v>
      </c>
      <c r="E9" s="2954">
        <v>328500</v>
      </c>
      <c r="G9" s="3005" t="s">
        <v>3255</v>
      </c>
      <c r="H9" s="3004" t="s">
        <v>3257</v>
      </c>
      <c r="I9" s="3004">
        <v>340.8</v>
      </c>
      <c r="J9" s="3004">
        <f>D65</f>
        <v>962</v>
      </c>
    </row>
    <row r="10" spans="1:10" ht="24" customHeight="1" thickBot="1">
      <c r="A10" s="2950">
        <v>9</v>
      </c>
      <c r="B10" s="2951" t="s">
        <v>3066</v>
      </c>
      <c r="C10" s="2955" t="s">
        <v>3067</v>
      </c>
      <c r="D10" s="2950">
        <v>1080</v>
      </c>
      <c r="E10" s="2954">
        <v>361350</v>
      </c>
      <c r="G10" s="3124" t="s">
        <v>3258</v>
      </c>
      <c r="H10" s="3125"/>
      <c r="I10" s="3004">
        <f>SUM(I3:I9)</f>
        <v>4207</v>
      </c>
      <c r="J10" s="3004">
        <f>SUM(J3:J9)</f>
        <v>3812</v>
      </c>
    </row>
    <row r="11" spans="1:10" ht="24" customHeight="1">
      <c r="A11" s="2950">
        <v>10</v>
      </c>
      <c r="B11" s="2951" t="s">
        <v>3068</v>
      </c>
      <c r="C11" s="2955" t="s">
        <v>3069</v>
      </c>
      <c r="D11" s="2950">
        <v>540</v>
      </c>
      <c r="E11" s="2954">
        <v>188887.5</v>
      </c>
    </row>
    <row r="12" spans="1:10" ht="24" customHeight="1">
      <c r="A12" s="2950">
        <v>11</v>
      </c>
      <c r="B12" s="2951" t="s">
        <v>3070</v>
      </c>
      <c r="C12" s="2958" t="s">
        <v>3071</v>
      </c>
      <c r="D12" s="2950">
        <v>540</v>
      </c>
      <c r="E12" s="2954">
        <v>180675</v>
      </c>
    </row>
    <row r="13" spans="1:10" ht="24" customHeight="1">
      <c r="A13" s="2950">
        <v>12</v>
      </c>
      <c r="B13" s="2951" t="s">
        <v>3072</v>
      </c>
      <c r="C13" s="2955" t="s">
        <v>3073</v>
      </c>
      <c r="D13" s="2953">
        <v>660</v>
      </c>
      <c r="E13" s="2954">
        <v>170637.5</v>
      </c>
    </row>
    <row r="14" spans="1:10" ht="24" customHeight="1">
      <c r="A14" s="2950">
        <v>13</v>
      </c>
      <c r="B14" s="2951" t="s">
        <v>3074</v>
      </c>
      <c r="C14" s="2955" t="s">
        <v>3075</v>
      </c>
      <c r="D14" s="2953">
        <v>420</v>
      </c>
      <c r="E14" s="2954">
        <v>127750</v>
      </c>
    </row>
    <row r="15" spans="1:10" ht="24" customHeight="1">
      <c r="A15" s="2950">
        <v>14</v>
      </c>
      <c r="B15" s="2951" t="s">
        <v>3076</v>
      </c>
      <c r="C15" s="2955" t="s">
        <v>3073</v>
      </c>
      <c r="D15" s="2953">
        <v>540</v>
      </c>
      <c r="E15" s="2954">
        <v>139612.5</v>
      </c>
    </row>
    <row r="16" spans="1:10" ht="24" customHeight="1">
      <c r="A16" s="2950">
        <v>15</v>
      </c>
      <c r="B16" s="2951" t="s">
        <v>3077</v>
      </c>
      <c r="C16" s="2956" t="s">
        <v>3078</v>
      </c>
      <c r="D16" s="2953">
        <v>540</v>
      </c>
      <c r="E16" s="2954">
        <v>164250</v>
      </c>
    </row>
    <row r="17" spans="1:5" ht="24" customHeight="1">
      <c r="A17" s="2950">
        <v>16</v>
      </c>
      <c r="B17" s="2951" t="s">
        <v>3079</v>
      </c>
      <c r="C17" s="2955" t="s">
        <v>3073</v>
      </c>
      <c r="D17" s="2953">
        <v>540</v>
      </c>
      <c r="E17" s="2954">
        <v>139612.5</v>
      </c>
    </row>
    <row r="18" spans="1:5" ht="29.25" customHeight="1">
      <c r="A18" s="2959">
        <v>17</v>
      </c>
      <c r="B18" s="2960" t="s">
        <v>3080</v>
      </c>
      <c r="C18" s="2956" t="s">
        <v>3081</v>
      </c>
      <c r="D18" s="2961">
        <v>540</v>
      </c>
      <c r="E18" s="2954">
        <v>170820</v>
      </c>
    </row>
    <row r="19" spans="1:5" ht="16.5">
      <c r="A19" s="2959">
        <v>18</v>
      </c>
      <c r="B19" s="2951" t="s">
        <v>3082</v>
      </c>
      <c r="C19" s="2956" t="s">
        <v>3083</v>
      </c>
      <c r="D19" s="2953">
        <v>700</v>
      </c>
      <c r="E19" s="2954">
        <v>95812.5</v>
      </c>
    </row>
    <row r="20" spans="1:5" ht="25.5">
      <c r="A20" s="2959">
        <v>19</v>
      </c>
      <c r="B20" s="2951" t="s">
        <v>3084</v>
      </c>
      <c r="C20" s="2955" t="s">
        <v>3085</v>
      </c>
      <c r="D20" s="2953">
        <v>1190</v>
      </c>
      <c r="E20" s="2954">
        <v>271468.75</v>
      </c>
    </row>
    <row r="21" spans="1:5" ht="24" customHeight="1">
      <c r="A21" s="2959">
        <v>20</v>
      </c>
      <c r="B21" s="2951" t="s">
        <v>3086</v>
      </c>
      <c r="C21" s="2955" t="s">
        <v>3087</v>
      </c>
      <c r="D21" s="2953">
        <v>363</v>
      </c>
      <c r="E21" s="2954">
        <v>104891.88</v>
      </c>
    </row>
    <row r="22" spans="1:5" ht="24" customHeight="1">
      <c r="A22" s="2959">
        <v>21</v>
      </c>
      <c r="B22" s="2951" t="s">
        <v>3088</v>
      </c>
      <c r="C22" s="2955" t="s">
        <v>3089</v>
      </c>
      <c r="D22" s="2953">
        <v>417</v>
      </c>
      <c r="E22" s="2954">
        <v>107811.88</v>
      </c>
    </row>
    <row r="23" spans="1:5" ht="24" customHeight="1">
      <c r="A23" s="2959" t="s">
        <v>3090</v>
      </c>
      <c r="B23" s="2951" t="s">
        <v>3091</v>
      </c>
      <c r="C23" s="2962" t="s">
        <v>3092</v>
      </c>
      <c r="D23" s="2953">
        <v>300</v>
      </c>
      <c r="E23" s="2954">
        <v>0</v>
      </c>
    </row>
    <row r="24" spans="1:5" ht="24" customHeight="1">
      <c r="A24" s="2959">
        <v>22</v>
      </c>
      <c r="B24" s="2951" t="s">
        <v>3093</v>
      </c>
      <c r="C24" s="2963" t="s">
        <v>3094</v>
      </c>
      <c r="D24" s="2953">
        <v>320</v>
      </c>
      <c r="E24" s="2954">
        <v>82733.33</v>
      </c>
    </row>
    <row r="25" spans="1:5" ht="24" customHeight="1">
      <c r="A25" s="3118">
        <v>23</v>
      </c>
      <c r="B25" s="2951" t="s">
        <v>3095</v>
      </c>
      <c r="C25" s="2964" t="s">
        <v>3096</v>
      </c>
      <c r="D25" s="2953">
        <v>525</v>
      </c>
      <c r="E25" s="2954">
        <v>135734.38</v>
      </c>
    </row>
    <row r="26" spans="1:5" ht="24" customHeight="1">
      <c r="A26" s="3119"/>
      <c r="B26" s="2951" t="s">
        <v>3097</v>
      </c>
      <c r="C26" s="2963" t="s">
        <v>3098</v>
      </c>
      <c r="D26" s="2953">
        <v>235</v>
      </c>
      <c r="E26" s="2954">
        <v>60757.29</v>
      </c>
    </row>
    <row r="27" spans="1:5" ht="24" customHeight="1">
      <c r="A27" s="2959">
        <v>24</v>
      </c>
      <c r="B27" s="2951" t="s">
        <v>3099</v>
      </c>
      <c r="C27" s="2955" t="s">
        <v>3100</v>
      </c>
      <c r="D27" s="2953">
        <v>1080</v>
      </c>
      <c r="E27" s="2954">
        <v>197100</v>
      </c>
    </row>
    <row r="28" spans="1:5" ht="20.100000000000001" customHeight="1">
      <c r="A28" s="2959">
        <v>25</v>
      </c>
      <c r="B28" s="2951" t="s">
        <v>3101</v>
      </c>
      <c r="C28" s="2955" t="s">
        <v>3102</v>
      </c>
      <c r="D28" s="2953">
        <v>1080</v>
      </c>
      <c r="E28" s="2954">
        <v>279225</v>
      </c>
    </row>
    <row r="29" spans="1:5" ht="20.100000000000001" customHeight="1">
      <c r="A29" s="2959">
        <v>26</v>
      </c>
      <c r="B29" s="2951" t="s">
        <v>3103</v>
      </c>
      <c r="C29" s="2963" t="s">
        <v>3104</v>
      </c>
      <c r="D29" s="2953">
        <v>330</v>
      </c>
      <c r="E29" s="2954">
        <v>110412.5</v>
      </c>
    </row>
    <row r="30" spans="1:5" ht="18" customHeight="1">
      <c r="A30" s="2959">
        <v>27</v>
      </c>
      <c r="B30" s="2951" t="s">
        <v>3105</v>
      </c>
      <c r="C30" s="2955" t="s">
        <v>3106</v>
      </c>
      <c r="D30" s="2953">
        <v>820</v>
      </c>
      <c r="E30" s="2954">
        <v>127202.5</v>
      </c>
    </row>
    <row r="31" spans="1:5" ht="20.100000000000001" customHeight="1">
      <c r="A31" s="2959">
        <v>28</v>
      </c>
      <c r="B31" s="2951" t="s">
        <v>3107</v>
      </c>
      <c r="C31" s="2955" t="s">
        <v>3108</v>
      </c>
      <c r="D31" s="2953">
        <v>1300</v>
      </c>
      <c r="E31" s="2954">
        <v>201662.5</v>
      </c>
    </row>
    <row r="32" spans="1:5" ht="20.100000000000001" customHeight="1">
      <c r="A32" s="3118">
        <v>29</v>
      </c>
      <c r="B32" s="3121" t="s">
        <v>3109</v>
      </c>
      <c r="C32" s="2962" t="s">
        <v>3110</v>
      </c>
      <c r="D32" s="2953">
        <v>537.97</v>
      </c>
      <c r="E32" s="2954">
        <v>155450.91</v>
      </c>
    </row>
    <row r="33" spans="1:5" ht="24.75" customHeight="1">
      <c r="A33" s="3120"/>
      <c r="B33" s="3122"/>
      <c r="C33" s="2962" t="s">
        <v>3111</v>
      </c>
      <c r="D33" s="2953">
        <v>1000</v>
      </c>
      <c r="E33" s="2954">
        <v>288958.33</v>
      </c>
    </row>
    <row r="34" spans="1:5" ht="20.100000000000001" customHeight="1">
      <c r="A34" s="3120"/>
      <c r="B34" s="3123"/>
      <c r="C34" s="2962" t="s">
        <v>3112</v>
      </c>
      <c r="D34" s="2953">
        <v>1000</v>
      </c>
      <c r="E34" s="2954">
        <v>288958.33</v>
      </c>
    </row>
    <row r="35" spans="1:5" ht="20.100000000000001" customHeight="1">
      <c r="A35" s="3119"/>
      <c r="B35" s="2951" t="s">
        <v>3113</v>
      </c>
      <c r="C35" s="2955" t="s">
        <v>3114</v>
      </c>
      <c r="D35" s="2953">
        <v>1028.18</v>
      </c>
      <c r="E35" s="2954">
        <v>312738.08</v>
      </c>
    </row>
    <row r="36" spans="1:5" ht="24" customHeight="1">
      <c r="A36" s="2959">
        <v>30</v>
      </c>
      <c r="B36" s="2965" t="s">
        <v>3115</v>
      </c>
      <c r="C36" s="2964" t="s">
        <v>3116</v>
      </c>
      <c r="D36" s="2966">
        <v>130</v>
      </c>
      <c r="E36" s="2954">
        <v>39541.67</v>
      </c>
    </row>
    <row r="37" spans="1:5" ht="24" customHeight="1">
      <c r="A37" s="2959">
        <v>31</v>
      </c>
      <c r="B37" s="2967" t="s">
        <v>3117</v>
      </c>
      <c r="C37" s="2968" t="s">
        <v>3118</v>
      </c>
      <c r="D37" s="2966">
        <v>98</v>
      </c>
      <c r="E37" s="2954">
        <v>26827.5</v>
      </c>
    </row>
    <row r="38" spans="1:5" ht="24" customHeight="1">
      <c r="A38" s="2969"/>
      <c r="B38" s="2967" t="s">
        <v>3119</v>
      </c>
      <c r="C38" s="2970" t="s">
        <v>3120</v>
      </c>
      <c r="D38" s="2966">
        <v>42</v>
      </c>
      <c r="E38" s="2954">
        <v>10986.5</v>
      </c>
    </row>
    <row r="39" spans="1:5" ht="24" customHeight="1">
      <c r="A39" s="3118">
        <v>32</v>
      </c>
      <c r="B39" s="2971" t="s">
        <v>3121</v>
      </c>
      <c r="C39" s="2972" t="s">
        <v>3122</v>
      </c>
      <c r="D39" s="2966">
        <v>96</v>
      </c>
      <c r="E39" s="2954">
        <v>25404</v>
      </c>
    </row>
    <row r="40" spans="1:5" ht="20.100000000000001" customHeight="1">
      <c r="A40" s="3120"/>
      <c r="B40" s="2973" t="s">
        <v>3123</v>
      </c>
      <c r="C40" s="2974" t="s">
        <v>3122</v>
      </c>
      <c r="D40" s="2950">
        <v>96</v>
      </c>
      <c r="E40" s="2954">
        <v>25404</v>
      </c>
    </row>
    <row r="41" spans="1:5" ht="20.100000000000001" customHeight="1">
      <c r="A41" s="3119"/>
      <c r="B41" s="2975" t="s">
        <v>3124</v>
      </c>
      <c r="C41" s="2976" t="s">
        <v>3122</v>
      </c>
      <c r="D41" s="2977">
        <v>33</v>
      </c>
      <c r="E41" s="2954">
        <v>8732.6299999999992</v>
      </c>
    </row>
    <row r="42" spans="1:5" ht="20.100000000000001" customHeight="1">
      <c r="A42" s="2959">
        <v>33</v>
      </c>
      <c r="B42" s="2965" t="s">
        <v>3125</v>
      </c>
      <c r="C42" s="2978" t="s">
        <v>3126</v>
      </c>
      <c r="D42" s="2966">
        <v>30</v>
      </c>
      <c r="E42" s="2954">
        <v>9125</v>
      </c>
    </row>
    <row r="43" spans="1:5" ht="18.75" customHeight="1">
      <c r="A43" s="2959"/>
      <c r="B43" s="2965" t="s">
        <v>3127</v>
      </c>
      <c r="C43" s="2979" t="s">
        <v>3128</v>
      </c>
      <c r="D43" s="2966">
        <v>90</v>
      </c>
      <c r="E43" s="2954">
        <v>27375</v>
      </c>
    </row>
    <row r="44" spans="1:5" ht="20.100000000000001" customHeight="1">
      <c r="A44" s="2959">
        <v>34</v>
      </c>
      <c r="B44" s="2965" t="s">
        <v>3129</v>
      </c>
      <c r="C44" s="2978" t="s">
        <v>3128</v>
      </c>
      <c r="D44" s="2966">
        <v>68</v>
      </c>
      <c r="E44" s="2954">
        <v>20683.330000000002</v>
      </c>
    </row>
    <row r="45" spans="1:5" ht="20.100000000000001" customHeight="1">
      <c r="A45" s="2959">
        <v>35</v>
      </c>
      <c r="B45" s="2965" t="s">
        <v>3130</v>
      </c>
      <c r="C45" s="2979" t="s">
        <v>3131</v>
      </c>
      <c r="D45" s="2966">
        <v>296</v>
      </c>
      <c r="E45" s="2954">
        <v>63023.33</v>
      </c>
    </row>
    <row r="46" spans="1:5" ht="20.100000000000001" customHeight="1">
      <c r="A46" s="2959">
        <v>36</v>
      </c>
      <c r="B46" s="2965" t="s">
        <v>3132</v>
      </c>
      <c r="C46" s="2980" t="s">
        <v>3133</v>
      </c>
      <c r="D46" s="2966">
        <v>68</v>
      </c>
      <c r="E46" s="2954">
        <v>16546.669999999998</v>
      </c>
    </row>
    <row r="47" spans="1:5" ht="20.100000000000001" customHeight="1">
      <c r="A47" s="2959">
        <v>37</v>
      </c>
      <c r="B47" s="2951" t="s">
        <v>3134</v>
      </c>
      <c r="C47" s="2956" t="s">
        <v>3135</v>
      </c>
      <c r="D47" s="2977">
        <v>33</v>
      </c>
      <c r="E47" s="2954">
        <v>10037.5</v>
      </c>
    </row>
    <row r="48" spans="1:5" ht="20.100000000000001" customHeight="1">
      <c r="A48" s="2959">
        <v>40</v>
      </c>
      <c r="B48" s="2951" t="s">
        <v>3136</v>
      </c>
      <c r="C48" s="2956" t="s">
        <v>3137</v>
      </c>
      <c r="D48" s="2953">
        <v>68</v>
      </c>
      <c r="E48" s="2954">
        <v>18615</v>
      </c>
    </row>
    <row r="49" spans="1:5">
      <c r="A49" s="2959">
        <v>41</v>
      </c>
      <c r="B49" s="2951" t="s">
        <v>3138</v>
      </c>
      <c r="C49" s="2964" t="s">
        <v>3139</v>
      </c>
      <c r="D49" s="2953">
        <v>101</v>
      </c>
      <c r="E49" s="2954">
        <v>26112.71</v>
      </c>
    </row>
    <row r="50" spans="1:5" ht="20.100000000000001" customHeight="1">
      <c r="A50" s="2959">
        <v>42</v>
      </c>
      <c r="B50" s="2951" t="s">
        <v>3140</v>
      </c>
      <c r="C50" s="2956" t="s">
        <v>3141</v>
      </c>
      <c r="D50" s="2953">
        <v>33</v>
      </c>
      <c r="E50" s="2954">
        <v>9535.6299999999992</v>
      </c>
    </row>
    <row r="51" spans="1:5" ht="20.100000000000001" customHeight="1">
      <c r="A51" s="2959">
        <v>43</v>
      </c>
      <c r="B51" s="2951" t="s">
        <v>3142</v>
      </c>
      <c r="C51" s="2955" t="s">
        <v>3143</v>
      </c>
      <c r="D51" s="2953">
        <v>750</v>
      </c>
      <c r="E51" s="2954">
        <v>177937.5</v>
      </c>
    </row>
    <row r="52" spans="1:5" ht="20.100000000000001" customHeight="1">
      <c r="A52" s="2959">
        <v>44</v>
      </c>
      <c r="B52" s="2951" t="s">
        <v>3144</v>
      </c>
      <c r="C52" s="2962" t="s">
        <v>3145</v>
      </c>
      <c r="D52" s="2953">
        <v>200</v>
      </c>
      <c r="E52" s="2954">
        <v>0</v>
      </c>
    </row>
    <row r="53" spans="1:5">
      <c r="A53" s="2959">
        <v>45</v>
      </c>
      <c r="B53" s="2951" t="s">
        <v>3146</v>
      </c>
      <c r="C53" s="2955" t="s">
        <v>3147</v>
      </c>
      <c r="D53" s="2953">
        <v>950</v>
      </c>
      <c r="E53" s="2954">
        <v>288958.33</v>
      </c>
    </row>
    <row r="54" spans="1:5" ht="20.100000000000001" customHeight="1">
      <c r="A54" s="2959">
        <v>46</v>
      </c>
      <c r="B54" s="2951" t="s">
        <v>3148</v>
      </c>
      <c r="C54" s="2955" t="s">
        <v>3149</v>
      </c>
      <c r="D54" s="2953">
        <v>950</v>
      </c>
      <c r="E54" s="2954">
        <v>288958.33</v>
      </c>
    </row>
    <row r="55" spans="1:5" ht="20.100000000000001" customHeight="1">
      <c r="A55" s="2959">
        <v>47</v>
      </c>
      <c r="B55" s="2951" t="s">
        <v>3150</v>
      </c>
      <c r="C55" s="2955" t="s">
        <v>3151</v>
      </c>
      <c r="D55" s="2953">
        <v>556</v>
      </c>
      <c r="E55" s="2954">
        <v>186028.33</v>
      </c>
    </row>
    <row r="56" spans="1:5" ht="20.100000000000001" hidden="1" customHeight="1">
      <c r="A56" s="2959" t="s">
        <v>3090</v>
      </c>
      <c r="B56" s="2951" t="s">
        <v>3152</v>
      </c>
      <c r="C56" s="2962" t="s">
        <v>3145</v>
      </c>
      <c r="D56" s="2953">
        <v>276</v>
      </c>
      <c r="E56" s="2954">
        <v>0</v>
      </c>
    </row>
    <row r="57" spans="1:5" ht="20.100000000000001" customHeight="1">
      <c r="A57" s="2959">
        <v>48</v>
      </c>
      <c r="B57" s="2951" t="s">
        <v>3153</v>
      </c>
      <c r="C57" s="2955" t="s">
        <v>3154</v>
      </c>
      <c r="D57" s="2953">
        <v>428</v>
      </c>
      <c r="E57" s="2954">
        <v>149710.82999999999</v>
      </c>
    </row>
    <row r="58" spans="1:5" ht="20.100000000000001" customHeight="1">
      <c r="A58" s="2959" t="s">
        <v>3090</v>
      </c>
      <c r="B58" s="2951" t="s">
        <v>3155</v>
      </c>
      <c r="C58" s="2962" t="s">
        <v>3145</v>
      </c>
      <c r="D58" s="2953">
        <v>149</v>
      </c>
      <c r="E58" s="2954">
        <v>0</v>
      </c>
    </row>
    <row r="59" spans="1:5">
      <c r="A59" s="2959">
        <v>49</v>
      </c>
      <c r="B59" s="2951" t="s">
        <v>3156</v>
      </c>
      <c r="C59" s="2955" t="s">
        <v>3154</v>
      </c>
      <c r="D59" s="2953">
        <v>910</v>
      </c>
      <c r="E59" s="2954">
        <v>276791.67</v>
      </c>
    </row>
    <row r="60" spans="1:5">
      <c r="A60" s="2959">
        <v>50</v>
      </c>
      <c r="B60" s="2951" t="s">
        <v>3157</v>
      </c>
      <c r="C60" s="2955" t="s">
        <v>3158</v>
      </c>
      <c r="D60" s="2953">
        <v>308</v>
      </c>
      <c r="E60" s="2954">
        <v>46841.67</v>
      </c>
    </row>
    <row r="61" spans="1:5">
      <c r="A61" s="2959">
        <v>51</v>
      </c>
      <c r="B61" s="2951" t="s">
        <v>3159</v>
      </c>
      <c r="C61" s="2955" t="s">
        <v>3160</v>
      </c>
      <c r="D61" s="2953">
        <v>130</v>
      </c>
      <c r="E61" s="2954">
        <v>31633.33</v>
      </c>
    </row>
    <row r="62" spans="1:5">
      <c r="A62" s="2959">
        <v>52</v>
      </c>
      <c r="B62" s="2951" t="s">
        <v>3161</v>
      </c>
      <c r="C62" s="2955" t="s">
        <v>3162</v>
      </c>
      <c r="D62" s="2953">
        <v>1820</v>
      </c>
      <c r="E62" s="2954">
        <v>664300</v>
      </c>
    </row>
    <row r="63" spans="1:5">
      <c r="A63" s="2959"/>
      <c r="B63" s="2951" t="s">
        <v>3163</v>
      </c>
      <c r="C63" s="2962"/>
      <c r="D63" s="2953"/>
      <c r="E63" s="2954"/>
    </row>
    <row r="64" spans="1:5">
      <c r="A64" s="2959">
        <v>53</v>
      </c>
      <c r="B64" s="2951" t="s">
        <v>3164</v>
      </c>
      <c r="C64" s="2981" t="s">
        <v>3165</v>
      </c>
      <c r="D64" s="2953">
        <v>900</v>
      </c>
      <c r="E64" s="2954">
        <v>208050</v>
      </c>
    </row>
    <row r="65" spans="1:6">
      <c r="A65" s="2959">
        <v>54</v>
      </c>
      <c r="B65" s="2951" t="s">
        <v>3166</v>
      </c>
      <c r="C65" s="2962" t="s">
        <v>3167</v>
      </c>
      <c r="D65" s="2953">
        <v>962</v>
      </c>
      <c r="E65" s="2954">
        <v>248717.08</v>
      </c>
    </row>
    <row r="67" spans="1:6">
      <c r="D67" s="2982">
        <f>SUM(D2:D65)</f>
        <v>31827.15</v>
      </c>
      <c r="E67" s="2982">
        <f>SUM(E2:E65)</f>
        <v>8309201.1200000001</v>
      </c>
      <c r="F67" s="2949">
        <f>ROUND(E67/D67/30,1)</f>
        <v>8.6999999999999993</v>
      </c>
    </row>
  </sheetData>
  <mergeCells count="5">
    <mergeCell ref="A25:A26"/>
    <mergeCell ref="A32:A35"/>
    <mergeCell ref="B32:B34"/>
    <mergeCell ref="A39:A41"/>
    <mergeCell ref="G10:H10"/>
  </mergeCells>
  <phoneticPr fontId="144" type="noConversion"/>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26" t="s">
        <v>2081</v>
      </c>
      <c r="B1" s="3127"/>
      <c r="C1" s="3127"/>
      <c r="D1" s="3127"/>
      <c r="E1" s="3127"/>
      <c r="F1" s="3127"/>
      <c r="G1" s="312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54">
      <c r="A3" s="415" t="s">
        <v>2084</v>
      </c>
      <c r="B3" s="1271" t="s">
        <v>2085</v>
      </c>
      <c r="C3" s="2372" t="s">
        <v>2086</v>
      </c>
      <c r="D3" s="2373"/>
      <c r="E3" s="431" t="s">
        <v>2084</v>
      </c>
      <c r="F3" s="2374" t="s">
        <v>2087</v>
      </c>
      <c r="G3" s="2375" t="s">
        <v>2088</v>
      </c>
      <c r="H3" s="2370"/>
      <c r="I3" s="2370"/>
      <c r="J3" s="2370"/>
      <c r="K3" s="2370"/>
      <c r="L3" s="2370"/>
      <c r="M3" s="2370"/>
      <c r="N3" s="2370"/>
      <c r="O3" s="2370"/>
      <c r="P3" s="2370"/>
      <c r="Q3" s="2370"/>
      <c r="R3" s="2370"/>
    </row>
    <row r="4" spans="1:29" ht="41.25">
      <c r="A4" s="431"/>
      <c r="B4" s="1798" t="s">
        <v>2089</v>
      </c>
      <c r="C4" s="2376" t="s">
        <v>2090</v>
      </c>
      <c r="D4" s="2373"/>
      <c r="E4" s="2377"/>
      <c r="F4" s="42" t="s">
        <v>2091</v>
      </c>
      <c r="G4" s="2378" t="s">
        <v>2092</v>
      </c>
      <c r="H4" s="2370"/>
      <c r="I4" s="2370"/>
      <c r="J4" s="2370"/>
      <c r="K4" s="2370"/>
      <c r="L4" s="2370"/>
      <c r="M4" s="2370"/>
      <c r="N4" s="2370"/>
      <c r="O4" s="2370"/>
      <c r="P4" s="2370"/>
      <c r="Q4" s="2370"/>
      <c r="R4" s="2370"/>
    </row>
    <row r="5" spans="1:29" ht="41.25">
      <c r="A5" s="431"/>
      <c r="B5" s="1798" t="s">
        <v>2093</v>
      </c>
      <c r="C5" s="2376" t="s">
        <v>2094</v>
      </c>
      <c r="D5" s="2373"/>
      <c r="E5" s="2377"/>
      <c r="F5" s="1798" t="s">
        <v>2095</v>
      </c>
      <c r="G5" s="2378" t="s">
        <v>2096</v>
      </c>
      <c r="H5" s="2370"/>
      <c r="I5" s="2370"/>
      <c r="J5" s="2370"/>
      <c r="K5" s="2370"/>
      <c r="L5" s="2370"/>
      <c r="M5" s="2370"/>
      <c r="N5" s="2370"/>
      <c r="O5" s="2370"/>
      <c r="P5" s="2370"/>
      <c r="Q5" s="2370"/>
      <c r="R5" s="2370"/>
    </row>
    <row r="6" spans="1:29" ht="54">
      <c r="A6" s="431"/>
      <c r="B6" s="1798" t="s">
        <v>2097</v>
      </c>
      <c r="C6" s="2378" t="s">
        <v>2092</v>
      </c>
      <c r="D6" s="2373"/>
      <c r="E6" s="2377"/>
      <c r="F6" s="1798" t="s">
        <v>2098</v>
      </c>
      <c r="G6" s="2378" t="s">
        <v>2099</v>
      </c>
      <c r="H6" s="2370"/>
      <c r="I6" s="2370"/>
      <c r="J6" s="2370"/>
      <c r="K6" s="2370"/>
      <c r="L6" s="2370"/>
      <c r="M6" s="2370"/>
      <c r="N6" s="2370"/>
      <c r="O6" s="2370"/>
      <c r="P6" s="2370"/>
      <c r="Q6" s="2370"/>
      <c r="R6" s="2370"/>
    </row>
    <row r="7" spans="1:29" ht="41.25" thickBot="1">
      <c r="A7" s="431"/>
      <c r="B7" s="1798" t="s">
        <v>2095</v>
      </c>
      <c r="C7" s="2378" t="s">
        <v>2096</v>
      </c>
      <c r="D7" s="2379"/>
      <c r="E7" s="2380"/>
      <c r="F7" s="2381" t="s">
        <v>2100</v>
      </c>
      <c r="G7" s="2382" t="s">
        <v>2101</v>
      </c>
      <c r="H7" s="2370"/>
      <c r="I7" s="2370"/>
      <c r="J7" s="2370"/>
      <c r="K7" s="2370"/>
      <c r="L7" s="2370"/>
      <c r="M7" s="2370"/>
      <c r="N7" s="2370"/>
      <c r="O7" s="2370"/>
      <c r="P7" s="2370"/>
      <c r="Q7" s="2370"/>
      <c r="R7" s="2370"/>
    </row>
    <row r="8" spans="1:29" ht="27">
      <c r="A8" s="431"/>
      <c r="B8" s="1798" t="s">
        <v>2098</v>
      </c>
      <c r="C8" s="2378" t="s">
        <v>2099</v>
      </c>
      <c r="D8" s="2379"/>
      <c r="E8" s="2379"/>
      <c r="F8" s="1136"/>
      <c r="G8" s="1136"/>
      <c r="H8" s="2370"/>
      <c r="I8" s="2370"/>
      <c r="J8" s="2370"/>
      <c r="K8" s="2370"/>
      <c r="L8" s="2370"/>
      <c r="M8" s="2370"/>
      <c r="N8" s="2370"/>
      <c r="O8" s="2370"/>
      <c r="P8" s="2370"/>
      <c r="Q8" s="2370"/>
      <c r="R8" s="2370"/>
    </row>
    <row r="9" spans="1:29" ht="27">
      <c r="A9" s="431"/>
      <c r="B9" s="1798" t="s">
        <v>2102</v>
      </c>
      <c r="C9" s="2376" t="s">
        <v>2103</v>
      </c>
      <c r="D9" s="2373"/>
      <c r="E9" s="2379"/>
      <c r="F9" s="1136"/>
      <c r="G9" s="1136"/>
      <c r="H9" s="2370"/>
      <c r="I9" s="2370"/>
      <c r="J9" s="2370"/>
      <c r="K9" s="2370"/>
      <c r="L9" s="2370"/>
      <c r="M9" s="2370"/>
      <c r="N9" s="2370"/>
      <c r="O9" s="2370"/>
      <c r="P9" s="2370"/>
      <c r="Q9" s="2370"/>
      <c r="R9" s="2370"/>
    </row>
    <row r="10" spans="1:29" s="117" customFormat="1" ht="15.75" thickBot="1">
      <c r="A10" s="2383"/>
      <c r="B10" s="2384" t="s">
        <v>2104</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2105</v>
      </c>
      <c r="B13" s="2390"/>
      <c r="C13" s="2390"/>
      <c r="D13" s="2397"/>
      <c r="E13" s="2390"/>
      <c r="F13" s="2390"/>
      <c r="G13" s="2390"/>
    </row>
    <row r="14" spans="1:29" ht="15.75" thickBot="1">
      <c r="A14" s="2401"/>
      <c r="B14" s="2402"/>
      <c r="C14" s="2403" t="s">
        <v>2106</v>
      </c>
      <c r="D14" s="2373"/>
      <c r="E14" s="2404"/>
      <c r="F14" s="2404"/>
      <c r="G14" s="2367" t="s">
        <v>2107</v>
      </c>
    </row>
    <row r="15" spans="1:29" ht="57">
      <c r="A15" s="68" t="s">
        <v>2108</v>
      </c>
      <c r="B15" s="1270" t="s">
        <v>2085</v>
      </c>
      <c r="C15" s="2405" t="str">
        <f>C3</f>
        <v>估价对象周边居住用地比例、居住小区规模和社区发展完善程度，综合评价居住社区成熟度一般</v>
      </c>
      <c r="D15" s="2373"/>
      <c r="E15" s="2406" t="s">
        <v>2109</v>
      </c>
      <c r="F15" s="1270" t="s">
        <v>2110</v>
      </c>
      <c r="G15" s="135" t="str">
        <f>G3</f>
        <v>估价对象位于XX开发区，园区建设成熟度XX，产业集聚程度XX</v>
      </c>
    </row>
    <row r="16" spans="1:29" ht="42.75">
      <c r="A16" s="645"/>
      <c r="B16" s="2407" t="s">
        <v>2089</v>
      </c>
      <c r="C16" s="2408" t="str">
        <f>C4</f>
        <v>估价对象位于XX商圈，周边商业氛围成熟，人流量大，商业繁华度好</v>
      </c>
      <c r="D16" s="2373"/>
      <c r="E16" s="2409"/>
      <c r="F16" s="2410" t="s">
        <v>2091</v>
      </c>
      <c r="G16" s="136" t="str">
        <f>G4</f>
        <v>估价对象周边道路状况、公共交通通达情况、停车便捷程度，综合评价交通便捷度较好</v>
      </c>
    </row>
    <row r="17" spans="1:18" ht="42.75">
      <c r="A17" s="645"/>
      <c r="B17" s="2407" t="s">
        <v>2093</v>
      </c>
      <c r="C17" s="2408" t="str">
        <f>C5</f>
        <v>估价对象位于XX商圈，周边办公楼项目较多，入驻率高，办公集聚程度较好</v>
      </c>
      <c r="D17" s="2379"/>
      <c r="E17" s="2409"/>
      <c r="F17" s="2410" t="s">
        <v>2111</v>
      </c>
      <c r="G17" s="1572"/>
    </row>
    <row r="18" spans="1:18" ht="57">
      <c r="A18" s="645"/>
      <c r="B18" s="2410" t="s">
        <v>2097</v>
      </c>
      <c r="C18" s="136" t="str">
        <f>C6</f>
        <v>估价对象周边道路状况、公共交通通达情况、停车便捷程度，综合评价交通便捷度较好</v>
      </c>
      <c r="D18" s="2379"/>
      <c r="E18" s="2409"/>
      <c r="F18" s="2410" t="s">
        <v>2100</v>
      </c>
      <c r="G18" s="136" t="str">
        <f>G7</f>
        <v>该园区内是否有污染型企业，绿化情况，卫生条件，整体环境状况判断</v>
      </c>
    </row>
    <row r="19" spans="1:18" ht="28.5">
      <c r="A19" s="645"/>
      <c r="B19" s="2410" t="s">
        <v>2112</v>
      </c>
      <c r="C19" s="1572"/>
      <c r="D19" s="2373"/>
      <c r="E19" s="2409"/>
      <c r="F19" s="1798" t="s">
        <v>2095</v>
      </c>
      <c r="G19" s="136" t="str">
        <f>G5</f>
        <v>估价对象所在区域公共配套设施齐备情况</v>
      </c>
    </row>
    <row r="20" spans="1:18" ht="28.5">
      <c r="A20" s="645"/>
      <c r="B20" s="2410" t="s">
        <v>2113</v>
      </c>
      <c r="C20" s="2408" t="str">
        <f>C9</f>
        <v>区域自然环境：；人文环境；综合评价环境状况一般</v>
      </c>
      <c r="D20" s="2379"/>
      <c r="E20" s="2409"/>
      <c r="F20" s="1798" t="s">
        <v>2114</v>
      </c>
      <c r="G20" s="136" t="str">
        <f>G6</f>
        <v>估价对象所在区域基础设施水平</v>
      </c>
    </row>
    <row r="21" spans="1:18" ht="28.5">
      <c r="A21" s="645"/>
      <c r="B21" s="1798" t="s">
        <v>2095</v>
      </c>
      <c r="C21" s="136" t="str">
        <f>C7</f>
        <v>估价对象所在区域公共配套设施齐备情况</v>
      </c>
      <c r="D21" s="2373"/>
      <c r="E21" s="2409"/>
      <c r="F21" s="2410" t="s">
        <v>2115</v>
      </c>
      <c r="G21" s="2411"/>
    </row>
    <row r="22" spans="1:18" ht="13.5" customHeight="1">
      <c r="A22" s="645"/>
      <c r="B22" s="1798" t="s">
        <v>2098</v>
      </c>
      <c r="C22" s="136" t="str">
        <f>C8</f>
        <v>估价对象所在区域基础设施水平</v>
      </c>
      <c r="D22" s="2373"/>
      <c r="E22" s="2409"/>
      <c r="F22" s="2410" t="s">
        <v>2104</v>
      </c>
      <c r="G22" s="1572"/>
    </row>
    <row r="23" spans="1:18" s="2370" customFormat="1" ht="15.75" thickBot="1">
      <c r="A23" s="645"/>
      <c r="B23" s="2410" t="s">
        <v>2115</v>
      </c>
      <c r="C23" s="2411"/>
      <c r="D23" s="2398"/>
      <c r="E23" s="2412"/>
      <c r="F23" s="2413" t="s">
        <v>2116</v>
      </c>
      <c r="G23" s="2414"/>
      <c r="H23" s="2398"/>
      <c r="I23" s="2399"/>
      <c r="J23" s="2398"/>
      <c r="K23" s="2398"/>
      <c r="L23" s="2399"/>
      <c r="M23" s="2398"/>
      <c r="N23" s="2398"/>
      <c r="O23" s="2399"/>
      <c r="P23" s="2398"/>
      <c r="Q23" s="2398"/>
      <c r="R23" s="2400"/>
    </row>
    <row r="24" spans="1:18" s="2370" customFormat="1" ht="15.75" thickBot="1">
      <c r="A24" s="2415"/>
      <c r="B24" s="2413" t="s">
        <v>2117</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sheetPr>
    <tabColor rgb="FFFF0000"/>
  </sheetPr>
  <dimension ref="A1:J23"/>
  <sheetViews>
    <sheetView workbookViewId="0">
      <selection activeCell="A17" sqref="A17"/>
    </sheetView>
  </sheetViews>
  <sheetFormatPr defaultRowHeight="13.5"/>
  <cols>
    <col min="1" max="1" width="23.375" style="1741" customWidth="1"/>
    <col min="2" max="9" width="15.75" style="1741" customWidth="1"/>
    <col min="10" max="16384" width="9" style="1741"/>
  </cols>
  <sheetData>
    <row r="1" spans="1:10" ht="16.5">
      <c r="A1" s="1746" t="s">
        <v>1365</v>
      </c>
      <c r="B1" s="1746">
        <f>SUM(B14:B23)</f>
        <v>30066.799999999999</v>
      </c>
      <c r="C1" s="1745"/>
      <c r="D1" s="1745"/>
      <c r="E1" s="1745"/>
      <c r="F1" s="1745"/>
      <c r="G1" s="1743"/>
    </row>
    <row r="2" spans="1:10" ht="16.5">
      <c r="A2" s="1746" t="s">
        <v>1353</v>
      </c>
      <c r="B2" s="1746">
        <f>SUM(C14:C23)</f>
        <v>23093.86</v>
      </c>
      <c r="C2" s="1745"/>
      <c r="D2" s="1745"/>
      <c r="E2" s="1745"/>
      <c r="F2" s="1745"/>
      <c r="G2" s="1743"/>
    </row>
    <row r="3" spans="1:10" ht="16.5">
      <c r="A3" s="1746" t="s">
        <v>1362</v>
      </c>
      <c r="B3" s="1747">
        <f>项目基本情况!D3</f>
        <v>43244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84887</v>
      </c>
      <c r="C5" s="1746">
        <f ca="1">ROUND(B5*10000/$B$1,0)</f>
        <v>28233</v>
      </c>
      <c r="D5" s="1746">
        <f ca="1">ROUND(B5*10000/$B$2,0)</f>
        <v>36757</v>
      </c>
      <c r="E5" s="1745"/>
      <c r="F5" s="1743"/>
      <c r="G5" s="1743"/>
    </row>
    <row r="6" spans="1:10" ht="16.5">
      <c r="A6" s="1746" t="s">
        <v>1356</v>
      </c>
      <c r="B6" s="1746">
        <f ca="1">SUM(G14:G23)</f>
        <v>84887</v>
      </c>
      <c r="C6" s="1746">
        <f ca="1">ROUND(B6*10000/$B$1,0)</f>
        <v>28233</v>
      </c>
      <c r="D6" s="1746">
        <f ca="1">ROUND(B6*10000/$B$2,0)</f>
        <v>36757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2864.5</v>
      </c>
      <c r="C14" s="1744">
        <f>结果表!C118</f>
        <v>4638.1000000000004</v>
      </c>
      <c r="D14" s="1744">
        <f ca="1">结果表!H118</f>
        <v>10349</v>
      </c>
      <c r="E14" s="1744">
        <f ca="1">ROUND(D14*10000/B14,0)</f>
        <v>36128</v>
      </c>
      <c r="F14" s="1744">
        <f ca="1">ROUND(D14*10000/C14,0)</f>
        <v>22313</v>
      </c>
      <c r="G14" s="1744">
        <f ca="1">结果表!D122</f>
        <v>10349</v>
      </c>
      <c r="H14" s="1744" t="str">
        <f>结果表!D124</f>
        <v>——</v>
      </c>
      <c r="I14" s="1744" t="str">
        <f>结果表!D126</f>
        <v>——</v>
      </c>
      <c r="J14" s="1743"/>
    </row>
    <row r="15" spans="1:10" ht="16.5">
      <c r="A15" s="1742" t="s">
        <v>1349</v>
      </c>
      <c r="B15" s="3013">
        <f>[1]系统读取表!$B$14</f>
        <v>27202.3</v>
      </c>
      <c r="C15" s="3013">
        <f>[1]系统读取表!$C$14</f>
        <v>18455.759999999998</v>
      </c>
      <c r="D15" s="3013">
        <f ca="1">[2]结果表!$G$19</f>
        <v>74538</v>
      </c>
      <c r="E15" s="1744">
        <f t="shared" ref="E15:E23" ca="1" si="0">ROUND(D15*10000/B15,0)</f>
        <v>27401</v>
      </c>
      <c r="F15" s="1744">
        <f t="shared" ref="F15:F23" ca="1" si="1">ROUND(D15*10000/C15,0)</f>
        <v>40387</v>
      </c>
      <c r="G15" s="3013">
        <f ca="1">[2]结果表!$D$122</f>
        <v>74538</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4" t="str">
        <f>项目基本情况!B1</f>
        <v>北京市朝阳区郎家园6号[3-2]1幢等7幢房地产抵押价值预评估</v>
      </c>
      <c r="C37" s="3014"/>
      <c r="D37" s="3014"/>
      <c r="E37" s="3014"/>
      <c r="F37" s="3014"/>
      <c r="G37" s="3014"/>
      <c r="H37" s="3014"/>
      <c r="I37" s="3014"/>
    </row>
    <row r="38" spans="1:9">
      <c r="A38" s="1019"/>
      <c r="B38" s="1019"/>
    </row>
    <row r="39" spans="1:9">
      <c r="A39" s="1017" t="s">
        <v>818</v>
      </c>
      <c r="B39" s="1017" t="s">
        <v>820</v>
      </c>
    </row>
    <row r="40" spans="1:9">
      <c r="A40" s="1017"/>
      <c r="B40" s="1945" t="str">
        <f>项目基本情况!B5</f>
        <v>北京农商银行股份有限公司东城支行</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113" zoomScaleNormal="100" zoomScaleSheetLayoutView="100" zoomScalePageLayoutView="80" workbookViewId="0">
      <selection activeCell="H118" sqref="H11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2118</v>
      </c>
      <c r="B1" s="2421"/>
      <c r="C1" s="2422"/>
      <c r="D1" s="2421"/>
      <c r="E1" s="2421"/>
      <c r="F1" s="2423" t="s">
        <v>2119</v>
      </c>
      <c r="G1" s="2072" t="s">
        <v>3175</v>
      </c>
      <c r="H1" s="2424" t="str">
        <f>IF(G1="现房","——","估价对象范围")</f>
        <v>——</v>
      </c>
      <c r="I1" s="2425" t="s">
        <v>3205</v>
      </c>
    </row>
    <row r="2" spans="1:12" ht="21.75" customHeight="1" thickBot="1">
      <c r="A2" s="3200" t="str">
        <f>项目基本情况!S2</f>
        <v>北京市朝阳区郎家园6号[3-2]1幢等7幢房地产</v>
      </c>
      <c r="B2" s="3201"/>
      <c r="C2" s="3201"/>
      <c r="D2" s="3201"/>
      <c r="E2" s="3201"/>
      <c r="F2" s="3201"/>
      <c r="G2" s="3201"/>
      <c r="H2" s="3201"/>
      <c r="I2" s="3202"/>
    </row>
    <row r="3" spans="1:12" ht="12.75">
      <c r="A3" s="3203" t="s">
        <v>2120</v>
      </c>
      <c r="B3" s="3204"/>
      <c r="C3" s="3204"/>
      <c r="D3" s="3204"/>
      <c r="E3" s="3204"/>
      <c r="F3" s="3204"/>
      <c r="G3" s="3204"/>
      <c r="H3" s="3204"/>
      <c r="I3" s="3204"/>
    </row>
    <row r="4" spans="1:12" ht="14.25">
      <c r="A4" s="2428" t="s">
        <v>2121</v>
      </c>
      <c r="B4" s="2429" t="s">
        <v>2122</v>
      </c>
      <c r="C4" s="2430" t="s">
        <v>3203</v>
      </c>
      <c r="D4" s="2430" t="s">
        <v>3196</v>
      </c>
      <c r="E4" s="3184" t="s">
        <v>2123</v>
      </c>
      <c r="F4" s="3197"/>
      <c r="G4" s="3197"/>
      <c r="H4" s="3197"/>
      <c r="I4" s="3185"/>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75" t="s">
        <v>2124</v>
      </c>
      <c r="B5" s="3080">
        <v>25</v>
      </c>
      <c r="C5" s="3205"/>
      <c r="D5" s="3193"/>
      <c r="E5" s="140" t="s">
        <v>2125</v>
      </c>
      <c r="F5" s="2432"/>
      <c r="G5" s="2432"/>
      <c r="H5" s="2432"/>
      <c r="I5" s="1834"/>
    </row>
    <row r="6" spans="1:12" ht="12.75">
      <c r="A6" s="3175"/>
      <c r="B6" s="3080"/>
      <c r="C6" s="3207"/>
      <c r="D6" s="3193"/>
      <c r="E6" s="140" t="s">
        <v>2126</v>
      </c>
      <c r="F6" s="2432"/>
      <c r="G6" s="2432"/>
      <c r="H6" s="2432"/>
      <c r="I6" s="1834"/>
    </row>
    <row r="7" spans="1:12" ht="12.75">
      <c r="A7" s="3175"/>
      <c r="B7" s="3080"/>
      <c r="C7" s="3206"/>
      <c r="D7" s="3193"/>
      <c r="E7" s="140" t="s">
        <v>2127</v>
      </c>
      <c r="F7" s="2432"/>
      <c r="G7" s="2432"/>
      <c r="H7" s="2432"/>
      <c r="I7" s="1834"/>
    </row>
    <row r="8" spans="1:12" ht="12.75">
      <c r="A8" s="3175" t="s">
        <v>2128</v>
      </c>
      <c r="B8" s="3080">
        <v>15</v>
      </c>
      <c r="C8" s="3205"/>
      <c r="D8" s="3193"/>
      <c r="E8" s="140" t="s">
        <v>2129</v>
      </c>
      <c r="F8" s="2432"/>
      <c r="G8" s="2432"/>
      <c r="H8" s="2432"/>
      <c r="I8" s="1834"/>
    </row>
    <row r="9" spans="1:12" ht="12.75">
      <c r="A9" s="3175"/>
      <c r="B9" s="3080"/>
      <c r="C9" s="3206"/>
      <c r="D9" s="3193"/>
      <c r="E9" s="140" t="s">
        <v>2130</v>
      </c>
      <c r="F9" s="2432"/>
      <c r="G9" s="2432"/>
      <c r="H9" s="2432"/>
      <c r="I9" s="1834"/>
    </row>
    <row r="10" spans="1:12" ht="12.75">
      <c r="A10" s="3175" t="s">
        <v>2131</v>
      </c>
      <c r="B10" s="3080">
        <v>15</v>
      </c>
      <c r="C10" s="3205"/>
      <c r="D10" s="3193"/>
      <c r="E10" s="140" t="s">
        <v>2132</v>
      </c>
      <c r="F10" s="2432"/>
      <c r="G10" s="2432"/>
      <c r="H10" s="2432"/>
      <c r="I10" s="1834"/>
    </row>
    <row r="11" spans="1:12" ht="12.75">
      <c r="A11" s="3175"/>
      <c r="B11" s="3080"/>
      <c r="C11" s="3206"/>
      <c r="D11" s="3193"/>
      <c r="E11" s="140" t="s">
        <v>2133</v>
      </c>
      <c r="F11" s="2432"/>
      <c r="G11" s="2432"/>
      <c r="H11" s="2432"/>
      <c r="I11" s="1834"/>
    </row>
    <row r="12" spans="1:12" ht="12.75">
      <c r="A12" s="3175" t="s">
        <v>2134</v>
      </c>
      <c r="B12" s="3080">
        <v>15</v>
      </c>
      <c r="C12" s="3205"/>
      <c r="D12" s="3193"/>
      <c r="E12" s="140" t="s">
        <v>2135</v>
      </c>
      <c r="F12" s="2432"/>
      <c r="G12" s="2432"/>
      <c r="H12" s="2432"/>
      <c r="I12" s="1834"/>
    </row>
    <row r="13" spans="1:12" ht="12.75">
      <c r="A13" s="3175"/>
      <c r="B13" s="3080"/>
      <c r="C13" s="3206"/>
      <c r="D13" s="3193"/>
      <c r="E13" s="140" t="s">
        <v>2136</v>
      </c>
      <c r="F13" s="2432"/>
      <c r="G13" s="2432"/>
      <c r="H13" s="2432"/>
      <c r="I13" s="1834"/>
    </row>
    <row r="14" spans="1:12" ht="12.75">
      <c r="A14" s="3175" t="s">
        <v>2137</v>
      </c>
      <c r="B14" s="3080">
        <v>30</v>
      </c>
      <c r="C14" s="3205">
        <v>40</v>
      </c>
      <c r="D14" s="3193">
        <v>60</v>
      </c>
      <c r="E14" s="140" t="s">
        <v>2138</v>
      </c>
      <c r="F14" s="2432"/>
      <c r="G14" s="2432"/>
      <c r="H14" s="2432"/>
      <c r="I14" s="1834"/>
    </row>
    <row r="15" spans="1:12" ht="12.75">
      <c r="A15" s="3175"/>
      <c r="B15" s="3080"/>
      <c r="C15" s="3207"/>
      <c r="D15" s="3193"/>
      <c r="E15" s="140" t="s">
        <v>2139</v>
      </c>
      <c r="F15" s="2432"/>
      <c r="G15" s="2432"/>
      <c r="H15" s="2432"/>
      <c r="I15" s="1834"/>
    </row>
    <row r="16" spans="1:12" ht="12.75">
      <c r="A16" s="3175"/>
      <c r="B16" s="3080"/>
      <c r="C16" s="3206"/>
      <c r="D16" s="3193"/>
      <c r="E16" s="140" t="s">
        <v>2140</v>
      </c>
      <c r="F16" s="2432"/>
      <c r="G16" s="2432"/>
      <c r="H16" s="2432"/>
      <c r="I16" s="1834"/>
    </row>
    <row r="17" spans="1:35" ht="15">
      <c r="A17" s="2433" t="s">
        <v>2141</v>
      </c>
      <c r="B17" s="64"/>
      <c r="C17" s="141">
        <f>SUM(C5:C16)</f>
        <v>40</v>
      </c>
      <c r="D17" s="141">
        <f>SUM(D5:D16)</f>
        <v>60</v>
      </c>
      <c r="E17" s="138"/>
      <c r="F17" s="138"/>
      <c r="G17" s="138"/>
      <c r="H17" s="138"/>
      <c r="I17" s="138"/>
      <c r="K17" s="2431"/>
      <c r="L17" s="2434" t="s">
        <v>2142</v>
      </c>
      <c r="M17" s="2434" t="s">
        <v>2143</v>
      </c>
    </row>
    <row r="18" spans="1:35" ht="15.75" thickBot="1">
      <c r="A18" s="2435" t="s">
        <v>2144</v>
      </c>
      <c r="B18" s="2436"/>
      <c r="C18" s="142">
        <f>ROUND(C17/SUM(C17:D17),2)</f>
        <v>0.4</v>
      </c>
      <c r="D18" s="142">
        <f>1-C18</f>
        <v>0.6</v>
      </c>
      <c r="E18" s="138"/>
      <c r="F18" s="138"/>
      <c r="G18" s="138"/>
      <c r="H18" s="138"/>
      <c r="I18" s="138"/>
      <c r="K18" s="2431" t="s">
        <v>2145</v>
      </c>
      <c r="L18" s="2431">
        <f>IF(C1="",'数据-汇总表'!E3,SUMIF(项目类型,C1,'数据-汇总表'!E17:E26)+SUMIF(项目类型,C1,'数据-汇总表'!I17:I26))</f>
        <v>2864.5</v>
      </c>
      <c r="M18" s="2431">
        <f>IF(C1="",'数据-汇总表'!E3,SUMIF(项目类型,C1,'数据-汇总表'!E17:E26))</f>
        <v>2864.5</v>
      </c>
    </row>
    <row r="19" spans="1:35" ht="15">
      <c r="A19" s="2437" t="s">
        <v>2146</v>
      </c>
      <c r="B19" s="2438" t="s">
        <v>2147</v>
      </c>
      <c r="C19" s="143">
        <f ca="1">SUMIF(INDIRECT("'"&amp;C4&amp;"'"&amp;"!A:A"),结果表!B19,INDIRECT("'"&amp;C4&amp;"'"&amp;"!B:B"))</f>
        <v>7722</v>
      </c>
      <c r="D19" s="144">
        <f ca="1">SUMIF(INDIRECT("'"&amp;D4&amp;"'"&amp;"!A:A"),结果表!B19,INDIRECT("'"&amp;D4&amp;"'"&amp;"!B:B"))</f>
        <v>12100</v>
      </c>
      <c r="E19" s="2437" t="s">
        <v>2148</v>
      </c>
      <c r="F19" s="2438" t="s">
        <v>2147</v>
      </c>
      <c r="G19" s="145">
        <f ca="1">ROUND(C19*$C$18+D19*$D$18,0)</f>
        <v>10349</v>
      </c>
      <c r="H19" s="2439" t="s">
        <v>2149</v>
      </c>
      <c r="I19" s="138"/>
      <c r="K19" s="2431" t="s">
        <v>2150</v>
      </c>
      <c r="L19" s="2431">
        <f>IF(C1="",'数据-汇总表'!D3,SUMIF(项目类型,C1,'数据-汇总表'!D17:D26)+SUMIF(项目类型,C1,'数据-汇总表'!H17:H27))</f>
        <v>4638.1000000000004</v>
      </c>
      <c r="M19" s="2431">
        <f>IF(C1="",'数据-汇总表'!D3,SUMIF(项目类型,C1,'数据-汇总表'!D17:D26))</f>
        <v>4638.1000000000004</v>
      </c>
    </row>
    <row r="20" spans="1:35" ht="15">
      <c r="A20" s="2440"/>
      <c r="B20" s="1250" t="s">
        <v>2151</v>
      </c>
      <c r="C20" s="146">
        <f ca="1">SUMIF(INDIRECT("'"&amp;C4&amp;"'"&amp;"!A:A"),结果表!B20,INDIRECT("'"&amp;C4&amp;"'"&amp;"!B:B"))</f>
        <v>26958</v>
      </c>
      <c r="D20" s="147">
        <f ca="1">SUMIF(INDIRECT("'"&amp;D4&amp;"'"&amp;"!A:A"),结果表!B20,INDIRECT("'"&amp;D4&amp;"'"&amp;"!B:B"))</f>
        <v>42241</v>
      </c>
      <c r="E20" s="2440"/>
      <c r="F20" s="1250" t="s">
        <v>2151</v>
      </c>
      <c r="G20" s="148">
        <f ca="1">ROUND(C20*$C$18+D20*$D$18,0)</f>
        <v>36128</v>
      </c>
      <c r="H20" s="983" t="s">
        <v>2152</v>
      </c>
      <c r="I20" s="138"/>
    </row>
    <row r="21" spans="1:35" ht="15" customHeight="1" thickBot="1">
      <c r="A21" s="1003"/>
      <c r="B21" s="2441" t="s">
        <v>2153</v>
      </c>
      <c r="C21" s="789">
        <f ca="1">ROUND(C19*10000/L19,0)</f>
        <v>16649</v>
      </c>
      <c r="D21" s="790">
        <f ca="1">ROUND(D19*10000/L19,0)</f>
        <v>26088</v>
      </c>
      <c r="E21" s="1003"/>
      <c r="F21" s="2441" t="s">
        <v>2153</v>
      </c>
      <c r="G21" s="149">
        <f ca="1">ROUND(G19*10000/L19,0)</f>
        <v>22313</v>
      </c>
      <c r="H21" s="2442" t="s">
        <v>2152</v>
      </c>
      <c r="I21" s="138"/>
    </row>
    <row r="22" spans="1:35" ht="15" thickBot="1">
      <c r="A22" s="2283" t="s">
        <v>2154</v>
      </c>
      <c r="B22" s="2443"/>
      <c r="C22" s="2444"/>
      <c r="D22" s="791">
        <f ca="1">IF(C19&lt;D19,D19/C19-1,C19/D19-1)</f>
        <v>0.56695156695156701</v>
      </c>
      <c r="E22" s="138"/>
      <c r="F22" s="138"/>
      <c r="G22" s="138"/>
      <c r="H22" s="138"/>
      <c r="I22" s="138"/>
    </row>
    <row r="23" spans="1:35" ht="13.5" thickBot="1">
      <c r="A23" s="2421"/>
      <c r="B23" s="2421"/>
      <c r="C23" s="2421"/>
      <c r="D23" s="2421"/>
      <c r="E23" s="138"/>
      <c r="F23" s="138"/>
      <c r="G23" s="138"/>
      <c r="H23" s="138"/>
      <c r="I23" s="138"/>
    </row>
    <row r="24" spans="1:35" ht="14.25">
      <c r="A24" s="3214" t="s">
        <v>2155</v>
      </c>
      <c r="B24" s="2438" t="s">
        <v>2147</v>
      </c>
      <c r="C24" s="145">
        <f>IF(B30=0,0,D30)</f>
        <v>0</v>
      </c>
      <c r="D24" s="2445"/>
      <c r="E24" s="138"/>
      <c r="F24" s="138"/>
      <c r="G24" s="138"/>
      <c r="H24" s="138"/>
      <c r="I24" s="138"/>
    </row>
    <row r="25" spans="1:35" ht="14.25">
      <c r="A25" s="3215"/>
      <c r="B25" s="1250"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2160</v>
      </c>
      <c r="B30" s="151"/>
      <c r="C30" s="151"/>
      <c r="D30" s="151"/>
      <c r="E30" s="2929"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10349</v>
      </c>
      <c r="D32" s="2452" t="s">
        <v>2162</v>
      </c>
      <c r="E32" s="138"/>
      <c r="F32" s="138"/>
      <c r="G32" s="138"/>
      <c r="H32" s="138"/>
      <c r="I32" s="138"/>
    </row>
    <row r="33" spans="1:15" ht="15">
      <c r="A33" s="960" t="s">
        <v>2163</v>
      </c>
      <c r="B33" s="2453"/>
      <c r="C33" s="2454" t="s">
        <v>3206</v>
      </c>
      <c r="D33" s="2455" t="s">
        <v>3203</v>
      </c>
      <c r="E33" s="2456" t="s">
        <v>2164</v>
      </c>
      <c r="F33" s="2457" t="str">
        <f>IF(D32="楼面单价","取值（单价）","取值（总价）")</f>
        <v>取值（总价）</v>
      </c>
      <c r="G33" s="138"/>
      <c r="H33" s="138"/>
      <c r="I33" s="138"/>
    </row>
    <row r="34" spans="1:15" ht="15">
      <c r="A34" s="2458"/>
      <c r="B34" s="2459" t="s">
        <v>2165</v>
      </c>
      <c r="C34" s="157">
        <f ca="1">IF(C33="自定义",F34,C32-C35)</f>
        <v>9055</v>
      </c>
      <c r="D34" s="1058">
        <f ca="1">IF(C33="自定义",ROUND(C34/C32,3),IF(C33="收益比率",SUMIF(INDIRECT("'"&amp;D33&amp;"'"&amp;"!b:b"),"土地收益比率",INDIRECT("'"&amp;D33&amp;"'"&amp;"!c:c")),SUMIF(INDIRECT("'"&amp;D33&amp;"'"&amp;"!b:b"),"土地成本比率",INDIRECT("'"&amp;D33&amp;"'"&amp;"!c:c"))))</f>
        <v>0.875</v>
      </c>
      <c r="E34" s="2460" t="s">
        <v>2166</v>
      </c>
      <c r="F34" s="1739"/>
      <c r="G34" s="138"/>
      <c r="H34" s="138"/>
      <c r="I34" s="138"/>
    </row>
    <row r="35" spans="1:15" ht="15.75" thickBot="1">
      <c r="A35" s="2461"/>
      <c r="B35" s="2462" t="s">
        <v>2167</v>
      </c>
      <c r="C35" s="1444">
        <f ca="1">IF(C33="自定义",F35,ROUND(C32*D35,0))</f>
        <v>1294</v>
      </c>
      <c r="D35" s="1445">
        <f ca="1">IF(C33="自定义",ROUND(C35/C32,3),IF(C33="收益比率",SUMIF(INDIRECT("'"&amp;D33&amp;"'"&amp;"!b:b"),"建筑物收益比率",INDIRECT("'"&amp;D33&amp;"'"&amp;"!c:c")),SUMIF(INDIRECT("'"&amp;D33&amp;"'"&amp;"!b:b"),"建筑物成本比率",INDIRECT("'"&amp;D33&amp;"'"&amp;"!c:c"))))</f>
        <v>0.125</v>
      </c>
      <c r="E35" s="2463" t="s">
        <v>2168</v>
      </c>
      <c r="F35" s="163"/>
      <c r="G35" s="138"/>
      <c r="H35" s="138"/>
      <c r="I35" s="138"/>
    </row>
    <row r="36" spans="1:15" ht="15.75" thickBot="1">
      <c r="A36" s="3194" t="s">
        <v>2169</v>
      </c>
      <c r="B36" s="2464" t="s">
        <v>2170</v>
      </c>
      <c r="C36" s="154"/>
      <c r="D36" s="2465"/>
      <c r="E36" s="2466"/>
      <c r="F36" s="2467"/>
      <c r="G36" s="138"/>
      <c r="H36" s="138"/>
      <c r="I36" s="138"/>
    </row>
    <row r="37" spans="1:15" ht="15.75" thickBot="1">
      <c r="A37" s="3195"/>
      <c r="B37" s="2269" t="s">
        <v>2171</v>
      </c>
      <c r="C37" s="156"/>
      <c r="D37" s="1395"/>
      <c r="E37" s="1395"/>
      <c r="F37" s="2467"/>
      <c r="G37" s="138"/>
      <c r="H37" s="138"/>
      <c r="I37" s="138"/>
    </row>
    <row r="38" spans="1:15" ht="15.75" thickBot="1">
      <c r="A38" s="3196"/>
      <c r="B38" s="2468" t="s">
        <v>2172</v>
      </c>
      <c r="C38" s="727"/>
      <c r="D38" s="2469" t="s">
        <v>2173</v>
      </c>
      <c r="E38" s="1395"/>
      <c r="F38" s="2467"/>
      <c r="G38" s="138"/>
      <c r="H38" s="138"/>
      <c r="I38" s="138"/>
    </row>
    <row r="39" spans="1:15" ht="15">
      <c r="A39" s="2440" t="s">
        <v>2174</v>
      </c>
      <c r="B39" s="2470" t="s">
        <v>2175</v>
      </c>
      <c r="C39" s="2471" t="s">
        <v>2176</v>
      </c>
      <c r="D39" s="2471" t="s">
        <v>2177</v>
      </c>
      <c r="E39" s="2472" t="s">
        <v>2178</v>
      </c>
      <c r="F39" s="2467"/>
      <c r="G39" s="138"/>
      <c r="H39" s="138"/>
      <c r="I39" s="138"/>
    </row>
    <row r="40" spans="1:15" ht="14.25">
      <c r="A40" s="2473" t="s">
        <v>2179</v>
      </c>
      <c r="B40" s="158"/>
      <c r="C40" s="159"/>
      <c r="D40" s="159"/>
      <c r="E40" s="160"/>
      <c r="F40" s="2467"/>
      <c r="G40" s="138"/>
      <c r="H40" s="138"/>
      <c r="I40" s="138"/>
    </row>
    <row r="41" spans="1:15" ht="14.25">
      <c r="A41" s="2473" t="s">
        <v>2180</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211" t="s">
        <v>2183</v>
      </c>
      <c r="B45" s="3212"/>
      <c r="C45" s="3213"/>
      <c r="D45" s="164">
        <f ca="1">ROUND(H101*F45,0)</f>
        <v>10349</v>
      </c>
      <c r="E45" s="165" t="s">
        <v>2184</v>
      </c>
      <c r="F45" s="166">
        <v>1</v>
      </c>
      <c r="G45" s="167" t="s">
        <v>2185</v>
      </c>
      <c r="H45" s="138"/>
      <c r="I45" s="138"/>
      <c r="J45" s="3130" t="s">
        <v>2186</v>
      </c>
      <c r="K45" s="3130"/>
      <c r="L45" s="3130"/>
      <c r="M45" s="3130"/>
      <c r="N45" s="3130"/>
      <c r="O45" s="3130"/>
    </row>
    <row r="46" spans="1:15" ht="14.25" customHeight="1">
      <c r="A46" s="3208" t="s">
        <v>2187</v>
      </c>
      <c r="B46" s="3209"/>
      <c r="C46" s="3209"/>
      <c r="D46" s="3209"/>
      <c r="E46" s="3209"/>
      <c r="F46" s="3209"/>
      <c r="G46" s="3210"/>
      <c r="H46" s="2483"/>
      <c r="I46" s="168"/>
      <c r="J46" s="1812">
        <v>1</v>
      </c>
      <c r="K46" s="3130" t="s">
        <v>2188</v>
      </c>
      <c r="L46" s="3130"/>
      <c r="M46" s="3131"/>
      <c r="N46" s="3131"/>
      <c r="O46" s="3131"/>
    </row>
    <row r="47" spans="1:15" ht="12" customHeight="1">
      <c r="A47" s="169" t="s">
        <v>2189</v>
      </c>
      <c r="B47" s="170"/>
      <c r="C47" s="171"/>
      <c r="D47" s="172" t="s">
        <v>2190</v>
      </c>
      <c r="E47" s="24" t="s">
        <v>2191</v>
      </c>
      <c r="F47" s="173" t="s">
        <v>2192</v>
      </c>
      <c r="G47" s="174" t="s">
        <v>2193</v>
      </c>
      <c r="H47" s="2483"/>
      <c r="I47" s="168"/>
      <c r="J47" s="1812">
        <v>2</v>
      </c>
      <c r="K47" s="3130" t="s">
        <v>2194</v>
      </c>
      <c r="L47" s="3130"/>
      <c r="M47" s="3132">
        <f>'数据-取费表'!B2</f>
        <v>43244</v>
      </c>
      <c r="N47" s="3132"/>
      <c r="O47" s="3132"/>
    </row>
    <row r="48" spans="1:15" ht="25.5">
      <c r="A48" s="3198" t="s">
        <v>2195</v>
      </c>
      <c r="B48" s="3199"/>
      <c r="C48" s="3199"/>
      <c r="D48" s="140">
        <f>IF(H48="情况1",0,IF(H48="情况2",D52,IF(H48="情况3",D53,IF(H48="情况4",D54))))</f>
        <v>0</v>
      </c>
      <c r="E48" s="1801" t="str">
        <f>IF(H48="情况4","(销售额-原购置价)×税（费）率","销售额×税（费）率")</f>
        <v>销售额×税（费）率</v>
      </c>
      <c r="F48" s="175" t="str">
        <f>IF(H48="情况1","免征",'数据-取费表'!B41)</f>
        <v>免征</v>
      </c>
      <c r="G48" s="2484" t="s">
        <v>2196</v>
      </c>
      <c r="H48" s="2485" t="s">
        <v>2197</v>
      </c>
      <c r="I48" s="2483"/>
      <c r="J48" s="1812">
        <v>3</v>
      </c>
      <c r="K48" s="3130" t="s">
        <v>2198</v>
      </c>
      <c r="L48" s="3130"/>
      <c r="M48" s="3133">
        <f ca="1">H101</f>
        <v>10349</v>
      </c>
      <c r="N48" s="3133"/>
      <c r="O48" s="3133"/>
    </row>
    <row r="49" spans="1:35" ht="25.5" customHeight="1">
      <c r="A49" s="176" t="s">
        <v>2199</v>
      </c>
      <c r="B49" s="3178" t="s">
        <v>2200</v>
      </c>
      <c r="C49" s="3178"/>
      <c r="D49" s="177">
        <v>0</v>
      </c>
      <c r="E49" s="23" t="s">
        <v>2201</v>
      </c>
      <c r="F49" s="28" t="s">
        <v>34</v>
      </c>
      <c r="G49" s="3159"/>
      <c r="H49" s="138"/>
      <c r="I49" s="2486"/>
      <c r="J49" s="1812">
        <v>4</v>
      </c>
      <c r="K49" s="3130" t="str">
        <f>IF(项目基本情况!E8="房地产抵押价值","房地产抵押价值","抵押担保权已注销时的房地产抵押价值")</f>
        <v>房地产抵押价值</v>
      </c>
      <c r="L49" s="3130"/>
      <c r="M49" s="3133">
        <f ca="1">IF(项目基本情况!E8="房地产抵押价值",H107,H109)</f>
        <v>10349</v>
      </c>
      <c r="N49" s="3133"/>
      <c r="O49" s="3133"/>
    </row>
    <row r="50" spans="1:35" ht="25.5" customHeight="1">
      <c r="A50" s="178"/>
      <c r="B50" s="3178" t="s">
        <v>2202</v>
      </c>
      <c r="C50" s="3178"/>
      <c r="D50" s="179"/>
      <c r="E50" s="31"/>
      <c r="F50" s="180"/>
      <c r="G50" s="3160"/>
      <c r="H50" s="138"/>
      <c r="I50" s="2486"/>
      <c r="J50" s="3130" t="s">
        <v>2203</v>
      </c>
      <c r="K50" s="3130"/>
      <c r="L50" s="3130"/>
      <c r="M50" s="3130"/>
      <c r="N50" s="3130"/>
      <c r="O50" s="3130"/>
    </row>
    <row r="51" spans="1:35" ht="12" customHeight="1">
      <c r="A51" s="181"/>
      <c r="B51" s="3178" t="s">
        <v>2204</v>
      </c>
      <c r="C51" s="3178"/>
      <c r="D51" s="182"/>
      <c r="E51" s="30"/>
      <c r="F51" s="180"/>
      <c r="G51" s="3161"/>
      <c r="H51" s="138"/>
      <c r="I51" s="2486"/>
      <c r="J51" s="2487" t="s">
        <v>2205</v>
      </c>
      <c r="K51" s="3130" t="s">
        <v>2206</v>
      </c>
      <c r="L51" s="3130"/>
      <c r="M51" s="2487" t="s">
        <v>2207</v>
      </c>
      <c r="N51" s="2487" t="s">
        <v>2208</v>
      </c>
      <c r="O51" s="2487" t="s">
        <v>2209</v>
      </c>
    </row>
    <row r="52" spans="1:35" ht="24" customHeight="1">
      <c r="A52" s="183" t="s">
        <v>2210</v>
      </c>
      <c r="B52" s="3178" t="s">
        <v>2211</v>
      </c>
      <c r="C52" s="3178"/>
      <c r="D52" s="182">
        <f ca="1">ROUND(D45*'数据-取费表'!B41/(1+'数据-取费表'!C42),0)</f>
        <v>552</v>
      </c>
      <c r="E52" s="11" t="s">
        <v>2212</v>
      </c>
      <c r="F52" s="184">
        <f>'数据-取费表'!B41</f>
        <v>5.6000000000000001E-2</v>
      </c>
      <c r="G52" s="2488"/>
      <c r="H52" s="138"/>
      <c r="I52" s="2486"/>
      <c r="J52" s="1812">
        <v>1</v>
      </c>
      <c r="K52" s="3153" t="s">
        <v>2213</v>
      </c>
      <c r="L52" s="3153"/>
      <c r="M52" s="1754">
        <f>D48</f>
        <v>0</v>
      </c>
      <c r="N52" s="1812" t="str">
        <f>E48</f>
        <v>销售额×税（费）率</v>
      </c>
      <c r="O52" s="1755" t="str">
        <f>F48</f>
        <v>免征</v>
      </c>
    </row>
    <row r="53" spans="1:35" ht="12" customHeight="1">
      <c r="A53" s="183" t="s">
        <v>2214</v>
      </c>
      <c r="B53" s="3179" t="s">
        <v>2215</v>
      </c>
      <c r="C53" s="3180"/>
      <c r="D53" s="182">
        <f ca="1">ROUND(D45*'数据-取费表'!B41/(1+'数据-取费表'!C42),0)</f>
        <v>552</v>
      </c>
      <c r="E53" s="11" t="s">
        <v>2212</v>
      </c>
      <c r="F53" s="184">
        <f>'数据-取费表'!B41</f>
        <v>5.6000000000000001E-2</v>
      </c>
      <c r="G53" s="2488"/>
      <c r="H53" s="138"/>
      <c r="I53" s="2486"/>
      <c r="J53" s="1812">
        <v>2</v>
      </c>
      <c r="K53" s="3153" t="s">
        <v>2216</v>
      </c>
      <c r="L53" s="3153"/>
      <c r="M53" s="1754">
        <f t="shared" ref="M53:O54" ca="1" si="0">D55</f>
        <v>5</v>
      </c>
      <c r="N53" s="1812" t="str">
        <f t="shared" si="0"/>
        <v>销售额×税（费）率</v>
      </c>
      <c r="O53" s="1755">
        <f t="shared" si="0"/>
        <v>5.0000000000000001E-4</v>
      </c>
    </row>
    <row r="54" spans="1:35" ht="12" customHeight="1">
      <c r="A54" s="183" t="s">
        <v>2217</v>
      </c>
      <c r="B54" s="3179" t="s">
        <v>2218</v>
      </c>
      <c r="C54" s="3180"/>
      <c r="D54" s="182">
        <f ca="1">C68</f>
        <v>552</v>
      </c>
      <c r="E54" s="30" t="s">
        <v>2219</v>
      </c>
      <c r="F54" s="184">
        <f>'数据-取费表'!B41</f>
        <v>5.6000000000000001E-2</v>
      </c>
      <c r="G54" s="2488"/>
      <c r="H54" s="2489"/>
      <c r="I54" s="2486"/>
      <c r="J54" s="1812">
        <v>3</v>
      </c>
      <c r="K54" s="3153" t="s">
        <v>2220</v>
      </c>
      <c r="L54" s="3153"/>
      <c r="M54" s="1754">
        <f t="shared" ca="1" si="0"/>
        <v>5858</v>
      </c>
      <c r="N54" s="1812" t="str">
        <f t="shared" si="0"/>
        <v>增值额×税（费）率</v>
      </c>
      <c r="O54" s="1756" t="str">
        <f t="shared" si="0"/>
        <v>——</v>
      </c>
    </row>
    <row r="55" spans="1:35" ht="24" customHeight="1">
      <c r="A55" s="3217" t="s">
        <v>2221</v>
      </c>
      <c r="B55" s="3199"/>
      <c r="C55" s="3199"/>
      <c r="D55" s="185">
        <f ca="1">IF(H55="个人住宅",0,ROUND(D45*I55,0))</f>
        <v>5</v>
      </c>
      <c r="E55" s="11" t="s">
        <v>2222</v>
      </c>
      <c r="F55" s="184">
        <f>IF(H55="正常",I55,"免征")</f>
        <v>5.0000000000000001E-4</v>
      </c>
      <c r="G55" s="2488"/>
      <c r="H55" s="2485" t="s">
        <v>2223</v>
      </c>
      <c r="I55" s="186">
        <f>'数据-取费表'!B49</f>
        <v>5.0000000000000001E-4</v>
      </c>
      <c r="J55" s="1812" t="str">
        <f>IF(H59="非个人房产","",4)</f>
        <v/>
      </c>
      <c r="K55" s="3153" t="str">
        <f>IF(H59="非个人房产","——","个人所得税")</f>
        <v>——</v>
      </c>
      <c r="L55" s="3153"/>
      <c r="M55" s="1757" t="str">
        <f>D59</f>
        <v>——</v>
      </c>
      <c r="N55" s="1810" t="str">
        <f>E59</f>
        <v>——</v>
      </c>
      <c r="O55" s="1758" t="str">
        <f>F59</f>
        <v>——</v>
      </c>
    </row>
    <row r="56" spans="1:35" ht="24.75">
      <c r="A56" s="3217" t="s">
        <v>2224</v>
      </c>
      <c r="B56" s="3199"/>
      <c r="C56" s="3199"/>
      <c r="D56" s="185">
        <f ca="1">IF(H56="个人住宅",D57,D58)</f>
        <v>5858</v>
      </c>
      <c r="E56" s="11" t="s">
        <v>2225</v>
      </c>
      <c r="F56" s="184" t="str">
        <f>IF(H56="正常",F58,"免征")</f>
        <v>——</v>
      </c>
      <c r="G56" s="2490" t="s">
        <v>2226</v>
      </c>
      <c r="H56" s="2491" t="s">
        <v>2223</v>
      </c>
      <c r="I56" s="2492"/>
      <c r="J56" s="1812" t="str">
        <f>IF(项目基本情况!K6="上海银行",IF(J55="",4,J55+1),"")</f>
        <v/>
      </c>
      <c r="K56" s="3136" t="str">
        <f>IF(项目基本情况!K6="上海银行","其他处置费用","")</f>
        <v/>
      </c>
      <c r="L56" s="3137"/>
      <c r="M56" s="1754" t="str">
        <f>IF(项目基本情况!K6="上海银行",M69,"")</f>
        <v/>
      </c>
      <c r="N56" s="3139" t="str">
        <f>IF(项目基本情况!K6="上海银行","包含处置中涉及的律师、诉讼、拍卖、评估等费用","")</f>
        <v/>
      </c>
      <c r="O56" s="3140"/>
    </row>
    <row r="57" spans="1:35" ht="12.75">
      <c r="A57" s="183" t="s">
        <v>2199</v>
      </c>
      <c r="B57" s="3184" t="s">
        <v>2227</v>
      </c>
      <c r="C57" s="3185"/>
      <c r="D57" s="187">
        <v>0</v>
      </c>
      <c r="E57" s="23" t="s">
        <v>2201</v>
      </c>
      <c r="F57" s="155"/>
      <c r="G57" s="2488"/>
      <c r="H57" s="2492"/>
      <c r="I57" s="2492"/>
      <c r="J57" s="3153">
        <f>IF(AND(J55="",J56=""),4,IF(项目基本情况!K6="上海银行",结果表!J56+1,结果表!J55+1))</f>
        <v>4</v>
      </c>
      <c r="K57" s="3153" t="s">
        <v>2228</v>
      </c>
      <c r="L57" s="2493" t="s">
        <v>2229</v>
      </c>
      <c r="M57" s="1759"/>
      <c r="N57" s="1760">
        <f ca="1">SUMIF(M52:M56,"&lt;9e307")</f>
        <v>5863</v>
      </c>
      <c r="O57" s="2494"/>
      <c r="P57" s="1753">
        <f ca="1">N57/M49</f>
        <v>0.5665281669726544</v>
      </c>
    </row>
    <row r="58" spans="1:35" ht="24.75">
      <c r="A58" s="183" t="s">
        <v>2210</v>
      </c>
      <c r="B58" s="3184" t="s">
        <v>2230</v>
      </c>
      <c r="C58" s="3197"/>
      <c r="D58" s="185">
        <f ca="1">IF(H58="转让取得",C81,C97)</f>
        <v>5858</v>
      </c>
      <c r="E58" s="11" t="s">
        <v>2225</v>
      </c>
      <c r="F58" s="24" t="s">
        <v>34</v>
      </c>
      <c r="G58" s="2488"/>
      <c r="H58" s="2491" t="s">
        <v>2231</v>
      </c>
      <c r="I58" s="2492"/>
      <c r="J58" s="3153"/>
      <c r="K58" s="3153"/>
      <c r="L58" s="2493" t="s">
        <v>2232</v>
      </c>
      <c r="M58" s="1761"/>
      <c r="N58" s="2495" t="str">
        <f ca="1">NUMBERSTRING(INT(N57*10000),2)&amp;"元整"</f>
        <v>伍仟捌佰陆拾叁万元整</v>
      </c>
      <c r="O58" s="2496"/>
    </row>
    <row r="59" spans="1:35" ht="24.75" thickBot="1">
      <c r="A59" s="3157" t="s">
        <v>2233</v>
      </c>
      <c r="B59" s="3158"/>
      <c r="C59" s="3158"/>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155">
        <f>J57+1</f>
        <v>5</v>
      </c>
      <c r="K59" s="3153" t="s">
        <v>2235</v>
      </c>
      <c r="L59" s="1812" t="s">
        <v>2229</v>
      </c>
      <c r="M59" s="1762"/>
      <c r="N59" s="1763">
        <f ca="1">M49-N57</f>
        <v>4486</v>
      </c>
      <c r="O59" s="2498"/>
    </row>
    <row r="60" spans="1:35" ht="12" customHeight="1">
      <c r="A60" s="2499"/>
      <c r="B60" s="2421"/>
      <c r="C60" s="2421"/>
      <c r="D60" s="2421"/>
      <c r="E60" s="2168"/>
      <c r="F60" s="2492"/>
      <c r="G60" s="2492"/>
      <c r="H60" s="2500"/>
      <c r="I60" s="138"/>
      <c r="J60" s="3156"/>
      <c r="K60" s="3153"/>
      <c r="L60" s="2493" t="s">
        <v>2232</v>
      </c>
      <c r="M60" s="1761"/>
      <c r="N60" s="2495" t="str">
        <f ca="1">NUMBERSTRING(INT(N59*10000),2)&amp;"元整"</f>
        <v>肆仟肆佰捌拾陆万元整</v>
      </c>
      <c r="O60" s="2496"/>
    </row>
    <row r="61" spans="1:35" ht="13.5" thickBot="1">
      <c r="A61" s="3216" t="s">
        <v>2236</v>
      </c>
      <c r="B61" s="3216"/>
      <c r="C61" s="3216"/>
      <c r="D61" s="3216"/>
      <c r="E61" s="3216"/>
      <c r="F61" s="2492"/>
      <c r="G61" s="2492"/>
      <c r="H61" s="2500"/>
      <c r="I61" s="138"/>
      <c r="J61" s="1812">
        <f>J59+1</f>
        <v>6</v>
      </c>
      <c r="K61" s="3153" t="s">
        <v>2237</v>
      </c>
      <c r="L61" s="3153"/>
      <c r="M61" s="1764"/>
      <c r="N61" s="1765">
        <f ca="1">ROUND(N59*10000/'数据-汇总表'!E3,0)</f>
        <v>15661</v>
      </c>
      <c r="O61" s="2501"/>
    </row>
    <row r="62" spans="1:35" ht="12.75">
      <c r="A62" s="3173" t="s">
        <v>2238</v>
      </c>
      <c r="B62" s="3174"/>
      <c r="C62" s="1804"/>
      <c r="D62" s="1804" t="s">
        <v>2239</v>
      </c>
      <c r="E62" s="192" t="s">
        <v>2240</v>
      </c>
      <c r="F62" s="2492"/>
      <c r="G62" s="2492"/>
      <c r="H62" s="2500"/>
      <c r="I62" s="138"/>
    </row>
    <row r="63" spans="1:35" ht="12.75">
      <c r="A63" s="203" t="s">
        <v>775</v>
      </c>
      <c r="B63" s="193" t="s">
        <v>2241</v>
      </c>
      <c r="C63" s="194">
        <f ca="1">ROUND((C64+C65)/(1+'数据-取费表'!C42),0)</f>
        <v>9856</v>
      </c>
      <c r="D63" s="195"/>
      <c r="E63" s="196"/>
      <c r="F63" s="2492"/>
      <c r="G63" s="2492"/>
      <c r="H63" s="2500"/>
      <c r="I63" s="138"/>
      <c r="J63" s="3138" t="s">
        <v>2242</v>
      </c>
      <c r="K63" s="2502" t="s">
        <v>2243</v>
      </c>
      <c r="L63" s="1752">
        <f ca="1">IF(M49&gt;10000,M49*0.5%,IF(AND(M49&gt;1000,M49&lt;=10000),M49*1%,IF(AND(M49&gt;100,M49&lt;=1000),M49*3%,IF(AND(M49&gt;10,M49&lt;=100),M49*5%,M49*8%))))</f>
        <v>51.745000000000005</v>
      </c>
      <c r="M63" s="24">
        <f ca="1">ROUND(L63,1)</f>
        <v>51.7</v>
      </c>
      <c r="Z63" s="2426"/>
      <c r="AI63" s="2427"/>
    </row>
    <row r="64" spans="1:35" ht="14.25" customHeight="1">
      <c r="A64" s="197" t="s">
        <v>770</v>
      </c>
      <c r="B64" s="198" t="s">
        <v>2244</v>
      </c>
      <c r="C64" s="199">
        <f ca="1">D45</f>
        <v>10349</v>
      </c>
      <c r="D64" s="200" t="s">
        <v>32</v>
      </c>
      <c r="E64" s="201"/>
      <c r="F64" s="2492"/>
      <c r="G64" s="2492"/>
      <c r="H64" s="2500"/>
      <c r="I64" s="138"/>
      <c r="J64" s="3138"/>
      <c r="K64" s="2502" t="s">
        <v>2245</v>
      </c>
      <c r="L64" s="1752">
        <f ca="1">IF(M49&gt;2000,M49*0.5%,IF(AND(M49&gt;1000,M49&lt;=2000),M49*0.6%,IF(AND(M49&gt;500,M49&lt;=1000),M49*0.7%,IF(AND(M49&gt;200,M49&lt;=500),M49*0.8%,IF(AND(M49&gt;100,M49&lt;=200),M49*0.9%,IF(AND(M49&gt;50,M49&lt;=100),M49*1%,IF(AND(M49&gt;20,M49&lt;=50),M49*1.5%,IF(AND(M49&gt;10,M49&lt;=20),M49*2%,IF(AND(M49&gt;1,M49&lt;=10),M49*2.5%)))))))))</f>
        <v>51.745000000000005</v>
      </c>
      <c r="M64" s="24">
        <f t="shared" ref="M64:M65" ca="1" si="1">ROUND(L64,1)</f>
        <v>51.7</v>
      </c>
      <c r="N64" s="138" t="s">
        <v>2246</v>
      </c>
      <c r="Z64" s="2426"/>
      <c r="AI64" s="2427"/>
    </row>
    <row r="65" spans="1:35" ht="14.25" customHeight="1">
      <c r="A65" s="197" t="s">
        <v>771</v>
      </c>
      <c r="B65" s="198" t="s">
        <v>2247</v>
      </c>
      <c r="C65" s="202"/>
      <c r="D65" s="200"/>
      <c r="E65" s="201"/>
      <c r="F65" s="2492"/>
      <c r="G65" s="2492"/>
      <c r="H65" s="2500"/>
      <c r="I65" s="138"/>
      <c r="J65" s="3138"/>
      <c r="K65" s="2502" t="s">
        <v>2248</v>
      </c>
      <c r="L65" s="1752">
        <f ca="1">IF(M49&gt;1000,M49*0.1%,IF(AND(M49&gt;500,M49&lt;=1000),M49*0.5%,IF(AND(M49&gt;50,M49&lt;=500),M49*1%,IF(AND(M49&gt;1,M49&lt;=50),M49*1.5%))))</f>
        <v>10.349</v>
      </c>
      <c r="M65" s="24">
        <f t="shared" ca="1" si="1"/>
        <v>10.3</v>
      </c>
      <c r="N65" s="138" t="s">
        <v>2246</v>
      </c>
      <c r="Z65" s="2426"/>
      <c r="AI65" s="2427"/>
    </row>
    <row r="66" spans="1:35" ht="14.25" customHeight="1">
      <c r="A66" s="203" t="s">
        <v>772</v>
      </c>
      <c r="B66" s="204" t="s">
        <v>2249</v>
      </c>
      <c r="C66" s="205"/>
      <c r="D66" s="206" t="s">
        <v>32</v>
      </c>
      <c r="E66" s="1776" t="s">
        <v>1371</v>
      </c>
      <c r="F66" s="2492"/>
      <c r="G66" s="2492"/>
      <c r="H66" s="2500"/>
      <c r="I66" s="138"/>
      <c r="J66" s="3138"/>
      <c r="K66" s="2502" t="s">
        <v>2250</v>
      </c>
      <c r="L66" s="1752">
        <f ca="1">M49*0.5%</f>
        <v>51.745000000000005</v>
      </c>
      <c r="M66" s="24">
        <f ca="1">IF(L66&gt;0.5,0.5,ROUND(L66,0))</f>
        <v>0.5</v>
      </c>
      <c r="N66" s="138" t="s">
        <v>2251</v>
      </c>
      <c r="Z66" s="2426"/>
      <c r="AI66" s="2427"/>
    </row>
    <row r="67" spans="1:35" ht="14.25" customHeight="1">
      <c r="A67" s="203" t="s">
        <v>773</v>
      </c>
      <c r="B67" s="204" t="s">
        <v>2252</v>
      </c>
      <c r="C67" s="207">
        <f ca="1">C63-C66</f>
        <v>9856</v>
      </c>
      <c r="D67" s="200" t="s">
        <v>32</v>
      </c>
      <c r="E67" s="201"/>
      <c r="F67" s="2492"/>
      <c r="G67" s="2492"/>
      <c r="H67" s="2500"/>
      <c r="I67" s="138"/>
      <c r="J67" s="3138"/>
      <c r="K67" s="2502" t="s">
        <v>2253</v>
      </c>
      <c r="L67" s="1752">
        <f ca="1">IF(M49&gt;=10000,(8.25+(M49-10000)*0.01%),IF(AND(M49&gt;=8000,M49&lt;10000),(7.85+(M49-8000)*0.02%),IF(AND(M49&gt;=5000,M49&lt;8000),(6.65+(M49-5000)*0.04%),IF(AND(M49&gt;=2000,M49&lt;5000),(4.25+(PM49-2000)*0.08%),IF(AND(M49&gt;=1000,M49&lt;2000),(2.75+(M49-1000)*0.15%),IF(AND(M49&gt;=100,M49&lt;1000),(0.5+(M49-100)*0.25%),IF(AND(M49&gt;0,M49&lt;100),M49*0.5%)))))))</f>
        <v>8.2849000000000004</v>
      </c>
      <c r="M67" s="24">
        <f ca="1">ROUND(L67*0.9,1)</f>
        <v>7.5</v>
      </c>
      <c r="Z67" s="2426"/>
      <c r="AI67" s="2427"/>
    </row>
    <row r="68" spans="1:35" ht="14.25" customHeight="1" thickBot="1">
      <c r="A68" s="208" t="s">
        <v>774</v>
      </c>
      <c r="B68" s="209" t="s">
        <v>2254</v>
      </c>
      <c r="C68" s="210">
        <f ca="1">IF(C67&lt;=0,0,ROUND(C67*D68,0))</f>
        <v>552</v>
      </c>
      <c r="D68" s="211">
        <f>'数据-取费表'!B41</f>
        <v>5.6000000000000001E-2</v>
      </c>
      <c r="E68" s="212"/>
      <c r="F68" s="2492"/>
      <c r="G68" s="2492"/>
      <c r="H68" s="2500"/>
      <c r="I68" s="138"/>
      <c r="J68" s="3138"/>
      <c r="K68" s="2502" t="s">
        <v>2255</v>
      </c>
      <c r="L68" s="1752">
        <f ca="1">IF(M49&gt;10000,M49*0.5%,IF(AND(M49&gt;5000,M49&lt;=10000),M49*1%,IF(AND(M49&gt;1000,M49&lt;=5000),M49*2%,IF(AND(M49&gt;200,M49&lt;=1000),M49*3%,M49*5%))))</f>
        <v>51.745000000000005</v>
      </c>
      <c r="M68" s="24">
        <f ca="1">ROUND(L68,1)</f>
        <v>51.7</v>
      </c>
      <c r="Z68" s="2426"/>
      <c r="AI68" s="2427"/>
    </row>
    <row r="69" spans="1:35" s="2449" customFormat="1" ht="16.5" customHeight="1">
      <c r="A69" s="2503"/>
      <c r="B69" s="2504"/>
      <c r="C69" s="2505"/>
      <c r="D69" s="2506"/>
      <c r="E69" s="2507"/>
      <c r="F69" s="2168"/>
      <c r="G69" s="2168"/>
      <c r="H69" s="2167"/>
      <c r="I69" s="2421"/>
      <c r="J69" s="3138"/>
      <c r="K69" s="2502" t="s">
        <v>2256</v>
      </c>
      <c r="L69" s="2508"/>
      <c r="M69" s="24">
        <f ca="1">ROUND(SUM(M63:M68),0)</f>
        <v>173</v>
      </c>
      <c r="N69" s="1753">
        <f ca="1">M69/M49</f>
        <v>1.6716590974973428E-2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82" t="s">
        <v>2257</v>
      </c>
      <c r="B70" s="3183"/>
      <c r="C70" s="3183"/>
      <c r="D70" s="3183"/>
      <c r="E70" s="3183"/>
      <c r="F70" s="3183"/>
      <c r="G70" s="3183"/>
      <c r="H70" s="318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73" t="s">
        <v>2238</v>
      </c>
      <c r="B71" s="3174"/>
      <c r="C71" s="1804"/>
      <c r="D71" s="1804"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2258</v>
      </c>
      <c r="C72" s="207">
        <f ca="1">ROUND(D45/(1+'数据-取费表'!C42),0)</f>
        <v>9856</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2259</v>
      </c>
      <c r="C73" s="207">
        <f ca="1">C74+C78</f>
        <v>59</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179" t="s">
        <v>2266</v>
      </c>
      <c r="F76" s="3178"/>
      <c r="G76" s="3178"/>
      <c r="H76" s="318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6" t="s">
        <v>2269</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59</v>
      </c>
      <c r="D78" s="226">
        <f>'数据-取费表'!B43</f>
        <v>6.000000000000001E-3</v>
      </c>
      <c r="E78" s="3170" t="s">
        <v>2271</v>
      </c>
      <c r="F78" s="3171"/>
      <c r="G78" s="3171"/>
      <c r="H78" s="317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2272</v>
      </c>
      <c r="C79" s="207">
        <f ca="1">C72-C73</f>
        <v>9797</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f ca="1">IF(C79&lt;=0,0,C79/C73)</f>
        <v>166.05084745762713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2274</v>
      </c>
      <c r="C81" s="228">
        <f ca="1">ROUND(IF(C79&lt;=0,0,IF(C80&gt;=200%,C79*60%-C73*35%,IF(C80&gt;=100%,C79*50%-C73*15%,IF(C80&gt;=50%,C79*40%-C73*5%,IF(C80&lt;50%,C79*30%,0))))),0)</f>
        <v>5858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82" t="s">
        <v>2275</v>
      </c>
      <c r="B83" s="3183"/>
      <c r="C83" s="3183"/>
      <c r="D83" s="3183"/>
      <c r="E83" s="3183"/>
      <c r="F83" s="3183"/>
      <c r="G83" s="3183"/>
      <c r="H83" s="318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73" t="s">
        <v>2238</v>
      </c>
      <c r="B84" s="3174"/>
      <c r="C84" s="1804"/>
      <c r="D84" s="1804"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2258</v>
      </c>
      <c r="C85" s="207">
        <f ca="1">ROUND(D45/(1+'数据-取费表'!C42),0)</f>
        <v>9856</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2259</v>
      </c>
      <c r="C86" s="207">
        <f ca="1">IF(H88="仅含出让金",C87+C90+C91+C92+C93+C94,C87+C91+C92+C93+C94)</f>
        <v>59</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2276</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2277</v>
      </c>
      <c r="C88" s="236"/>
      <c r="D88" s="226"/>
      <c r="E88" s="237" t="s">
        <v>2278</v>
      </c>
      <c r="F88" s="1800"/>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2267</v>
      </c>
      <c r="C89" s="225">
        <f>ROUND(C88*D89,0)</f>
        <v>0</v>
      </c>
      <c r="D89" s="226">
        <f>'数据-取费表'!B48+'数据-取费表'!B49</f>
        <v>3.0499999999999999E-2</v>
      </c>
      <c r="E89" s="237" t="s">
        <v>2280</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2281</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170" t="s">
        <v>2284</v>
      </c>
      <c r="F91" s="3171"/>
      <c r="G91" s="3171"/>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170" t="s">
        <v>2288</v>
      </c>
      <c r="F92" s="3171"/>
      <c r="G92" s="3171"/>
      <c r="H92" s="317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59</v>
      </c>
      <c r="D93" s="226">
        <f>'数据-取费表'!B43</f>
        <v>6.000000000000001E-3</v>
      </c>
      <c r="E93" s="3170" t="s">
        <v>2271</v>
      </c>
      <c r="F93" s="3171"/>
      <c r="G93" s="3171"/>
      <c r="H93" s="317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218" t="s">
        <v>2292</v>
      </c>
      <c r="F94" s="3219"/>
      <c r="G94" s="3219"/>
      <c r="H94" s="322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2272</v>
      </c>
      <c r="C95" s="207">
        <f ca="1">ROUND(C85-C86,0)</f>
        <v>9797</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f ca="1">IF(C95&lt;=0,0,C95/C86)</f>
        <v>166.05084745762713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2274</v>
      </c>
      <c r="C97" s="228">
        <f ca="1">ROUND(IF(C95&lt;=0,0,IF(C96&gt;=200%,C95*60%-C86*35%,IF(C96&gt;=100%,C95*50%-C86*15%,IF(C96&gt;=50%,C95*40%-C86*5%,IF(C96&lt;50%,C95*30%,0))))),0)</f>
        <v>5858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2293</v>
      </c>
      <c r="B99" s="2421"/>
      <c r="C99" s="2421"/>
      <c r="D99" s="2421"/>
      <c r="E99" s="2168"/>
      <c r="F99" s="2168"/>
      <c r="G99" s="2168"/>
      <c r="H99" s="2167"/>
      <c r="I99" s="138"/>
    </row>
    <row r="100" spans="1:35" ht="18.75" customHeight="1">
      <c r="A100" s="3114" t="s">
        <v>2294</v>
      </c>
      <c r="B100" s="3115"/>
      <c r="C100" s="3115"/>
      <c r="D100" s="3154"/>
      <c r="E100" s="3115" t="s">
        <v>2295</v>
      </c>
      <c r="F100" s="3115"/>
      <c r="G100" s="3115"/>
      <c r="H100" s="3154"/>
      <c r="I100" s="138"/>
    </row>
    <row r="101" spans="1:35" ht="18.75" customHeight="1">
      <c r="A101" s="3162" t="s">
        <v>2296</v>
      </c>
      <c r="B101" s="3163"/>
      <c r="C101" s="736" t="str">
        <f>C4</f>
        <v>成本法</v>
      </c>
      <c r="D101" s="737" t="str">
        <f>D4</f>
        <v>收益法</v>
      </c>
      <c r="E101" s="3134" t="s">
        <v>2297</v>
      </c>
      <c r="F101" s="3135"/>
      <c r="G101" s="2523" t="s">
        <v>2298</v>
      </c>
      <c r="H101" s="1048">
        <f ca="1">H118</f>
        <v>10349</v>
      </c>
      <c r="I101" s="138"/>
    </row>
    <row r="102" spans="1:35" ht="18.75" customHeight="1">
      <c r="A102" s="3164" t="s">
        <v>2299</v>
      </c>
      <c r="B102" s="2523" t="s">
        <v>2298</v>
      </c>
      <c r="C102" s="736">
        <f ca="1">C19</f>
        <v>7722</v>
      </c>
      <c r="D102" s="737">
        <f ca="1">D19</f>
        <v>12100</v>
      </c>
      <c r="E102" s="3134"/>
      <c r="F102" s="3135"/>
      <c r="G102" s="2523" t="s">
        <v>2300</v>
      </c>
      <c r="H102" s="371">
        <f ca="1">I118</f>
        <v>36128</v>
      </c>
      <c r="I102" s="138"/>
    </row>
    <row r="103" spans="1:35" ht="42.75" customHeight="1">
      <c r="A103" s="3164"/>
      <c r="B103" s="2523" t="s">
        <v>2300</v>
      </c>
      <c r="C103" s="738">
        <f ca="1">C20</f>
        <v>26958</v>
      </c>
      <c r="D103" s="739">
        <f ca="1">D20</f>
        <v>42241</v>
      </c>
      <c r="E103" s="3128" t="s">
        <v>2301</v>
      </c>
      <c r="F103" s="3129"/>
      <c r="G103" s="2524" t="s">
        <v>2302</v>
      </c>
      <c r="H103" s="1048">
        <f>IF(D36="正常操作",H104+H105+H106,H105+H106)</f>
        <v>0</v>
      </c>
      <c r="I103" s="138"/>
    </row>
    <row r="104" spans="1:35" ht="18.75" customHeight="1">
      <c r="A104" s="3164" t="s">
        <v>2303</v>
      </c>
      <c r="B104" s="2525" t="s">
        <v>2298</v>
      </c>
      <c r="C104" s="740">
        <f ca="1">H118</f>
        <v>10349</v>
      </c>
      <c r="D104" s="741"/>
      <c r="E104" s="2269" t="s">
        <v>2304</v>
      </c>
      <c r="F104" s="2260"/>
      <c r="G104" s="2524" t="s">
        <v>2302</v>
      </c>
      <c r="H104" s="1049">
        <f>IF(D36="同一抵押权人同一抵押物续贷",C36&amp;"（未扣减，详见特别提示）",C36)</f>
        <v>0</v>
      </c>
      <c r="I104" s="138"/>
    </row>
    <row r="105" spans="1:35" ht="18.75" customHeight="1" thickBot="1">
      <c r="A105" s="3176"/>
      <c r="B105" s="2526" t="s">
        <v>2300</v>
      </c>
      <c r="C105" s="742">
        <f ca="1">I118</f>
        <v>36128</v>
      </c>
      <c r="D105" s="743"/>
      <c r="E105" s="2269" t="s">
        <v>2305</v>
      </c>
      <c r="F105" s="2260"/>
      <c r="G105" s="2524" t="s">
        <v>2302</v>
      </c>
      <c r="H105" s="1049">
        <f>C37</f>
        <v>0</v>
      </c>
      <c r="I105" s="138"/>
    </row>
    <row r="106" spans="1:35" ht="18.75" customHeight="1">
      <c r="A106" s="2421" t="s">
        <v>2306</v>
      </c>
      <c r="B106" s="2421"/>
      <c r="C106" s="2421"/>
      <c r="D106" s="2421"/>
      <c r="E106" s="2527" t="s">
        <v>2307</v>
      </c>
      <c r="F106" s="2260"/>
      <c r="G106" s="2524" t="s">
        <v>2302</v>
      </c>
      <c r="H106" s="1049">
        <f>C38</f>
        <v>0</v>
      </c>
      <c r="I106" s="138"/>
    </row>
    <row r="107" spans="1:35" ht="18.75" customHeight="1">
      <c r="A107" s="138"/>
      <c r="B107" s="138"/>
      <c r="C107" s="138"/>
      <c r="D107" s="138"/>
      <c r="E107" s="3165" t="str">
        <f>IF(项目基本情况!E8="已注销","——","3.房地产抵押价值")</f>
        <v>3.房地产抵押价值</v>
      </c>
      <c r="F107" s="3135"/>
      <c r="G107" s="2523" t="s">
        <v>2298</v>
      </c>
      <c r="H107" s="1048">
        <f ca="1">IF(E107="——","——",H101-H103)</f>
        <v>10349</v>
      </c>
      <c r="I107" s="138"/>
    </row>
    <row r="108" spans="1:35" ht="18.75" customHeight="1">
      <c r="A108" s="138"/>
      <c r="B108" s="138"/>
      <c r="C108" s="138"/>
      <c r="D108" s="138"/>
      <c r="E108" s="3165"/>
      <c r="F108" s="3135"/>
      <c r="G108" s="2523" t="s">
        <v>2300</v>
      </c>
      <c r="H108" s="371">
        <f ca="1">ROUND(H107*10000/'数据-汇总表'!E3,0)</f>
        <v>36128</v>
      </c>
      <c r="I108" s="138"/>
    </row>
    <row r="109" spans="1:35" ht="18.75" customHeight="1">
      <c r="A109" s="138"/>
      <c r="B109" s="138"/>
      <c r="C109" s="138"/>
      <c r="D109" s="138"/>
      <c r="E109" s="3165" t="str">
        <f>IF(项目基本情况!E8="已注销及未注销","4.抵押担保权已注销时的房地产抵押价值",IF(项目基本情况!E8="已注销","3.抵押担保权已注销时的房地产抵押价值","——"))</f>
        <v>——</v>
      </c>
      <c r="F109" s="3135"/>
      <c r="G109" s="2523" t="s">
        <v>2298</v>
      </c>
      <c r="H109" s="348" t="str">
        <f>IF(E109="——","——",H101-H105-H106)</f>
        <v>——</v>
      </c>
      <c r="I109" s="138"/>
    </row>
    <row r="110" spans="1:35" ht="18.75" customHeight="1">
      <c r="A110" s="138"/>
      <c r="B110" s="138"/>
      <c r="C110" s="138"/>
      <c r="D110" s="138"/>
      <c r="E110" s="3165"/>
      <c r="F110" s="3135"/>
      <c r="G110" s="2523" t="s">
        <v>2300</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23" t="s">
        <v>2298</v>
      </c>
      <c r="H111" s="1048" t="str">
        <f>IF(E111="——","——",N59)</f>
        <v>——</v>
      </c>
      <c r="I111" s="138"/>
    </row>
    <row r="112" spans="1:35" ht="18.75" customHeight="1" thickBot="1">
      <c r="A112" s="138"/>
      <c r="B112" s="138"/>
      <c r="C112" s="138"/>
      <c r="D112" s="138"/>
      <c r="E112" s="3168"/>
      <c r="F112" s="3169"/>
      <c r="G112" s="2528" t="s">
        <v>2300</v>
      </c>
      <c r="H112" s="790" t="str">
        <f>IF(E111="——","——",N61)</f>
        <v>——</v>
      </c>
      <c r="I112" s="138"/>
    </row>
    <row r="113" spans="1:11" ht="18.75" customHeight="1">
      <c r="A113" s="138"/>
      <c r="B113" s="138"/>
      <c r="C113" s="138"/>
      <c r="D113" s="138"/>
      <c r="E113" s="3177" t="s">
        <v>2306</v>
      </c>
      <c r="F113" s="3177"/>
      <c r="G113" s="3177"/>
      <c r="H113" s="3177"/>
      <c r="I113" s="138"/>
    </row>
    <row r="114" spans="1:11" ht="3.75" customHeight="1">
      <c r="A114" s="2421"/>
      <c r="B114" s="2421"/>
      <c r="C114" s="2421"/>
      <c r="D114" s="2421"/>
      <c r="E114" s="2499"/>
      <c r="F114" s="2499"/>
      <c r="G114" s="2499"/>
      <c r="H114" s="2499"/>
      <c r="I114" s="2421"/>
    </row>
    <row r="115" spans="1:11" ht="18.75" customHeight="1">
      <c r="A115" s="3190" t="s">
        <v>2308</v>
      </c>
      <c r="B115" s="3191"/>
      <c r="C115" s="3191"/>
      <c r="D115" s="3191"/>
      <c r="E115" s="3191"/>
      <c r="F115" s="3191"/>
      <c r="G115" s="3191"/>
      <c r="H115" s="3191"/>
      <c r="I115" s="3192"/>
    </row>
    <row r="116" spans="1:11" ht="27" customHeight="1">
      <c r="A116" s="3080" t="s">
        <v>2309</v>
      </c>
      <c r="B116" s="3144" t="s">
        <v>2310</v>
      </c>
      <c r="C116" s="3144" t="s">
        <v>2311</v>
      </c>
      <c r="D116" s="3150" t="s">
        <v>2312</v>
      </c>
      <c r="E116" s="3151"/>
      <c r="F116" s="3186" t="s">
        <v>2313</v>
      </c>
      <c r="G116" s="3186"/>
      <c r="H116" s="3080" t="s">
        <v>2314</v>
      </c>
      <c r="I116" s="3080"/>
    </row>
    <row r="117" spans="1:11" ht="18.75" customHeight="1">
      <c r="A117" s="3080"/>
      <c r="B117" s="3145"/>
      <c r="C117" s="3145"/>
      <c r="D117" s="1798" t="s">
        <v>2315</v>
      </c>
      <c r="E117" s="1798" t="s">
        <v>2316</v>
      </c>
      <c r="F117" s="1798" t="s">
        <v>2315</v>
      </c>
      <c r="G117" s="1798" t="s">
        <v>2317</v>
      </c>
      <c r="H117" s="1798" t="s">
        <v>2315</v>
      </c>
      <c r="I117" s="1798" t="s">
        <v>2317</v>
      </c>
    </row>
    <row r="118" spans="1:11" ht="24.75" customHeight="1">
      <c r="A118" s="2529" t="str">
        <f>项目基本情况!S2</f>
        <v>北京市朝阳区郎家园6号[3-2]1幢等7幢房地产</v>
      </c>
      <c r="B118" s="1798">
        <f>M18</f>
        <v>2864.5</v>
      </c>
      <c r="C118" s="1798">
        <f>M19</f>
        <v>4638.1000000000004</v>
      </c>
      <c r="D118" s="1798">
        <f ca="1">ROUND(IF(D32="总价",C34,E118*B118/10000),0)</f>
        <v>9055</v>
      </c>
      <c r="E118" s="1798">
        <f ca="1">ROUND(IF(C33="自定义",IF(D32="楼面单价",C34,D118*10000/B118),I118-G118),0)</f>
        <v>31611</v>
      </c>
      <c r="F118" s="1798">
        <f ca="1">ROUND(IF(D32="总价",C35,G118*B118/10000),0)</f>
        <v>1294</v>
      </c>
      <c r="G118" s="1798">
        <f ca="1">ROUND(IF(D32="楼面单价",C35,F118*10000/B118),0)</f>
        <v>4517</v>
      </c>
      <c r="H118" s="1798">
        <f ca="1">ROUND(IF(D32="总价",C32,I118*B118/10000),0)</f>
        <v>10349</v>
      </c>
      <c r="I118" s="1798">
        <f ca="1">ROUND(IF(D32="楼面单价",C32,H118*10000/B118),0)</f>
        <v>36128</v>
      </c>
    </row>
    <row r="119" spans="1:11" ht="18.75" customHeight="1">
      <c r="A119" s="3080" t="s">
        <v>2318</v>
      </c>
      <c r="B119" s="3080"/>
      <c r="C119" s="3080"/>
      <c r="D119" s="3146" t="str">
        <f ca="1">NUMBERSTRING(INT(D118*10000),2)&amp;"元整"</f>
        <v>玖仟零伍拾伍万元整</v>
      </c>
      <c r="E119" s="3147"/>
      <c r="F119" s="3146" t="str">
        <f ca="1">NUMBERSTRING(INT(F118*10000),2)&amp;"元整"</f>
        <v>壹仟贰佰玖拾肆万元整</v>
      </c>
      <c r="G119" s="3147"/>
      <c r="H119" s="3146" t="str">
        <f ca="1">NUMBERSTRING(INT(H118*10000),2)&amp;"元整"</f>
        <v>壹亿零叁佰肆拾玖万元整</v>
      </c>
      <c r="I119" s="3147"/>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6" t="str">
        <f>IF(D120=0,"故，本次评估不存在"&amp;A120,"故，本次评估"&amp;A120&amp;"为人民币"&amp;D120&amp;"万元整。")</f>
        <v>故，本次评估不存在估价师知悉的法定优先受偿款</v>
      </c>
    </row>
    <row r="121" spans="1:11" ht="18.75" customHeight="1">
      <c r="A121" s="3187" t="s">
        <v>2318</v>
      </c>
      <c r="B121" s="3188"/>
      <c r="C121" s="3189"/>
      <c r="D121" s="3146" t="str">
        <f>IF(D120=0,"零元整",NUMBERSTRING(INT(D120*10000),2)&amp;"元整")</f>
        <v>零元整</v>
      </c>
      <c r="E121" s="3148"/>
      <c r="F121" s="3148"/>
      <c r="G121" s="3148"/>
      <c r="H121" s="3148"/>
      <c r="I121" s="3147"/>
    </row>
    <row r="122" spans="1:11" ht="18.75" customHeight="1">
      <c r="A122" s="3152" t="str">
        <f>IF(项目基本情况!B9="房地产市场价值","",MID(E107,3,LEN(E107)-2))</f>
        <v>房地产抵押价值</v>
      </c>
      <c r="B122" s="3152"/>
      <c r="C122" s="3152"/>
      <c r="D122" s="3141">
        <f ca="1">H107</f>
        <v>10349</v>
      </c>
      <c r="E122" s="3142"/>
      <c r="F122" s="3142"/>
      <c r="G122" s="3142"/>
      <c r="H122" s="3142"/>
      <c r="I122" s="3143"/>
    </row>
    <row r="123" spans="1:11" ht="18.75" customHeight="1">
      <c r="A123" s="3080" t="s">
        <v>2318</v>
      </c>
      <c r="B123" s="3080"/>
      <c r="C123" s="3080"/>
      <c r="D123" s="3146" t="str">
        <f ca="1">NUMBERSTRING(INT(D122*10000),2)&amp;"元整"</f>
        <v>壹亿零叁佰肆拾玖万元整</v>
      </c>
      <c r="E123" s="3148"/>
      <c r="F123" s="3148"/>
      <c r="G123" s="3148"/>
      <c r="H123" s="3148"/>
      <c r="I123" s="3147"/>
    </row>
    <row r="124" spans="1:11" ht="18.75" customHeight="1">
      <c r="A124" s="3152" t="str">
        <f>IF(项目基本情况!B9="房地产市场价值","",MID(E109,3,LEN(E109)-2))</f>
        <v/>
      </c>
      <c r="B124" s="3152"/>
      <c r="C124" s="3152"/>
      <c r="D124" s="3141" t="str">
        <f>H109</f>
        <v>——</v>
      </c>
      <c r="E124" s="3142"/>
      <c r="F124" s="3142"/>
      <c r="G124" s="3142"/>
      <c r="H124" s="3142"/>
      <c r="I124" s="3143"/>
    </row>
    <row r="125" spans="1:11" ht="18.75" customHeight="1">
      <c r="A125" s="3080" t="s">
        <v>2318</v>
      </c>
      <c r="B125" s="3080"/>
      <c r="C125" s="3080"/>
      <c r="D125" s="3146" t="e">
        <f>NUMBERSTRING(INT(D124*10000),2)&amp;"元整"</f>
        <v>#VALUE!</v>
      </c>
      <c r="E125" s="3148"/>
      <c r="F125" s="3148"/>
      <c r="G125" s="3148"/>
      <c r="H125" s="3148"/>
      <c r="I125" s="3147"/>
    </row>
    <row r="126" spans="1:11" ht="18.75" customHeight="1">
      <c r="A126" s="3152" t="str">
        <f>IF(项目基本情况!B9="房地产市场价值","",MID(E111,3,LEN(E111)-2))</f>
        <v/>
      </c>
      <c r="B126" s="3152"/>
      <c r="C126" s="3152"/>
      <c r="D126" s="3141" t="str">
        <f>H111</f>
        <v>——</v>
      </c>
      <c r="E126" s="3142"/>
      <c r="F126" s="3142"/>
      <c r="G126" s="3142"/>
      <c r="H126" s="3142"/>
      <c r="I126" s="3143"/>
    </row>
    <row r="127" spans="1:11" ht="18.75" customHeight="1">
      <c r="A127" s="3080" t="s">
        <v>2318</v>
      </c>
      <c r="B127" s="3080"/>
      <c r="C127" s="3080"/>
      <c r="D127" s="3146" t="e">
        <f>NUMBERSTRING(INT(D126*10000),2)&amp;"元整"</f>
        <v>#VALUE!</v>
      </c>
      <c r="E127" s="3148"/>
      <c r="F127" s="3148"/>
      <c r="G127" s="3148"/>
      <c r="H127" s="3148"/>
      <c r="I127" s="3147"/>
    </row>
    <row r="128" spans="1:11" ht="21.75" customHeight="1">
      <c r="A128" s="3149" t="s">
        <v>2319</v>
      </c>
      <c r="B128" s="3149"/>
      <c r="C128" s="3149"/>
      <c r="D128" s="3149"/>
      <c r="E128" s="3149"/>
      <c r="F128" s="3149"/>
      <c r="G128" s="3149"/>
      <c r="H128" s="3149"/>
      <c r="I128" s="3149"/>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6" orientation="portrait" r:id="rId1"/>
  <rowBreaks count="3" manualBreakCount="3">
    <brk id="43" max="8" man="1"/>
    <brk id="97" max="8" man="1"/>
    <brk id="142" max="8"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I57"/>
  <sheetViews>
    <sheetView topLeftCell="A10" workbookViewId="0">
      <selection activeCell="G39" sqref="G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7722</v>
      </c>
      <c r="C2" s="243" t="s">
        <v>2329</v>
      </c>
      <c r="D2" s="2552" t="s">
        <v>70</v>
      </c>
      <c r="E2" s="1443" t="e">
        <f ca="1">SUMIF(INDIRECT("'"&amp;G2&amp;"'"&amp;"!A:A"),"承租人权益价值",INDIRECT("'"&amp;G2&amp;"'"&amp;"!c:c"))</f>
        <v>#REF!</v>
      </c>
      <c r="F2" s="2553" t="s">
        <v>2329</v>
      </c>
      <c r="G2" s="2554"/>
    </row>
    <row r="3" spans="1:9" s="244" customFormat="1" ht="18" customHeight="1" thickBot="1">
      <c r="A3" s="247" t="s">
        <v>2330</v>
      </c>
      <c r="B3" s="248">
        <f ca="1">ROUND(B2*10000/(IF(B1="",'数据-汇总表'!E3,INDIRECT("'数据-取费表'!k"&amp;$G$1))),0)</f>
        <v>26958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4552</v>
      </c>
      <c r="D5" s="255" t="s">
        <v>2335</v>
      </c>
      <c r="E5" s="256" t="s">
        <v>2336</v>
      </c>
      <c r="F5" s="256" t="s">
        <v>2337</v>
      </c>
      <c r="G5" s="257"/>
    </row>
    <row r="6" spans="1:9" s="258" customFormat="1" ht="13.5" customHeight="1">
      <c r="A6" s="952" t="s">
        <v>2338</v>
      </c>
      <c r="B6" s="259" t="s">
        <v>2339</v>
      </c>
      <c r="C6" s="260">
        <f ca="1">基准地价修正!B2</f>
        <v>4362</v>
      </c>
      <c r="D6" s="261"/>
      <c r="E6" s="262"/>
      <c r="F6" s="262"/>
      <c r="G6" s="263"/>
    </row>
    <row r="7" spans="1:9" s="258" customFormat="1" ht="13.5" customHeight="1">
      <c r="A7" s="952" t="s">
        <v>2340</v>
      </c>
      <c r="B7" s="259" t="s">
        <v>2341</v>
      </c>
      <c r="C7" s="264">
        <f ca="1">ROUND(C6*F7,0)</f>
        <v>133</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57</v>
      </c>
      <c r="D8" s="266"/>
      <c r="E8" s="264"/>
      <c r="F8" s="265"/>
      <c r="G8" s="2555" t="s">
        <v>3183</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160</v>
      </c>
      <c r="F9" s="265"/>
      <c r="G9" s="2556"/>
      <c r="H9" s="1393"/>
      <c r="I9" s="2557" t="s">
        <v>2345</v>
      </c>
    </row>
    <row r="10" spans="1:9" s="258" customFormat="1" ht="13.5" customHeight="1">
      <c r="A10" s="953" t="s">
        <v>801</v>
      </c>
      <c r="B10" s="268" t="s">
        <v>2346</v>
      </c>
      <c r="C10" s="269">
        <f ca="1">ROUND(D10*E10/10000,0)</f>
        <v>57</v>
      </c>
      <c r="D10" s="1035">
        <f ca="1">IF(B1="",'数据-汇总表'!E6,IF(INDIRECT("'数据-取费表'!c"&amp;$G$1)="住宅",INDIRECT("'数据-取费表'!s"&amp;$G$1),INDIRECT("'数据-取费表'!k"&amp;$G$1)+INDIRECT("'数据-取费表'!s"&amp;$G$1)))</f>
        <v>2864.5</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2864.5</v>
      </c>
      <c r="E19" s="255">
        <f>'数据-取费表'!B31</f>
        <v>200</v>
      </c>
      <c r="F19" s="275"/>
      <c r="G19" s="2555" t="s">
        <v>3184</v>
      </c>
    </row>
    <row r="20" spans="1:7" s="258" customFormat="1" ht="13.5" customHeight="1">
      <c r="A20" s="299" t="s">
        <v>2359</v>
      </c>
      <c r="B20" s="254" t="s">
        <v>2360</v>
      </c>
      <c r="C20" s="276">
        <f ca="1">ROUND((C5+C19)*F20,0)</f>
        <v>91</v>
      </c>
      <c r="D20" s="276"/>
      <c r="E20" s="276"/>
      <c r="F20" s="277">
        <f>'数据-取费表'!B37</f>
        <v>0.02</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331</v>
      </c>
      <c r="D22" s="279">
        <f ca="1">C26</f>
        <v>1.1000000000000001E-3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328</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3</v>
      </c>
      <c r="D25" s="282"/>
      <c r="E25" s="285"/>
      <c r="F25" s="283"/>
      <c r="G25" s="286" t="s">
        <v>2376</v>
      </c>
    </row>
    <row r="26" spans="1:7" s="258" customFormat="1">
      <c r="A26" s="954" t="s">
        <v>795</v>
      </c>
      <c r="B26" s="259" t="s">
        <v>2377</v>
      </c>
      <c r="C26" s="282">
        <f ca="1">ROUND(IF('数据-取费表'!B22&lt;=1,F21*F22*'数据-取费表'!B23/2,F21*(POWER((1+F22),'数据-取费表'!B23/2)-1)),4)</f>
        <v>1.1000000000000001E-3</v>
      </c>
      <c r="D26" s="282"/>
      <c r="E26" s="285"/>
      <c r="F26" s="283"/>
      <c r="G26" s="287"/>
    </row>
    <row r="27" spans="1:7" s="258" customFormat="1" ht="24.75">
      <c r="A27" s="299" t="s">
        <v>2378</v>
      </c>
      <c r="B27" s="288" t="s">
        <v>2379</v>
      </c>
      <c r="C27" s="289">
        <f ca="1">C28</f>
        <v>1161</v>
      </c>
      <c r="D27" s="279">
        <f ca="1">C29</f>
        <v>7.4999999999999997E-3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1161</v>
      </c>
      <c r="D28" s="279"/>
      <c r="E28" s="280"/>
      <c r="F28" s="290"/>
      <c r="G28" s="291"/>
    </row>
    <row r="29" spans="1:7" s="258" customFormat="1" ht="13.5" customHeight="1">
      <c r="A29" s="954" t="s">
        <v>792</v>
      </c>
      <c r="B29" s="292" t="s">
        <v>2383</v>
      </c>
      <c r="C29" s="282">
        <f ca="1">ROUND(C21*F27*'数据-取费表'!B21/'数据-取费表'!B20,4)</f>
        <v>7.4999999999999997E-3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6756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955</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859</v>
      </c>
      <c r="D34" s="261"/>
      <c r="E34" s="264"/>
      <c r="F34" s="301">
        <f ca="1">IF('数据-取费表'!B24=0,1,IF(B1="",'数据-取费表'!N16,INDIRECT("'数据-取费表'!n"&amp;$G$1)))</f>
        <v>1</v>
      </c>
      <c r="G34" s="263" t="s">
        <v>2392</v>
      </c>
    </row>
    <row r="35" spans="1:7" ht="13.5" customHeight="1">
      <c r="A35" s="954" t="s">
        <v>796</v>
      </c>
      <c r="B35" s="259" t="s">
        <v>2393</v>
      </c>
      <c r="C35" s="264">
        <f ca="1">ROUND(C34*F35,0)</f>
        <v>26</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57</v>
      </c>
      <c r="D37" s="261">
        <f ca="1">D19</f>
        <v>2864.5</v>
      </c>
      <c r="E37" s="293">
        <f>'数据-取费表'!B35</f>
        <v>200</v>
      </c>
      <c r="F37" s="303"/>
      <c r="G37" s="305" t="s">
        <v>2398</v>
      </c>
    </row>
    <row r="38" spans="1:7" ht="13.5" customHeight="1">
      <c r="A38" s="954" t="s">
        <v>799</v>
      </c>
      <c r="B38" s="259" t="s">
        <v>2399</v>
      </c>
      <c r="C38" s="264">
        <f ca="1">ROUND(C34*F38,0)</f>
        <v>13</v>
      </c>
      <c r="D38" s="264"/>
      <c r="E38" s="264"/>
      <c r="F38" s="303">
        <f>'数据-取费表'!B36</f>
        <v>1.4999999999999999E-2</v>
      </c>
      <c r="G38" s="263" t="s">
        <v>2394</v>
      </c>
    </row>
    <row r="39" spans="1:7" s="258" customFormat="1" ht="13.5" customHeight="1">
      <c r="A39" s="299" t="s">
        <v>2400</v>
      </c>
      <c r="B39" s="254" t="s">
        <v>2401</v>
      </c>
      <c r="C39" s="276">
        <f ca="1">ROUND(C33*F20,0)</f>
        <v>19</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35</v>
      </c>
      <c r="D41" s="279">
        <f ca="1">C44</f>
        <v>1.1000000000000001E-3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34</v>
      </c>
      <c r="D42" s="282"/>
      <c r="E42" s="282"/>
      <c r="F42" s="283"/>
      <c r="G42" s="3221" t="s">
        <v>2410</v>
      </c>
    </row>
    <row r="43" spans="1:7" ht="13.5" customHeight="1">
      <c r="A43" s="954" t="s">
        <v>792</v>
      </c>
      <c r="B43" s="259" t="s">
        <v>2411</v>
      </c>
      <c r="C43" s="282">
        <f ca="1">ROUND(IF('数据-取费表'!B22&lt;=1,C39*F22*'数据-取费表'!B21/2,C39*(POWER((1+F22),'数据-取费表'!B21/2)-1)),0)</f>
        <v>1</v>
      </c>
      <c r="D43" s="282"/>
      <c r="E43" s="282"/>
      <c r="F43" s="283"/>
      <c r="G43" s="3222"/>
    </row>
    <row r="44" spans="1:7" ht="13.5" customHeight="1">
      <c r="A44" s="954" t="s">
        <v>793</v>
      </c>
      <c r="B44" s="259" t="s">
        <v>2412</v>
      </c>
      <c r="C44" s="282">
        <f ca="1">ROUND(IF('数据-取费表'!B22&lt;=1,C40*F22*'数据-取费表'!B21/2,C40*(POWER((1+F22),'数据-取费表'!B21/2)-1)),4)</f>
        <v>1.1000000000000001E-3</v>
      </c>
      <c r="D44" s="282"/>
      <c r="E44" s="282"/>
      <c r="F44" s="283"/>
      <c r="G44" s="3223"/>
    </row>
    <row r="45" spans="1:7" s="258" customFormat="1" ht="13.5" customHeight="1">
      <c r="A45" s="299" t="s">
        <v>2413</v>
      </c>
      <c r="B45" s="288" t="s">
        <v>2379</v>
      </c>
      <c r="C45" s="289">
        <f ca="1">C46</f>
        <v>244</v>
      </c>
      <c r="D45" s="279">
        <f ca="1">C47</f>
        <v>7.4999999999999997E-3</v>
      </c>
      <c r="E45" s="280" t="s">
        <v>2405</v>
      </c>
      <c r="F45" s="290"/>
      <c r="G45" s="291" t="s">
        <v>2414</v>
      </c>
    </row>
    <row r="46" spans="1:7" s="258" customFormat="1" ht="13.5" customHeight="1">
      <c r="A46" s="954" t="s">
        <v>791</v>
      </c>
      <c r="B46" s="292" t="s">
        <v>2415</v>
      </c>
      <c r="C46" s="293">
        <f ca="1">ROUND((C33+C39)*F27,0)</f>
        <v>244</v>
      </c>
      <c r="D46" s="307"/>
      <c r="E46" s="280"/>
      <c r="F46" s="290"/>
      <c r="G46" s="291"/>
    </row>
    <row r="47" spans="1:7" s="258" customFormat="1" ht="13.5" customHeight="1">
      <c r="A47" s="954" t="s">
        <v>792</v>
      </c>
      <c r="B47" s="292" t="s">
        <v>2416</v>
      </c>
      <c r="C47" s="282">
        <f ca="1">ROUND(C40*F27,4)</f>
        <v>7.4999999999999997E-3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1380</v>
      </c>
      <c r="D49" s="276"/>
      <c r="E49" s="276"/>
      <c r="F49" s="308"/>
      <c r="G49" s="278" t="s">
        <v>2420</v>
      </c>
    </row>
    <row r="50" spans="1:7" s="302" customFormat="1" ht="24">
      <c r="A50" s="299" t="s">
        <v>2421</v>
      </c>
      <c r="B50" s="254" t="s">
        <v>2422</v>
      </c>
      <c r="C50" s="276"/>
      <c r="D50" s="276"/>
      <c r="E50" s="276"/>
      <c r="F50" s="308">
        <f>IF('数据-取费表'!B24=0,'数据-取费表'!N16,1)</f>
        <v>0.7</v>
      </c>
      <c r="G50" s="291" t="s">
        <v>2423</v>
      </c>
    </row>
    <row r="51" spans="1:7" ht="16.5" customHeight="1">
      <c r="A51" s="299" t="s">
        <v>2424</v>
      </c>
      <c r="B51" s="254" t="s">
        <v>2425</v>
      </c>
      <c r="C51" s="276">
        <f ca="1">ROUND(C49*F50,0)</f>
        <v>966</v>
      </c>
      <c r="D51" s="276"/>
      <c r="E51" s="276"/>
      <c r="F51" s="308"/>
      <c r="G51" s="278" t="s">
        <v>2426</v>
      </c>
    </row>
    <row r="52" spans="1:7" s="252" customFormat="1" ht="16.5" thickBot="1">
      <c r="A52" s="309" t="s">
        <v>2427</v>
      </c>
      <c r="B52" s="310"/>
      <c r="C52" s="311">
        <f ca="1">C31+C51</f>
        <v>7722</v>
      </c>
      <c r="D52" s="310"/>
      <c r="E52" s="310"/>
      <c r="F52" s="310"/>
      <c r="G52" s="312"/>
    </row>
    <row r="55" spans="1:7" ht="15">
      <c r="B55" s="314" t="s">
        <v>2428</v>
      </c>
      <c r="C55" s="315"/>
    </row>
    <row r="56" spans="1:7">
      <c r="B56" s="317" t="s">
        <v>1513</v>
      </c>
      <c r="C56" s="319">
        <f ca="1">1-C57</f>
        <v>0.875</v>
      </c>
    </row>
    <row r="57" spans="1:7">
      <c r="B57" s="317" t="s">
        <v>1514</v>
      </c>
      <c r="C57" s="318">
        <f ca="1">ROUND(C51/C52,3)</f>
        <v>0.125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8"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1136</v>
      </c>
      <c r="C2" s="243" t="s">
        <v>2329</v>
      </c>
      <c r="D2" s="2552" t="s">
        <v>70</v>
      </c>
      <c r="E2" s="1443" t="e">
        <f ca="1">SUMIF(INDIRECT("'"&amp;G2&amp;"'"&amp;"!A:A"),"承租人权益价值",INDIRECT("'"&amp;G2&amp;"'"&amp;"!c:c"))</f>
        <v>#REF!</v>
      </c>
      <c r="F2" s="2553" t="s">
        <v>2329</v>
      </c>
      <c r="G2" s="2554"/>
    </row>
    <row r="3" spans="1:8" s="244" customFormat="1" ht="18" customHeight="1" thickBot="1">
      <c r="A3" s="247" t="s">
        <v>2330</v>
      </c>
      <c r="B3" s="248">
        <f ca="1">ROUND(B2*10000/(IF(B1="",'数据-汇总表'!E3,INDIRECT("'数据-取费表'!k"&amp;$G$1))),0)</f>
        <v>3966</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572900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572900</v>
      </c>
      <c r="D8" s="266"/>
      <c r="E8" s="264"/>
      <c r="F8" s="265"/>
      <c r="G8" s="2555"/>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2346</v>
      </c>
      <c r="C10" s="269">
        <f ca="1">ROUND(D10*E10,0)</f>
        <v>572900</v>
      </c>
      <c r="D10" s="1035">
        <f ca="1">IF(B1="",'数据-汇总表'!E6,IF(INDIRECT("'数据-取费表'!c"&amp;$G$1)="住宅",INDIRECT("'数据-取费表'!s"&amp;$G$1),INDIRECT("'数据-取费表'!k"&amp;$G$1)+INDIRECT("'数据-取费表'!s"&amp;$G$1)))</f>
        <v>2864.5</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572900</v>
      </c>
      <c r="D19" s="1039">
        <f ca="1">D9+D10</f>
        <v>2864.5</v>
      </c>
      <c r="E19" s="255">
        <f>'数据-取费表'!B31</f>
        <v>200</v>
      </c>
      <c r="F19" s="275"/>
      <c r="G19" s="2555"/>
    </row>
    <row r="20" spans="1:7" s="258" customFormat="1" ht="13.5" customHeight="1">
      <c r="A20" s="299" t="s">
        <v>2440</v>
      </c>
      <c r="B20" s="254" t="s">
        <v>2441</v>
      </c>
      <c r="C20" s="276">
        <f ca="1">ROUND((C5+C19)*F20,0)</f>
        <v>22916</v>
      </c>
      <c r="D20" s="276"/>
      <c r="E20" s="276"/>
      <c r="F20" s="277">
        <f>'数据-取费表'!B37</f>
        <v>0.02</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83412</v>
      </c>
      <c r="D22" s="279">
        <f ca="1">C26</f>
        <v>1.1000000000000001E-3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41300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41300</v>
      </c>
      <c r="D24" s="282"/>
      <c r="E24" s="282"/>
      <c r="F24" s="283"/>
      <c r="G24" s="284" t="s">
        <v>2452</v>
      </c>
    </row>
    <row r="25" spans="1:7" s="258" customFormat="1" ht="24">
      <c r="A25" s="954" t="s">
        <v>2342</v>
      </c>
      <c r="B25" s="259" t="s">
        <v>2453</v>
      </c>
      <c r="C25" s="1384">
        <f ca="1">ROUND(IF('数据-取费表'!B22&lt;=1,C20*F22*'数据-取费表'!B22/2,C20*(POWER((1+F22),'数据-取费表'!B22/2)-1)),0)</f>
        <v>812</v>
      </c>
      <c r="D25" s="282"/>
      <c r="E25" s="285"/>
      <c r="F25" s="283"/>
      <c r="G25" s="286" t="s">
        <v>2454</v>
      </c>
    </row>
    <row r="26" spans="1:7" s="258" customFormat="1">
      <c r="A26" s="954" t="s">
        <v>795</v>
      </c>
      <c r="B26" s="259" t="s">
        <v>2377</v>
      </c>
      <c r="C26" s="282">
        <f ca="1">ROUND(IF('数据-取费表'!B22&lt;=1,F21*F22*'数据-取费表'!B22/2,F21*(POWER((1+F22),'数据-取费表'!B22/2)-1)),4)</f>
        <v>1.1000000000000001E-3</v>
      </c>
      <c r="D26" s="282"/>
      <c r="E26" s="285"/>
      <c r="F26" s="283"/>
      <c r="G26" s="287"/>
    </row>
    <row r="27" spans="1:7" s="258" customFormat="1" ht="24.75">
      <c r="A27" s="299" t="s">
        <v>2378</v>
      </c>
      <c r="B27" s="288" t="s">
        <v>2379</v>
      </c>
      <c r="C27" s="289">
        <f ca="1">C28</f>
        <v>292179</v>
      </c>
      <c r="D27" s="279">
        <f ca="1">C29</f>
        <v>7.4999999999999997E-3</v>
      </c>
      <c r="E27" s="280" t="s">
        <v>2380</v>
      </c>
      <c r="F27" s="290">
        <f ca="1">IF(B1="",'数据-取费表'!Q16,INDIRECT("'数据-取费表'!q"&amp;$G$1))</f>
        <v>0.25</v>
      </c>
      <c r="G27" s="291" t="s">
        <v>2381</v>
      </c>
    </row>
    <row r="28" spans="1:7" s="258" customFormat="1" ht="13.5" customHeight="1">
      <c r="A28" s="954" t="s">
        <v>791</v>
      </c>
      <c r="B28" s="292" t="s">
        <v>2382</v>
      </c>
      <c r="C28" s="293">
        <f ca="1">ROUND((C5+C19+C20)*F27,0)</f>
        <v>292179</v>
      </c>
      <c r="D28" s="279"/>
      <c r="E28" s="280"/>
      <c r="F28" s="290"/>
      <c r="G28" s="291"/>
    </row>
    <row r="29" spans="1:7" s="258" customFormat="1" ht="13.5" customHeight="1">
      <c r="A29" s="954" t="s">
        <v>792</v>
      </c>
      <c r="B29" s="292" t="s">
        <v>2383</v>
      </c>
      <c r="C29" s="282">
        <f ca="1">ROUND(C21*F27,4)</f>
        <v>7.4999999999999997E-3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1700591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9553108</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8593500</v>
      </c>
      <c r="D34" s="261"/>
      <c r="E34" s="264"/>
      <c r="F34" s="301"/>
      <c r="G34" s="263"/>
    </row>
    <row r="35" spans="1:7" ht="13.5" customHeight="1">
      <c r="A35" s="954" t="s">
        <v>796</v>
      </c>
      <c r="B35" s="259" t="s">
        <v>2393</v>
      </c>
      <c r="C35" s="264">
        <f ca="1">ROUND(C34*F35,0)</f>
        <v>257805</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572900</v>
      </c>
      <c r="D37" s="261">
        <f ca="1">D19</f>
        <v>2864.5</v>
      </c>
      <c r="E37" s="293">
        <f>'数据-取费表'!B35</f>
        <v>200</v>
      </c>
      <c r="F37" s="303"/>
      <c r="G37" s="305"/>
    </row>
    <row r="38" spans="1:7" ht="13.5" customHeight="1">
      <c r="A38" s="954" t="s">
        <v>799</v>
      </c>
      <c r="B38" s="259" t="s">
        <v>2399</v>
      </c>
      <c r="C38" s="264">
        <f ca="1">ROUND(C34*F38,0)</f>
        <v>128903</v>
      </c>
      <c r="D38" s="264"/>
      <c r="E38" s="264"/>
      <c r="F38" s="303">
        <f>'数据-取费表'!B36</f>
        <v>1.4999999999999999E-2</v>
      </c>
      <c r="G38" s="263" t="s">
        <v>2394</v>
      </c>
    </row>
    <row r="39" spans="1:7" s="258" customFormat="1" ht="13.5" customHeight="1">
      <c r="A39" s="299" t="s">
        <v>2400</v>
      </c>
      <c r="B39" s="254" t="s">
        <v>2401</v>
      </c>
      <c r="C39" s="276">
        <f ca="1">ROUND(C33*F20,0)</f>
        <v>191062</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345115</v>
      </c>
      <c r="D41" s="279">
        <f ca="1">C44</f>
        <v>1.1000000000000001E-3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338348</v>
      </c>
      <c r="D42" s="282"/>
      <c r="E42" s="282"/>
      <c r="F42" s="283"/>
      <c r="G42" s="3221" t="s">
        <v>2457</v>
      </c>
    </row>
    <row r="43" spans="1:7" ht="13.5" customHeight="1">
      <c r="A43" s="954" t="s">
        <v>792</v>
      </c>
      <c r="B43" s="259" t="s">
        <v>2411</v>
      </c>
      <c r="C43" s="282">
        <f ca="1">ROUND(IF('数据-取费表'!B22&lt;=1,C39*F22*'数据-取费表'!B20/2,C39*(POWER((1+F22),'数据-取费表'!B20/2)-1)),0)</f>
        <v>6767</v>
      </c>
      <c r="D43" s="282"/>
      <c r="E43" s="282"/>
      <c r="F43" s="283"/>
      <c r="G43" s="3222"/>
    </row>
    <row r="44" spans="1:7" ht="13.5" customHeight="1">
      <c r="A44" s="954" t="s">
        <v>793</v>
      </c>
      <c r="B44" s="259" t="s">
        <v>2412</v>
      </c>
      <c r="C44" s="282">
        <f ca="1">ROUND(IF('数据-取费表'!B22&lt;=1,C40*F22*'数据-取费表'!B20/2,C40*(POWER((1+F22),'数据-取费表'!B20/2)-1)),4)</f>
        <v>1.1000000000000001E-3</v>
      </c>
      <c r="D44" s="282"/>
      <c r="E44" s="282"/>
      <c r="F44" s="283"/>
      <c r="G44" s="3223"/>
    </row>
    <row r="45" spans="1:7" s="258" customFormat="1" ht="13.5" customHeight="1">
      <c r="A45" s="299" t="s">
        <v>2413</v>
      </c>
      <c r="B45" s="288" t="s">
        <v>2379</v>
      </c>
      <c r="C45" s="289">
        <f ca="1">C46</f>
        <v>2436043</v>
      </c>
      <c r="D45" s="279">
        <f ca="1">C47</f>
        <v>7.4999999999999997E-3</v>
      </c>
      <c r="E45" s="280" t="s">
        <v>2405</v>
      </c>
      <c r="F45" s="290"/>
      <c r="G45" s="291" t="s">
        <v>2414</v>
      </c>
    </row>
    <row r="46" spans="1:7" s="258" customFormat="1" ht="13.5" customHeight="1">
      <c r="A46" s="954" t="s">
        <v>791</v>
      </c>
      <c r="B46" s="292" t="s">
        <v>2415</v>
      </c>
      <c r="C46" s="293">
        <f ca="1">ROUND((C33+C39)*F27,0)</f>
        <v>2436043</v>
      </c>
      <c r="D46" s="307"/>
      <c r="E46" s="280"/>
      <c r="F46" s="290"/>
      <c r="G46" s="291"/>
    </row>
    <row r="47" spans="1:7" s="258" customFormat="1" ht="13.5" customHeight="1">
      <c r="A47" s="954" t="s">
        <v>792</v>
      </c>
      <c r="B47" s="292" t="s">
        <v>2416</v>
      </c>
      <c r="C47" s="282">
        <f ca="1">ROUND(C40*F27,4)</f>
        <v>7.4999999999999997E-3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13792895</v>
      </c>
      <c r="D49" s="276"/>
      <c r="E49" s="276"/>
      <c r="F49" s="308"/>
      <c r="G49" s="278" t="s">
        <v>2420</v>
      </c>
    </row>
    <row r="50" spans="1:7" s="302" customFormat="1">
      <c r="A50" s="299" t="s">
        <v>2421</v>
      </c>
      <c r="B50" s="254" t="s">
        <v>2422</v>
      </c>
      <c r="C50" s="276"/>
      <c r="D50" s="276"/>
      <c r="E50" s="276"/>
      <c r="F50" s="308">
        <f>IF('数据-取费表'!B24=0,'数据-取费表'!N16,1)</f>
        <v>0.7</v>
      </c>
      <c r="G50" s="291"/>
    </row>
    <row r="51" spans="1:7" ht="16.5" customHeight="1">
      <c r="A51" s="299" t="s">
        <v>2424</v>
      </c>
      <c r="B51" s="254" t="s">
        <v>2459</v>
      </c>
      <c r="C51" s="276">
        <f ca="1">ROUND(C49*F50,0)</f>
        <v>9655027</v>
      </c>
      <c r="D51" s="276"/>
      <c r="E51" s="276"/>
      <c r="F51" s="308"/>
      <c r="G51" s="278" t="s">
        <v>2426</v>
      </c>
    </row>
    <row r="52" spans="1:7" s="252" customFormat="1" ht="16.5" thickBot="1">
      <c r="A52" s="309" t="s">
        <v>2427</v>
      </c>
      <c r="B52" s="310"/>
      <c r="C52" s="311">
        <f ca="1">C31+C51</f>
        <v>11355618</v>
      </c>
      <c r="D52" s="310"/>
      <c r="E52" s="310"/>
      <c r="F52" s="310"/>
      <c r="G52" s="312"/>
    </row>
    <row r="55" spans="1:7" ht="15">
      <c r="B55" s="314" t="s">
        <v>2428</v>
      </c>
      <c r="C55" s="315"/>
    </row>
    <row r="56" spans="1:7">
      <c r="B56" s="317" t="s">
        <v>1513</v>
      </c>
      <c r="C56" s="319">
        <f ca="1">1-C57</f>
        <v>0.15000000000000002</v>
      </c>
    </row>
    <row r="57" spans="1:7">
      <c r="B57" s="317" t="s">
        <v>1514</v>
      </c>
      <c r="C57" s="318">
        <f ca="1">ROUND(C51/C52,3)</f>
        <v>0.85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9" t="s">
        <v>2466</v>
      </c>
      <c r="D5" s="2559" t="s">
        <v>2467</v>
      </c>
      <c r="E5" s="2559" t="s">
        <v>2468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2864.5</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2864.5</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61"/>
      <c r="H18" s="1580"/>
      <c r="I18" s="2562"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2496</v>
      </c>
      <c r="C20" s="24">
        <f ca="1">ROUND(D20*E20/10000,0)</f>
        <v>57</v>
      </c>
      <c r="D20" s="1036">
        <f ca="1">IF(C1="",'数据-汇总表'!E6,IF(INDIRECT("'数据-取费表'!c"&amp;$K$1)="住宅",INDIRECT("'数据-取费表'!s"&amp;$K$1),INDIRECT("'数据-取费表'!k"&amp;$K$1)+INDIRECT("'数据-取费表'!s"&amp;$K$1)))</f>
        <v>2864.5</v>
      </c>
      <c r="E20" s="24">
        <f>'数据-取费表'!B28</f>
        <v>200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2510</v>
      </c>
      <c r="B28" s="2564" t="s">
        <v>2511</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5"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800" customWidth="1"/>
    <col min="2" max="2" width="19.25" style="2906" customWidth="1"/>
    <col min="3" max="4" width="12" style="2725"/>
    <col min="5" max="5" width="14.625" style="2725" customWidth="1"/>
    <col min="6" max="8" width="12" style="2725"/>
    <col min="9" max="9" width="12.25" style="2725" bestFit="1" customWidth="1"/>
    <col min="10" max="10" width="12" style="2725"/>
    <col min="11" max="11" width="8.125" style="2792" customWidth="1"/>
    <col min="12" max="12" width="12" style="2725"/>
    <col min="13" max="13" width="8.5" style="2725" customWidth="1"/>
    <col min="14" max="14" width="9.75" style="2725" customWidth="1"/>
    <col min="15" max="25" width="12" style="2725"/>
    <col min="26" max="26" width="9.375" style="2800" customWidth="1"/>
    <col min="27" max="32" width="9.375" style="1375" customWidth="1"/>
    <col min="33" max="36" width="9.375" style="2800" customWidth="1"/>
    <col min="37" max="38" width="9.375" style="2725" customWidth="1"/>
    <col min="39" max="16384" width="12" style="2725"/>
  </cols>
  <sheetData>
    <row r="1" spans="1:36" ht="28.5">
      <c r="A1" s="240" t="s">
        <v>2805</v>
      </c>
      <c r="B1" s="241"/>
      <c r="C1" s="245" t="s">
        <v>2806</v>
      </c>
      <c r="D1" s="388">
        <f>SUM(D29:D30,D33:D39)</f>
        <v>2864.5</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4362</v>
      </c>
      <c r="C2" s="2726" t="s">
        <v>2814</v>
      </c>
      <c r="D2" s="2727" t="s">
        <v>2815</v>
      </c>
      <c r="E2" s="2728" t="s">
        <v>6</v>
      </c>
      <c r="F2" s="2727" t="s">
        <v>2816</v>
      </c>
      <c r="G2" s="2729" t="str">
        <f>IF(E2="商业",项目基本情况!B37,IF(E2="办公",项目基本情况!C37,IF(E2="住宅",项目基本情况!D37,项目基本情况!E37)))</f>
        <v>三级</v>
      </c>
      <c r="H2" s="2727" t="s">
        <v>2817</v>
      </c>
      <c r="I2" s="2729" t="str">
        <f>IF(E2="商业",项目基本情况!B38,IF(E2="办公",项目基本情况!C38,IF(E2="住宅",项目基本情况!D38,项目基本情况!E38)))</f>
        <v>Ⅲ—08</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3.0047000000000001</v>
      </c>
      <c r="T2" s="1605">
        <f ca="1">ROUND($C$5*$C$18*$C$19*$C$20*S2*$C$24,0)</f>
        <v>23521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15228</v>
      </c>
      <c r="C3" s="2726" t="s">
        <v>2820</v>
      </c>
      <c r="D3" s="2727" t="s">
        <v>2821</v>
      </c>
      <c r="E3" s="2732" t="s">
        <v>3178</v>
      </c>
      <c r="F3" s="2733" t="s">
        <v>3177</v>
      </c>
      <c r="G3" s="916">
        <f>IF(F3="宗地容积率",'数据-汇总表'!I4,IF(F3="估价对象容积率",'数据-汇总表'!I6,'数据-汇总表'!I7))</f>
        <v>0.62</v>
      </c>
      <c r="H3" s="198" t="s">
        <v>2822</v>
      </c>
      <c r="I3" s="947"/>
      <c r="J3" s="2730" t="s">
        <v>2823</v>
      </c>
      <c r="K3" s="1373"/>
      <c r="L3" s="2731" t="s">
        <v>2824</v>
      </c>
      <c r="M3" s="1084">
        <f>SUMPRODUCT((区片价!B29:B48=I2)*(区片价!C3:F3=E2)*(区片价!C29:F48))</f>
        <v>6520</v>
      </c>
      <c r="N3" s="1086">
        <f>SUMPRODUCT((因素修正幅度!B29:B48=I2)*(因素修正幅度!C3:F3=E2)*(因素修正幅度!C29:F48))</f>
        <v>0.1</v>
      </c>
      <c r="O3" s="1373"/>
      <c r="P3" s="1373"/>
      <c r="Q3" s="1373"/>
      <c r="R3" s="1605">
        <v>2</v>
      </c>
      <c r="S3" s="1605">
        <f>ROUND(IF(G3&gt;1,IF(R3&lt;7,SUMPRODUCT((B93:B98=R3)*(C92:N92=G2)*(C93:N98)),SUMIF(C92:N92,G2,C100:N100)),IF(R3&lt;7,SUMPRODUCT((B102:B107=R3)*(C92:N92=G2)*(C102:N107)),SUMIF(C92:N92,G2,C109:N109))),4)</f>
        <v>2.1568000000000001</v>
      </c>
      <c r="T3" s="1605">
        <f t="shared" ref="T3:T16" ca="1" si="0">ROUND($C$5*$C$18*$C$19*$C$20*S3*$C$24,0)</f>
        <v>16883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8"/>
      <c r="B4" s="3239"/>
      <c r="C4" s="3239"/>
      <c r="D4" s="3240"/>
      <c r="E4" s="3240"/>
      <c r="F4" s="3240"/>
      <c r="G4" s="3240"/>
      <c r="H4" s="3240"/>
      <c r="I4" s="3240"/>
      <c r="J4" s="3241"/>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1.74</v>
      </c>
      <c r="T4" s="1605">
        <f t="shared" ca="1" si="0"/>
        <v>13621</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6520</v>
      </c>
      <c r="D5" s="1790">
        <f>ROUND(IF(E2="商业",IF(F16="增加",C6+C16,C6-C16)),0)</f>
        <v>0</v>
      </c>
      <c r="E5" s="2736"/>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1.3960999999999999</v>
      </c>
      <c r="T5" s="1605">
        <f t="shared" ca="1" si="0"/>
        <v>10929</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6520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1.1889000000000001</v>
      </c>
      <c r="T6" s="1605">
        <f t="shared" ca="1" si="0"/>
        <v>9307</v>
      </c>
      <c r="U6" s="1606"/>
      <c r="V6" s="1605">
        <f t="shared" ca="1" si="1"/>
        <v>0</v>
      </c>
      <c r="W6" s="1609"/>
      <c r="X6" s="1609"/>
      <c r="Y6" s="1609"/>
      <c r="Z6" s="1609"/>
      <c r="AA6" s="1609"/>
      <c r="AB6" s="1609"/>
      <c r="AC6" s="2740"/>
      <c r="AD6" s="2741"/>
      <c r="AE6" s="2741"/>
      <c r="AF6" s="2741"/>
      <c r="AG6" s="2741"/>
      <c r="AH6" s="2741"/>
      <c r="AI6" s="2741"/>
      <c r="AJ6" s="2742"/>
    </row>
    <row r="7" spans="1:36" ht="24">
      <c r="A7" s="3224" t="str">
        <f>IF(E2="商业",IF(C8="不临58条商业街","",2),"")</f>
        <v/>
      </c>
      <c r="B7" s="2750" t="s">
        <v>2832</v>
      </c>
      <c r="C7" s="919" t="e">
        <f>IF(C8="不临58条商业街",1,ROUND(1+(1.6*E8+1.2*E9+0.8*E10+0.4*E11)*C9,4))</f>
        <v>#DIV/0!</v>
      </c>
      <c r="D7" s="2751" t="s">
        <v>2833</v>
      </c>
      <c r="E7" s="948"/>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1.0455000000000001</v>
      </c>
      <c r="T7" s="1605">
        <f t="shared" ca="1" si="0"/>
        <v>8184</v>
      </c>
      <c r="U7" s="1606"/>
      <c r="V7" s="1605">
        <f t="shared" ca="1" si="1"/>
        <v>0</v>
      </c>
      <c r="W7" s="1819" t="s">
        <v>2835</v>
      </c>
      <c r="X7" s="1607" t="str">
        <f>G2</f>
        <v>三级</v>
      </c>
      <c r="Y7" s="1607" t="s">
        <v>2836</v>
      </c>
      <c r="Z7" s="1608">
        <f>G3</f>
        <v>0.62</v>
      </c>
      <c r="AA7" s="1609"/>
      <c r="AB7" s="1609"/>
      <c r="AC7" s="1610"/>
      <c r="AD7" s="1611"/>
      <c r="AE7" s="1611"/>
      <c r="AF7" s="1611"/>
      <c r="AG7" s="1611"/>
      <c r="AH7" s="1611"/>
      <c r="AI7" s="1611"/>
      <c r="AJ7" s="1612"/>
    </row>
    <row r="8" spans="1:36" ht="15">
      <c r="A8" s="3225"/>
      <c r="B8" s="198"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5" t="s">
        <v>2840</v>
      </c>
      <c r="X8" s="3236"/>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25"/>
      <c r="B9" s="198" t="s">
        <v>2853</v>
      </c>
      <c r="C9" s="922">
        <f>SUMIF(修正!C59:C119,C8,修正!E59:E119)</f>
        <v>0</v>
      </c>
      <c r="D9" s="200" t="s">
        <v>140</v>
      </c>
      <c r="E9" s="200"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7"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25"/>
      <c r="B10" s="198" t="s">
        <v>2858</v>
      </c>
      <c r="C10" s="200">
        <f>SUMIF(修正!C59:C119,C8,修正!F59:F119)</f>
        <v>0</v>
      </c>
      <c r="D10" s="200" t="s">
        <v>141</v>
      </c>
      <c r="E10" s="200"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25"/>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7" t="s">
        <v>2864</v>
      </c>
      <c r="X11" s="1617" t="s">
        <v>2865</v>
      </c>
      <c r="Y11" s="1618">
        <f>$G$3</f>
        <v>0.62</v>
      </c>
      <c r="Z11" s="1618">
        <f t="shared" ref="Z11:AJ11" si="3">$G$3</f>
        <v>0.62</v>
      </c>
      <c r="AA11" s="1618">
        <f t="shared" si="3"/>
        <v>0.62</v>
      </c>
      <c r="AB11" s="1618">
        <f t="shared" si="3"/>
        <v>0.62</v>
      </c>
      <c r="AC11" s="1618">
        <f t="shared" si="3"/>
        <v>0.62</v>
      </c>
      <c r="AD11" s="1618">
        <f t="shared" si="3"/>
        <v>0.62</v>
      </c>
      <c r="AE11" s="1618">
        <f t="shared" si="3"/>
        <v>0.62</v>
      </c>
      <c r="AF11" s="1618">
        <f t="shared" si="3"/>
        <v>0.62</v>
      </c>
      <c r="AG11" s="1618">
        <f t="shared" si="3"/>
        <v>0.62</v>
      </c>
      <c r="AH11" s="1618">
        <f t="shared" si="3"/>
        <v>0.62</v>
      </c>
      <c r="AI11" s="1618">
        <f t="shared" si="3"/>
        <v>0.62</v>
      </c>
      <c r="AJ11" s="1618">
        <f t="shared" si="3"/>
        <v>0.62</v>
      </c>
    </row>
    <row r="12" spans="1:36" ht="25.5" hidden="1" thickBot="1">
      <c r="A12" s="3224"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7"/>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242"/>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f t="shared" ca="1" si="0"/>
        <v>0</v>
      </c>
      <c r="U13" s="1606"/>
      <c r="V13" s="1605">
        <f t="shared" ca="1" si="1"/>
        <v>0</v>
      </c>
      <c r="W13" s="3237"/>
      <c r="X13" s="1619"/>
      <c r="Y13" s="1616">
        <f>(-0.163*(Y12^2)-0.59*Y12+7617)*(10^(-4))/Y11</f>
        <v>1.2285483870967742</v>
      </c>
      <c r="Z13" s="1616">
        <f t="shared" ref="Z13:AJ13" si="5">(-0.163*(Z12^2)-0.59*Z12+7617)*(10^(-4))/Z11</f>
        <v>1.2285483870967742</v>
      </c>
      <c r="AA13" s="1616">
        <f t="shared" si="5"/>
        <v>1.2285483870967742</v>
      </c>
      <c r="AB13" s="1616">
        <f t="shared" si="5"/>
        <v>1.2285483870967742</v>
      </c>
      <c r="AC13" s="1616">
        <f t="shared" si="5"/>
        <v>1.2285483870967742</v>
      </c>
      <c r="AD13" s="1616">
        <f t="shared" si="5"/>
        <v>1.2285483870967742</v>
      </c>
      <c r="AE13" s="1616">
        <f t="shared" si="5"/>
        <v>1.2285483870967742</v>
      </c>
      <c r="AF13" s="1616">
        <f t="shared" si="5"/>
        <v>1.2285483870967742</v>
      </c>
      <c r="AG13" s="1616">
        <f t="shared" si="5"/>
        <v>1.2285483870967742</v>
      </c>
      <c r="AH13" s="1616">
        <f t="shared" si="5"/>
        <v>1.2285483870967742</v>
      </c>
      <c r="AI13" s="1616">
        <f t="shared" si="5"/>
        <v>1.2285483870967742</v>
      </c>
      <c r="AJ13" s="1616">
        <f t="shared" si="5"/>
        <v>1.2285483870967742</v>
      </c>
    </row>
    <row r="14" spans="1:36" ht="15" hidden="1">
      <c r="A14" s="3242"/>
      <c r="B14" s="2773"/>
      <c r="C14" s="2774"/>
      <c r="D14" s="2775"/>
      <c r="E14" s="2775"/>
      <c r="F14" s="2776"/>
      <c r="G14" s="2777" t="s">
        <v>2877</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243"/>
      <c r="B15" s="2781" t="s">
        <v>2878</v>
      </c>
      <c r="C15" s="229">
        <f>IF(C14="有",1.1,1)</f>
        <v>1</v>
      </c>
      <c r="D15" s="229">
        <f>IF(D14="有",1.1,1)</f>
        <v>1</v>
      </c>
      <c r="E15" s="229">
        <f>IF(E14="有",1.1,1)</f>
        <v>1</v>
      </c>
      <c r="F15" s="229">
        <f>IF(F14="500米范围内",1.2,IF(F14="500-1000米",1.1,1))</f>
        <v>1</v>
      </c>
      <c r="G15" s="949">
        <v>1</v>
      </c>
      <c r="H15" s="949">
        <v>1</v>
      </c>
      <c r="I15" s="949">
        <v>1</v>
      </c>
      <c r="J15" s="950">
        <v>1</v>
      </c>
      <c r="K15" s="1373"/>
      <c r="L15" s="2782" t="s">
        <v>2815</v>
      </c>
      <c r="M15" s="920" t="s">
        <v>2879</v>
      </c>
      <c r="N15" s="920" t="s">
        <v>2880</v>
      </c>
      <c r="O15" s="920" t="s">
        <v>2881</v>
      </c>
      <c r="P15" s="2783"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24" t="s">
        <v>2883</v>
      </c>
      <c r="B16" s="2750" t="s">
        <v>2884</v>
      </c>
      <c r="C16" s="1804">
        <f>ROUND(SUM(G17:J17)/C17,0)</f>
        <v>0</v>
      </c>
      <c r="D16" s="2784" t="s">
        <v>2885</v>
      </c>
      <c r="E16" s="2986" t="s">
        <v>3198</v>
      </c>
      <c r="F16" s="2785"/>
      <c r="G16" s="2786"/>
      <c r="H16" s="2786"/>
      <c r="I16" s="2786"/>
      <c r="J16" s="2787"/>
      <c r="K16" s="1373"/>
      <c r="L16" s="2788"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25"/>
      <c r="B17" s="2789" t="s">
        <v>2887</v>
      </c>
      <c r="C17" s="924">
        <f>SUMPRODUCT((修正!A2:A5=E2)*(修正!B1:M1=G2)*(修正!B2:M5))</f>
        <v>1.5</v>
      </c>
      <c r="D17" s="2790"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5"/>
      <c r="AH17" s="2725"/>
      <c r="AI17" s="2725"/>
      <c r="AJ17" s="2725"/>
    </row>
    <row r="18" spans="1:37" s="2743" customFormat="1" ht="15.75" thickBot="1">
      <c r="A18" s="2793" t="s">
        <v>808</v>
      </c>
      <c r="B18" s="2794" t="s">
        <v>2891</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3" customFormat="1" ht="29.25" thickBot="1">
      <c r="A19" s="2793" t="s">
        <v>809</v>
      </c>
      <c r="B19" s="2794" t="s">
        <v>2892</v>
      </c>
      <c r="C19" s="927">
        <f>ROUND(IF(H19="按公示增长率计算",SUMPRODUCT((地价!A3:A22=YEAR(G19)&amp;"-"&amp;ROUNDUP(MONTH(G19)/3,0))*(地价!X2:AB2=E2)*(地价!X3:AB22)),IF(H19="地价指数",M20/M19,(1+I19)^O19)),4)</f>
        <v>1.2557</v>
      </c>
      <c r="D19" s="2801" t="s">
        <v>2893</v>
      </c>
      <c r="E19" s="928">
        <v>41640</v>
      </c>
      <c r="F19" s="2801" t="s">
        <v>2894</v>
      </c>
      <c r="G19" s="929">
        <f>'数据-取费表'!B2</f>
        <v>43244</v>
      </c>
      <c r="H19" s="2802" t="s">
        <v>3199</v>
      </c>
      <c r="I19" s="930" t="str">
        <f>IF(H19="季度增幅（自定义）",SUMIF(N21:N24,E2,O21:O24),"")</f>
        <v/>
      </c>
      <c r="J19" s="2799"/>
      <c r="K19" s="1380"/>
      <c r="L19" s="2803" t="s">
        <v>2895</v>
      </c>
      <c r="M19" s="1737">
        <f>ROUND(SUMIF(地价!B2:F2,E2,地价!B22:F22),0)</f>
        <v>230</v>
      </c>
      <c r="N19" s="2804"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3" customFormat="1" ht="27.75" thickBot="1">
      <c r="A20" s="2808" t="s">
        <v>810</v>
      </c>
      <c r="B20" s="2809" t="s">
        <v>2897</v>
      </c>
      <c r="C20" s="932">
        <f ca="1">ROUND(POWER(1+G20,J20-I20)*(POWER(1+G20,I20)-1)/(POWER(1+G20,J20)-1),4)</f>
        <v>0.94059999999999999</v>
      </c>
      <c r="D20" s="2810" t="s">
        <v>2898</v>
      </c>
      <c r="E20" s="1771">
        <f ca="1">存贷款利率!D4/100</f>
        <v>4.3499999999999997E-2</v>
      </c>
      <c r="F20" s="2810" t="s">
        <v>2890</v>
      </c>
      <c r="G20" s="937">
        <f ca="1">SUMIF(M15:P15,E2,M17:P17)</f>
        <v>4.8000000000000001E-2</v>
      </c>
      <c r="H20" s="2810" t="s">
        <v>2899</v>
      </c>
      <c r="I20" s="938">
        <f>SUMIF('数据-取费表'!C6:C15,E2,'数据-取费表'!F6:F15)/COUNTIF('数据-取费表'!C6:C15,E2)</f>
        <v>40.520000000000003</v>
      </c>
      <c r="J20" s="939">
        <f>IF(E2="住宅",70,IF(E2="商业",40,50))</f>
        <v>50</v>
      </c>
      <c r="K20" s="1380"/>
      <c r="L20" s="2811" t="s">
        <v>2900</v>
      </c>
      <c r="M20" s="1738">
        <f>ROUND(SUMPRODUCT((地价!A4:A22=YEAR(G19)&amp;"-"&amp;ROUNDUP(MONTH(G19)/3,0))*(地价!B2:F2=E2)*(地价!B4:F22)),0)</f>
        <v>289</v>
      </c>
      <c r="N20" s="2812" t="s">
        <v>2901</v>
      </c>
      <c r="O20" s="2813" t="s">
        <v>2902</v>
      </c>
      <c r="P20" s="2814" t="s">
        <v>2903</v>
      </c>
      <c r="R20" s="1379"/>
      <c r="S20" s="1379"/>
      <c r="T20" s="1374"/>
      <c r="U20" s="1374"/>
      <c r="V20" s="1374"/>
      <c r="W20" s="1373"/>
      <c r="X20" s="1373"/>
      <c r="Y20" s="1373"/>
      <c r="Z20" s="1380"/>
      <c r="AA20" s="1381"/>
      <c r="AB20" s="1381"/>
      <c r="AC20" s="1381"/>
      <c r="AD20" s="1381"/>
      <c r="AE20" s="1381"/>
      <c r="AF20" s="1381"/>
    </row>
    <row r="21" spans="1:37" s="2743" customFormat="1" ht="15">
      <c r="A21" s="2815" t="s">
        <v>811</v>
      </c>
      <c r="B21" s="2816" t="s">
        <v>3179</v>
      </c>
      <c r="C21" s="940">
        <f>IF(B21="容积率修正",IF(G3&lt;=10,D22,J22),C23)</f>
        <v>1.9453</v>
      </c>
      <c r="D21" s="2817"/>
      <c r="E21" s="2817"/>
      <c r="F21" s="2817"/>
      <c r="G21" s="2817"/>
      <c r="H21" s="2817"/>
      <c r="I21" s="2817"/>
      <c r="J21" s="2818"/>
      <c r="K21" s="1380"/>
      <c r="N21" s="2819" t="s">
        <v>2904</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0" t="s">
        <v>2906</v>
      </c>
      <c r="C22" s="1813" t="s">
        <v>2907</v>
      </c>
      <c r="D22" s="1813">
        <f>IF(E22=G22,F22,IF(G3&lt;=10,ROUND(F22+(H22-F22)*(G3-E22)/(G22-E22),4),"——"))</f>
        <v>1.9453</v>
      </c>
      <c r="E22" s="916">
        <f>ROUNDDOWN(G3,1)</f>
        <v>0.6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2.0024999999999999</v>
      </c>
      <c r="G22" s="916">
        <f>ROUNDUP(G3,1)</f>
        <v>0.7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1.7163999999999999</v>
      </c>
      <c r="I22" s="1813" t="s">
        <v>155</v>
      </c>
      <c r="J22" s="941" t="str">
        <f>IF(G3&gt;10,D113,"——")</f>
        <v>——</v>
      </c>
      <c r="K22" s="1380"/>
      <c r="N22" s="2819" t="s">
        <v>2908</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9" t="s">
        <v>2909</v>
      </c>
      <c r="B23" s="2821" t="s">
        <v>2910</v>
      </c>
      <c r="C23" s="1016">
        <f>ROUND(IF(G3&gt;1,IF(I3&lt;7,SUMPRODUCT((B93:B98=I3)*(C92:N92=G2)*(C93:N98)),SUMIF(C92:N92,G2,C100:N100)),IF(I3&lt;7,SUMPRODUCT((B102:B107=I3)*(C92:N92=G2)*(C102:N107)),SUMIF(C92:N92,G2,C109:N109))),4)</f>
        <v>0</v>
      </c>
      <c r="D23" s="2778"/>
      <c r="E23" s="2778"/>
      <c r="F23" s="2822"/>
      <c r="G23" s="2823"/>
      <c r="H23" s="2824"/>
      <c r="I23" s="2825"/>
      <c r="J23" s="2826"/>
      <c r="K23" s="1373"/>
      <c r="N23" s="2819" t="s">
        <v>2911</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0"/>
    </row>
    <row r="24" spans="1:37" s="2743" customFormat="1" ht="15.75" thickBot="1">
      <c r="A24" s="2808" t="s">
        <v>812</v>
      </c>
      <c r="B24" s="2794" t="s">
        <v>2912</v>
      </c>
      <c r="C24" s="927">
        <f>SUMIF(A45:A88,E2,B45:B88)</f>
        <v>1.0165</v>
      </c>
      <c r="D24" s="2797"/>
      <c r="E24" s="2827"/>
      <c r="F24" s="2827"/>
      <c r="G24" s="2827"/>
      <c r="H24" s="2827"/>
      <c r="I24" s="2827"/>
      <c r="J24" s="2828"/>
      <c r="K24" s="1380"/>
      <c r="N24" s="2829" t="s">
        <v>2913</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2914</v>
      </c>
      <c r="C25" s="933"/>
      <c r="D25" s="2753"/>
      <c r="E25" s="2753"/>
      <c r="F25" s="2831"/>
      <c r="G25" s="2753"/>
      <c r="H25" s="2753"/>
      <c r="I25" s="2753"/>
      <c r="J25" s="2754"/>
      <c r="K25" s="1373"/>
      <c r="N25" s="2832" t="s">
        <v>2915</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3"/>
      <c r="B26" s="2820" t="s">
        <v>2916</v>
      </c>
      <c r="C26" s="206">
        <f ca="1">E29+SUM(E33:E39)</f>
        <v>4362</v>
      </c>
      <c r="D26" s="2834"/>
      <c r="E26" s="2778"/>
      <c r="F26" s="2835"/>
      <c r="G26" s="2778"/>
      <c r="H26" s="2778"/>
      <c r="I26" s="2778"/>
      <c r="J26" s="2836"/>
      <c r="K26" s="1373"/>
      <c r="R26" s="1379"/>
      <c r="S26" s="1379"/>
      <c r="T26" s="1374"/>
      <c r="U26" s="1374"/>
      <c r="V26" s="1374"/>
      <c r="W26" s="1373"/>
      <c r="X26" s="1373"/>
      <c r="Y26" s="1373"/>
      <c r="Z26" s="1380"/>
      <c r="AA26" s="1381"/>
      <c r="AB26" s="1381"/>
      <c r="AC26" s="1381"/>
      <c r="AD26" s="1381"/>
    </row>
    <row r="27" spans="1:37" ht="15.75" thickBot="1">
      <c r="A27" s="2833"/>
      <c r="B27" s="2837" t="s">
        <v>2917</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2918</v>
      </c>
      <c r="C28" s="2844" t="s">
        <v>2919</v>
      </c>
      <c r="D28" s="2844" t="s">
        <v>2920</v>
      </c>
      <c r="E28" s="2845" t="s">
        <v>2921</v>
      </c>
      <c r="F28" s="2846"/>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2922</v>
      </c>
      <c r="C29" s="206">
        <f ca="1">ROUND(C5*C18*C19*C20*C21*C24,0)</f>
        <v>15228</v>
      </c>
      <c r="D29" s="2849">
        <f>'数据-汇总表'!F19</f>
        <v>2864.5</v>
      </c>
      <c r="E29" s="945">
        <f ca="1">ROUND(C29*D29/10000,0)</f>
        <v>4362</v>
      </c>
      <c r="F29" s="2850" t="s">
        <v>2923</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5"/>
      <c r="AH29" s="2725"/>
      <c r="AI29" s="2725"/>
      <c r="AJ29" s="2725"/>
    </row>
    <row r="30" spans="1:37" ht="25.5" thickBot="1">
      <c r="A30" s="2853"/>
      <c r="B30" s="2854" t="s">
        <v>2924</v>
      </c>
      <c r="C30" s="229">
        <f ca="1">ROUND(IF(E2="工业",C29*M39,C29*M38),0)</f>
        <v>2284</v>
      </c>
      <c r="D30" s="2849">
        <f>'数据-汇总表'!F20</f>
        <v>0</v>
      </c>
      <c r="E30" s="945">
        <f ca="1">ROUND(C30*D30/10000,0)</f>
        <v>0</v>
      </c>
      <c r="F30" s="2856" t="s">
        <v>2925</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5"/>
      <c r="AH30" s="2725"/>
      <c r="AI30" s="2725"/>
      <c r="AJ30" s="2725"/>
    </row>
    <row r="31" spans="1:37" ht="14.25">
      <c r="A31" s="2859"/>
      <c r="B31" s="2860" t="s">
        <v>2926</v>
      </c>
      <c r="C31" s="2861" t="s">
        <v>2927</v>
      </c>
      <c r="D31" s="2766"/>
      <c r="E31" s="2861"/>
      <c r="F31" s="2861"/>
      <c r="G31" s="2764" t="s">
        <v>2928</v>
      </c>
      <c r="H31" s="2766"/>
      <c r="I31" s="2862"/>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5"/>
      <c r="AH31" s="2725"/>
      <c r="AI31" s="2725"/>
      <c r="AJ31" s="2725"/>
    </row>
    <row r="32" spans="1:37" ht="24">
      <c r="A32" s="2847"/>
      <c r="B32" s="2863"/>
      <c r="C32" s="501" t="s">
        <v>2919</v>
      </c>
      <c r="D32" s="498" t="s">
        <v>2920</v>
      </c>
      <c r="E32" s="498" t="s">
        <v>2921</v>
      </c>
      <c r="F32" s="388" t="s">
        <v>2929</v>
      </c>
      <c r="G32" s="2864" t="s">
        <v>2919</v>
      </c>
      <c r="H32" s="2864" t="s">
        <v>2920</v>
      </c>
      <c r="I32" s="2864"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5"/>
      <c r="AH32" s="2725"/>
      <c r="AI32" s="2725"/>
      <c r="AJ32" s="2725"/>
    </row>
    <row r="33" spans="1:37" ht="36" customHeight="1">
      <c r="A33" s="3232" t="s">
        <v>2930</v>
      </c>
      <c r="B33" s="2865" t="s">
        <v>2931</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3"/>
      <c r="B34" s="2770" t="s">
        <v>2932</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3"/>
      <c r="B35" s="2770" t="s">
        <v>2933</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34"/>
      <c r="B36" s="2770" t="s">
        <v>2934</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4"/>
      <c r="M36" s="2724"/>
      <c r="N36" s="1373"/>
      <c r="O36" s="1373"/>
      <c r="P36" s="1373"/>
      <c r="Q36" s="1373"/>
      <c r="R36" s="1373"/>
      <c r="S36" s="1373"/>
      <c r="T36" s="1373"/>
      <c r="U36" s="1373"/>
      <c r="V36" s="1373"/>
      <c r="W36" s="1373"/>
      <c r="X36" s="1373"/>
      <c r="Y36" s="1373"/>
      <c r="Z36" s="1374"/>
    </row>
    <row r="37" spans="1:37">
      <c r="A37" s="2867"/>
      <c r="B37" s="2770" t="s">
        <v>2935</v>
      </c>
      <c r="C37" s="200">
        <f ca="1">ROUND(C5*C19*C20*C24*F37,0)</f>
        <v>1957</v>
      </c>
      <c r="D37" s="2849"/>
      <c r="E37" s="200">
        <f t="shared" ca="1" si="7"/>
        <v>0</v>
      </c>
      <c r="F37" s="206">
        <f>SUMIF(修正!A45:A56,G2,修正!F45:F56)</f>
        <v>0.25</v>
      </c>
      <c r="G37" s="200">
        <f t="shared" ca="1" si="6"/>
        <v>489</v>
      </c>
      <c r="H37" s="200">
        <f t="shared" si="8"/>
        <v>0</v>
      </c>
      <c r="I37" s="200">
        <f t="shared" ca="1" si="9"/>
        <v>0</v>
      </c>
      <c r="J37" s="2866"/>
      <c r="K37" s="1373"/>
      <c r="L37" s="2868" t="s">
        <v>2936</v>
      </c>
      <c r="M37" s="2869"/>
      <c r="N37" s="1373"/>
      <c r="O37" s="1373"/>
      <c r="P37" s="1373"/>
      <c r="Q37" s="1373"/>
      <c r="R37" s="1373"/>
      <c r="S37" s="1373"/>
      <c r="T37" s="1373"/>
      <c r="U37" s="1373"/>
      <c r="V37" s="1373"/>
      <c r="W37" s="1373"/>
      <c r="X37" s="1373"/>
      <c r="Y37" s="1373"/>
      <c r="Z37" s="1374"/>
    </row>
    <row r="38" spans="1:37">
      <c r="A38" s="2867"/>
      <c r="B38" s="2770" t="s">
        <v>2937</v>
      </c>
      <c r="C38" s="200">
        <f ca="1">ROUND(C5*C19*C20*C24*F38,0)</f>
        <v>1957</v>
      </c>
      <c r="D38" s="2849"/>
      <c r="E38" s="200">
        <f t="shared" ca="1" si="7"/>
        <v>0</v>
      </c>
      <c r="F38" s="206">
        <f>SUMIF(修正!A45:A56,G2,修正!G45:G56)</f>
        <v>0.25</v>
      </c>
      <c r="G38" s="200">
        <f t="shared" ca="1" si="6"/>
        <v>489</v>
      </c>
      <c r="H38" s="200">
        <f t="shared" si="8"/>
        <v>0</v>
      </c>
      <c r="I38" s="200">
        <f t="shared" ca="1" si="9"/>
        <v>0</v>
      </c>
      <c r="J38" s="2866"/>
      <c r="K38" s="1373"/>
      <c r="L38" s="1890" t="s">
        <v>2938</v>
      </c>
      <c r="M38" s="2870">
        <v>0.25</v>
      </c>
      <c r="N38" s="1373"/>
      <c r="O38" s="1373"/>
      <c r="P38" s="1373"/>
      <c r="Q38" s="1373"/>
      <c r="R38" s="1373"/>
      <c r="S38" s="1373"/>
      <c r="T38" s="1373"/>
      <c r="U38" s="1373"/>
      <c r="V38" s="1373"/>
      <c r="W38" s="1373"/>
      <c r="X38" s="1373"/>
      <c r="Y38" s="1373"/>
      <c r="Z38" s="1374"/>
    </row>
    <row r="39" spans="1:37" ht="13.5" thickBot="1">
      <c r="A39" s="2853"/>
      <c r="B39" s="2871" t="s">
        <v>2939</v>
      </c>
      <c r="C39" s="229">
        <f ca="1">ROUND(C5*C19*C20*C24*F39,0)</f>
        <v>1566</v>
      </c>
      <c r="D39" s="2855"/>
      <c r="E39" s="229">
        <f t="shared" ca="1" si="7"/>
        <v>0</v>
      </c>
      <c r="F39" s="935">
        <f>SUMIF(修正!A45:A56,G2,修正!H45:H56)</f>
        <v>0.2</v>
      </c>
      <c r="G39" s="229" t="e">
        <f t="shared" si="6"/>
        <v>#DIV/0!</v>
      </c>
      <c r="H39" s="229">
        <f t="shared" si="8"/>
        <v>0</v>
      </c>
      <c r="I39" s="229" t="e">
        <f t="shared" si="9"/>
        <v>#DIV/0!</v>
      </c>
      <c r="J39" s="2872"/>
      <c r="K39" s="1373"/>
      <c r="L39" s="2873" t="s">
        <v>2882</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2940</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hidden="1">
      <c r="A46" s="2878" t="s">
        <v>2941</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hidden="1">
      <c r="A47" s="2882" t="s">
        <v>2942</v>
      </c>
      <c r="B47" s="1812" t="s">
        <v>2943</v>
      </c>
      <c r="C47" s="1812" t="s">
        <v>2944</v>
      </c>
      <c r="D47" s="1812" t="s">
        <v>2945</v>
      </c>
      <c r="E47" s="819" t="s">
        <v>2946</v>
      </c>
      <c r="F47" s="2883" t="s">
        <v>2947</v>
      </c>
      <c r="G47" s="1812" t="s">
        <v>754</v>
      </c>
      <c r="H47" s="2884"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2" t="s">
        <v>2950</v>
      </c>
      <c r="B48" s="2885"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2" t="s">
        <v>2951</v>
      </c>
      <c r="B49" s="2886"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2" t="s">
        <v>2952</v>
      </c>
      <c r="B50" s="2886">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2" t="s">
        <v>2953</v>
      </c>
      <c r="B51" s="2887"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2" t="s">
        <v>2955</v>
      </c>
      <c r="B52" s="2886">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2" t="s">
        <v>2956</v>
      </c>
      <c r="B53" s="2888"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9"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9" t="s">
        <v>2959</v>
      </c>
      <c r="B55" s="2886"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0" t="s">
        <v>2960</v>
      </c>
      <c r="B56" s="2891"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8" t="s">
        <v>2961</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2" t="s">
        <v>2942</v>
      </c>
      <c r="B58" s="1812"/>
      <c r="C58" s="1812" t="s">
        <v>2944</v>
      </c>
      <c r="D58" s="1812" t="s">
        <v>2945</v>
      </c>
      <c r="E58" s="819" t="s">
        <v>2946</v>
      </c>
      <c r="F58" s="2883" t="s">
        <v>2962</v>
      </c>
      <c r="G58" s="1812" t="s">
        <v>754</v>
      </c>
      <c r="H58" s="2884"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2" t="s">
        <v>2963</v>
      </c>
      <c r="B59" s="2885"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2" t="s">
        <v>2951</v>
      </c>
      <c r="B60" s="2886"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2" t="s">
        <v>2952</v>
      </c>
      <c r="B61" s="2886">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2" t="s">
        <v>2953</v>
      </c>
      <c r="B62" s="2887"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2" t="s">
        <v>2955</v>
      </c>
      <c r="B63" s="2886">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2" t="s">
        <v>2956</v>
      </c>
      <c r="B64" s="2888"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2"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2"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0" t="s">
        <v>2960</v>
      </c>
      <c r="B67" s="2892"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8" t="s">
        <v>2964</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2" t="s">
        <v>2942</v>
      </c>
      <c r="B69" s="1812"/>
      <c r="C69" s="1812" t="s">
        <v>2944</v>
      </c>
      <c r="D69" s="1812" t="s">
        <v>2945</v>
      </c>
      <c r="E69" s="819" t="s">
        <v>2946</v>
      </c>
      <c r="F69" s="2883" t="s">
        <v>2962</v>
      </c>
      <c r="G69" s="1812" t="s">
        <v>754</v>
      </c>
      <c r="H69" s="2884"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hidden="1">
      <c r="A70" s="2882" t="s">
        <v>2965</v>
      </c>
      <c r="B70" s="2885"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2" t="s">
        <v>2951</v>
      </c>
      <c r="B71" s="2886"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2" t="s">
        <v>2952</v>
      </c>
      <c r="B72" s="2886">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2" t="s">
        <v>2966</v>
      </c>
      <c r="B73" s="2886">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2"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2"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hidden="1">
      <c r="A76" s="2882" t="s">
        <v>2956</v>
      </c>
      <c r="B76" s="2888"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hidden="1">
      <c r="A77" s="2882" t="s">
        <v>2960</v>
      </c>
      <c r="B77" s="2885"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0"/>
      <c r="AG77" s="1375"/>
      <c r="AK77" s="2800"/>
    </row>
    <row r="78" spans="1:37" ht="24.75" hidden="1" thickBot="1">
      <c r="A78" s="2890" t="s">
        <v>2967</v>
      </c>
      <c r="B78" s="2894"/>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0"/>
      <c r="AG78" s="1375"/>
      <c r="AK78" s="2800"/>
    </row>
    <row r="79" spans="1:37" ht="15">
      <c r="A79" s="2878" t="s">
        <v>2968</v>
      </c>
      <c r="B79" s="2879">
        <f>1+E81</f>
        <v>1.0165</v>
      </c>
      <c r="C79" s="814"/>
      <c r="D79" s="814"/>
      <c r="E79" s="815"/>
      <c r="F79" s="2881"/>
      <c r="G79" s="6"/>
      <c r="H79" s="6"/>
      <c r="I79" s="6"/>
      <c r="J79" s="7"/>
      <c r="K79" s="7"/>
      <c r="L79" s="7"/>
      <c r="M79" s="7"/>
      <c r="N79" s="7"/>
      <c r="Z79" s="2725"/>
      <c r="AA79" s="2800"/>
      <c r="AG79" s="1375"/>
      <c r="AK79" s="2800"/>
    </row>
    <row r="80" spans="1:37" ht="24.75">
      <c r="A80" s="2882" t="s">
        <v>2942</v>
      </c>
      <c r="B80" s="1812"/>
      <c r="C80" s="1812" t="s">
        <v>2944</v>
      </c>
      <c r="D80" s="1812" t="s">
        <v>2945</v>
      </c>
      <c r="E80" s="819" t="s">
        <v>2946</v>
      </c>
      <c r="F80" s="2883" t="s">
        <v>2962</v>
      </c>
      <c r="G80" s="1812" t="s">
        <v>754</v>
      </c>
      <c r="H80" s="2884" t="s">
        <v>2948</v>
      </c>
      <c r="I80" s="1812" t="s">
        <v>2949</v>
      </c>
      <c r="J80" s="603" t="s">
        <v>2598</v>
      </c>
      <c r="K80" s="603" t="s">
        <v>2599</v>
      </c>
      <c r="L80" s="603" t="s">
        <v>2600</v>
      </c>
      <c r="M80" s="603" t="s">
        <v>2601</v>
      </c>
      <c r="N80" s="603" t="s">
        <v>2602</v>
      </c>
      <c r="Z80" s="2725"/>
      <c r="AA80" s="2800"/>
      <c r="AG80" s="1375"/>
      <c r="AK80" s="2800"/>
    </row>
    <row r="81" spans="1:37" ht="38.25">
      <c r="A81" s="2882" t="s">
        <v>2969</v>
      </c>
      <c r="B81" s="2886" t="str">
        <f>估价对象房地状况!G15</f>
        <v>估价对象位于XX开发区，园区建设成熟度XX，产业集聚程度XX</v>
      </c>
      <c r="C81" s="2775" t="s">
        <v>3200</v>
      </c>
      <c r="D81" s="1289">
        <f t="shared" ref="D81:D88" si="25">SUMIF($J$80:$N$80,C81,J81:N81)</f>
        <v>-1.2999999999999999E-2</v>
      </c>
      <c r="E81" s="821">
        <f>ROUND(SUM(D81:D88),4)</f>
        <v>1.6500000000000001E-2</v>
      </c>
      <c r="F81" s="2506">
        <f>IF(E2="工业",SUMIF(L1:L12,G2,N1:N12),"——")</f>
        <v>0.1</v>
      </c>
      <c r="G81" s="1287">
        <f>H81</f>
        <v>1.2999999999999999E-2</v>
      </c>
      <c r="H81" s="1291">
        <f t="shared" ref="H81:H88" si="26">IFERROR(ROUNDDOWN($F$81*I81/2,4),"——")</f>
        <v>1.2999999999999999E-2</v>
      </c>
      <c r="I81" s="820">
        <v>0.26</v>
      </c>
      <c r="J81" s="1288">
        <f t="shared" ref="J81:J88" si="27">K81+$G81</f>
        <v>2.5999999999999999E-2</v>
      </c>
      <c r="K81" s="1288">
        <f t="shared" ref="K81:K88" si="28">$L81+$G81</f>
        <v>1.2999999999999999E-2</v>
      </c>
      <c r="L81" s="1288">
        <v>0</v>
      </c>
      <c r="M81" s="1288">
        <f t="shared" ref="M81:N88" si="29">L81-$G81</f>
        <v>-1.2999999999999999E-2</v>
      </c>
      <c r="N81" s="1288">
        <f t="shared" si="29"/>
        <v>-2.5999999999999999E-2</v>
      </c>
      <c r="Z81" s="2725"/>
      <c r="AA81" s="2800"/>
      <c r="AG81" s="1375"/>
      <c r="AK81" s="2800"/>
    </row>
    <row r="82" spans="1:37" ht="51">
      <c r="A82" s="2882" t="s">
        <v>2951</v>
      </c>
      <c r="B82" s="2886" t="str">
        <f>估价对象房地状况!G16</f>
        <v>估价对象周边道路状况、公共交通通达情况、停车便捷程度，综合评价交通便捷度较好</v>
      </c>
      <c r="C82" s="2775" t="s">
        <v>3201</v>
      </c>
      <c r="D82" s="1289">
        <f t="shared" si="25"/>
        <v>1.6500000000000001E-2</v>
      </c>
      <c r="E82" s="826"/>
      <c r="F82" s="2506"/>
      <c r="G82" s="1287">
        <f t="shared" ref="G82:G88" si="30">H82</f>
        <v>1.6500000000000001E-2</v>
      </c>
      <c r="H82" s="1291">
        <f t="shared" si="26"/>
        <v>1.6500000000000001E-2</v>
      </c>
      <c r="I82" s="820">
        <v>0.33</v>
      </c>
      <c r="J82" s="1288">
        <f t="shared" si="27"/>
        <v>3.3000000000000002E-2</v>
      </c>
      <c r="K82" s="1288">
        <f t="shared" si="28"/>
        <v>1.6500000000000001E-2</v>
      </c>
      <c r="L82" s="1288">
        <v>0</v>
      </c>
      <c r="M82" s="1288">
        <f t="shared" si="29"/>
        <v>-1.6500000000000001E-2</v>
      </c>
      <c r="N82" s="1288">
        <f t="shared" si="29"/>
        <v>-3.3000000000000002E-2</v>
      </c>
      <c r="Z82" s="2725"/>
      <c r="AA82" s="2800"/>
      <c r="AG82" s="1375"/>
      <c r="AK82" s="2800"/>
    </row>
    <row r="83" spans="1:37" ht="24">
      <c r="A83" s="2882" t="s">
        <v>2952</v>
      </c>
      <c r="B83" s="2886">
        <f>估价对象房地状况!G17</f>
        <v>0</v>
      </c>
      <c r="C83" s="2775" t="s">
        <v>3200</v>
      </c>
      <c r="D83" s="1289">
        <f t="shared" si="25"/>
        <v>-2.5000000000000001E-3</v>
      </c>
      <c r="E83" s="826"/>
      <c r="F83" s="2506"/>
      <c r="G83" s="1287">
        <f t="shared" si="30"/>
        <v>2.5000000000000001E-3</v>
      </c>
      <c r="H83" s="1291">
        <f t="shared" si="26"/>
        <v>2.5000000000000001E-3</v>
      </c>
      <c r="I83" s="820">
        <v>0.05</v>
      </c>
      <c r="J83" s="1288">
        <f t="shared" si="27"/>
        <v>5.0000000000000001E-3</v>
      </c>
      <c r="K83" s="1288">
        <f t="shared" si="28"/>
        <v>2.5000000000000001E-3</v>
      </c>
      <c r="L83" s="1288">
        <v>0</v>
      </c>
      <c r="M83" s="1288">
        <f t="shared" si="29"/>
        <v>-2.5000000000000001E-3</v>
      </c>
      <c r="N83" s="1288">
        <f t="shared" si="29"/>
        <v>-5.0000000000000001E-3</v>
      </c>
      <c r="Z83" s="2725"/>
      <c r="AA83" s="2800"/>
      <c r="AG83" s="1375"/>
      <c r="AK83" s="2800"/>
    </row>
    <row r="84" spans="1:37" ht="14.25">
      <c r="A84" s="2882" t="s">
        <v>2966</v>
      </c>
      <c r="B84" s="2886">
        <f>估价对象房地状况!G22</f>
        <v>0</v>
      </c>
      <c r="C84" s="2775" t="s">
        <v>3201</v>
      </c>
      <c r="D84" s="1289">
        <f t="shared" si="25"/>
        <v>2E-3</v>
      </c>
      <c r="E84" s="826"/>
      <c r="F84" s="2506"/>
      <c r="G84" s="1287">
        <f t="shared" si="30"/>
        <v>2E-3</v>
      </c>
      <c r="H84" s="1291">
        <f t="shared" si="26"/>
        <v>2E-3</v>
      </c>
      <c r="I84" s="820">
        <v>0.04</v>
      </c>
      <c r="J84" s="1288">
        <f t="shared" si="27"/>
        <v>4.0000000000000001E-3</v>
      </c>
      <c r="K84" s="1288">
        <f t="shared" si="28"/>
        <v>2E-3</v>
      </c>
      <c r="L84" s="1288">
        <v>0</v>
      </c>
      <c r="M84" s="1288">
        <f t="shared" si="29"/>
        <v>-2E-3</v>
      </c>
      <c r="N84" s="1288">
        <f t="shared" si="29"/>
        <v>-4.0000000000000001E-3</v>
      </c>
      <c r="Z84" s="2725"/>
      <c r="AA84" s="2800"/>
      <c r="AG84" s="1375"/>
      <c r="AK84" s="2800"/>
    </row>
    <row r="85" spans="1:37" ht="25.5">
      <c r="A85" s="2882" t="s">
        <v>2958</v>
      </c>
      <c r="B85" s="1728" t="str">
        <f>估价对象房地状况!G19</f>
        <v>估价对象所在区域公共配套设施齐备情况</v>
      </c>
      <c r="C85" s="2775" t="s">
        <v>3201</v>
      </c>
      <c r="D85" s="1289">
        <f t="shared" si="25"/>
        <v>3.0000000000000001E-3</v>
      </c>
      <c r="E85" s="826"/>
      <c r="F85" s="2506"/>
      <c r="G85" s="1287">
        <f t="shared" si="30"/>
        <v>3.0000000000000001E-3</v>
      </c>
      <c r="H85" s="1291">
        <f t="shared" si="26"/>
        <v>3.0000000000000001E-3</v>
      </c>
      <c r="I85" s="820">
        <v>0.06</v>
      </c>
      <c r="J85" s="1288">
        <f t="shared" si="27"/>
        <v>6.0000000000000001E-3</v>
      </c>
      <c r="K85" s="1288">
        <f t="shared" si="28"/>
        <v>3.0000000000000001E-3</v>
      </c>
      <c r="L85" s="1288">
        <v>0</v>
      </c>
      <c r="M85" s="1288">
        <f t="shared" si="29"/>
        <v>-3.0000000000000001E-3</v>
      </c>
      <c r="N85" s="1288">
        <f t="shared" si="29"/>
        <v>-6.0000000000000001E-3</v>
      </c>
      <c r="Z85" s="2725"/>
      <c r="AA85" s="2800"/>
      <c r="AG85" s="1375"/>
      <c r="AK85" s="2800"/>
    </row>
    <row r="86" spans="1:37" ht="25.5">
      <c r="A86" s="2882" t="s">
        <v>2959</v>
      </c>
      <c r="B86" s="1728" t="str">
        <f>估价对象房地状况!G20</f>
        <v>估价对象所在区域基础设施水平</v>
      </c>
      <c r="C86" s="2775" t="s">
        <v>3201</v>
      </c>
      <c r="D86" s="1289">
        <f t="shared" si="25"/>
        <v>7.4999999999999997E-3</v>
      </c>
      <c r="E86" s="826"/>
      <c r="F86" s="2506"/>
      <c r="G86" s="1287">
        <f t="shared" si="30"/>
        <v>7.4999999999999997E-3</v>
      </c>
      <c r="H86" s="1291">
        <f t="shared" si="26"/>
        <v>7.4999999999999997E-3</v>
      </c>
      <c r="I86" s="820">
        <v>0.15</v>
      </c>
      <c r="J86" s="1288">
        <f t="shared" si="27"/>
        <v>1.4999999999999999E-2</v>
      </c>
      <c r="K86" s="1288">
        <f t="shared" si="28"/>
        <v>7.4999999999999997E-3</v>
      </c>
      <c r="L86" s="1288">
        <v>0</v>
      </c>
      <c r="M86" s="1288">
        <f t="shared" si="29"/>
        <v>-7.4999999999999997E-3</v>
      </c>
      <c r="N86" s="1288">
        <f t="shared" si="29"/>
        <v>-1.4999999999999999E-2</v>
      </c>
      <c r="Z86" s="2725"/>
      <c r="AA86" s="2800"/>
      <c r="AG86" s="1375"/>
      <c r="AK86" s="2800"/>
    </row>
    <row r="87" spans="1:37" ht="24">
      <c r="A87" s="2882" t="s">
        <v>2956</v>
      </c>
      <c r="B87" s="2888" t="s">
        <v>2970</v>
      </c>
      <c r="C87" s="2775" t="s">
        <v>3202</v>
      </c>
      <c r="D87" s="1289">
        <f t="shared" si="25"/>
        <v>0</v>
      </c>
      <c r="E87" s="826"/>
      <c r="F87" s="2506"/>
      <c r="G87" s="1287">
        <f t="shared" si="30"/>
        <v>2.5000000000000001E-3</v>
      </c>
      <c r="H87" s="1291">
        <f t="shared" si="26"/>
        <v>2.5000000000000001E-3</v>
      </c>
      <c r="I87" s="820">
        <v>0.05</v>
      </c>
      <c r="J87" s="1288">
        <f t="shared" si="27"/>
        <v>5.0000000000000001E-3</v>
      </c>
      <c r="K87" s="1288">
        <f t="shared" si="28"/>
        <v>2.5000000000000001E-3</v>
      </c>
      <c r="L87" s="1288">
        <v>0</v>
      </c>
      <c r="M87" s="1288">
        <f t="shared" si="29"/>
        <v>-2.5000000000000001E-3</v>
      </c>
      <c r="N87" s="1288">
        <f t="shared" si="29"/>
        <v>-5.0000000000000001E-3</v>
      </c>
      <c r="Z87" s="2725"/>
      <c r="AA87" s="2800"/>
      <c r="AG87" s="1375"/>
      <c r="AK87" s="2800"/>
    </row>
    <row r="88" spans="1:37" ht="39" thickBot="1">
      <c r="A88" s="2890" t="s">
        <v>2971</v>
      </c>
      <c r="B88" s="2895" t="str">
        <f>估价对象房地状况!G18</f>
        <v>该园区内是否有污染型企业，绿化情况，卫生条件，整体环境状况判断</v>
      </c>
      <c r="C88" s="2775" t="s">
        <v>3201</v>
      </c>
      <c r="D88" s="1289">
        <f t="shared" si="25"/>
        <v>3.0000000000000001E-3</v>
      </c>
      <c r="E88" s="827"/>
      <c r="F88" s="2506"/>
      <c r="G88" s="1287">
        <f t="shared" si="30"/>
        <v>3.0000000000000001E-3</v>
      </c>
      <c r="H88" s="1291">
        <f t="shared" si="26"/>
        <v>3.0000000000000001E-3</v>
      </c>
      <c r="I88" s="824">
        <v>0.06</v>
      </c>
      <c r="J88" s="1288">
        <f t="shared" si="27"/>
        <v>6.0000000000000001E-3</v>
      </c>
      <c r="K88" s="1288">
        <f t="shared" si="28"/>
        <v>3.0000000000000001E-3</v>
      </c>
      <c r="L88" s="1288">
        <v>0</v>
      </c>
      <c r="M88" s="1288">
        <f t="shared" si="29"/>
        <v>-3.0000000000000001E-3</v>
      </c>
      <c r="N88" s="1288">
        <f t="shared" si="29"/>
        <v>-6.0000000000000001E-3</v>
      </c>
      <c r="Z88" s="2725"/>
      <c r="AA88" s="2800"/>
      <c r="AG88" s="1375"/>
      <c r="AK88" s="2800"/>
    </row>
    <row r="90" spans="1:37">
      <c r="A90" s="3226" t="s">
        <v>2972</v>
      </c>
      <c r="B90" s="3226"/>
      <c r="C90" s="3226"/>
      <c r="D90" s="3226"/>
      <c r="E90" s="3226"/>
      <c r="F90" s="3226"/>
      <c r="G90" s="3226"/>
      <c r="H90" s="3226"/>
      <c r="I90" s="3226"/>
      <c r="J90" s="3226"/>
      <c r="K90" s="2896"/>
      <c r="L90" s="2896"/>
      <c r="M90" s="2896"/>
      <c r="N90" s="2896"/>
    </row>
    <row r="91" spans="1:37">
      <c r="A91" s="3228" t="s">
        <v>2973</v>
      </c>
      <c r="B91" s="3228" t="s">
        <v>2974</v>
      </c>
      <c r="C91" s="2850" t="s">
        <v>2975</v>
      </c>
      <c r="D91" s="2851"/>
      <c r="E91" s="2851"/>
      <c r="F91" s="2851"/>
      <c r="G91" s="2851"/>
      <c r="H91" s="2851"/>
      <c r="I91" s="2851"/>
      <c r="J91" s="2897"/>
      <c r="K91" s="2898"/>
      <c r="L91" s="2898"/>
      <c r="M91" s="2898"/>
      <c r="N91" s="2898"/>
    </row>
    <row r="92" spans="1:37">
      <c r="A92" s="3228"/>
      <c r="B92" s="3228"/>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29" t="s">
        <v>2976</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3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3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3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3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3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30"/>
      <c r="B99" s="2899" t="s">
        <v>2857</v>
      </c>
      <c r="C99" s="2901">
        <f>$I$3</f>
        <v>0</v>
      </c>
      <c r="D99" s="2901">
        <f t="shared" ref="D99:M99" si="31">$I$3</f>
        <v>0</v>
      </c>
      <c r="E99" s="2901">
        <f t="shared" si="31"/>
        <v>0</v>
      </c>
      <c r="F99" s="2901">
        <f t="shared" si="31"/>
        <v>0</v>
      </c>
      <c r="G99" s="2901">
        <f t="shared" si="31"/>
        <v>0</v>
      </c>
      <c r="H99" s="2901">
        <f t="shared" si="31"/>
        <v>0</v>
      </c>
      <c r="I99" s="2901">
        <f t="shared" si="31"/>
        <v>0</v>
      </c>
      <c r="J99" s="2901">
        <f t="shared" si="31"/>
        <v>0</v>
      </c>
      <c r="K99" s="2901">
        <f t="shared" si="31"/>
        <v>0</v>
      </c>
      <c r="L99" s="2901">
        <f t="shared" si="31"/>
        <v>0</v>
      </c>
      <c r="M99" s="2901">
        <f t="shared" si="31"/>
        <v>0</v>
      </c>
      <c r="N99" s="2901">
        <f>$I$3</f>
        <v>0</v>
      </c>
    </row>
    <row r="100" spans="1:14">
      <c r="A100" s="323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29" t="s">
        <v>2977</v>
      </c>
      <c r="B101" s="2903" t="s">
        <v>2978</v>
      </c>
      <c r="C101" s="2904">
        <f>$G$3</f>
        <v>0.62</v>
      </c>
      <c r="D101" s="2904">
        <f t="shared" ref="D101:N101" si="32">$G$3</f>
        <v>0.62</v>
      </c>
      <c r="E101" s="2904">
        <f t="shared" si="32"/>
        <v>0.62</v>
      </c>
      <c r="F101" s="2904">
        <f t="shared" si="32"/>
        <v>0.62</v>
      </c>
      <c r="G101" s="2904">
        <f t="shared" si="32"/>
        <v>0.62</v>
      </c>
      <c r="H101" s="2904">
        <f t="shared" si="32"/>
        <v>0.62</v>
      </c>
      <c r="I101" s="2904">
        <f t="shared" si="32"/>
        <v>0.62</v>
      </c>
      <c r="J101" s="2904">
        <f t="shared" si="32"/>
        <v>0.62</v>
      </c>
      <c r="K101" s="2904">
        <f t="shared" si="32"/>
        <v>0.62</v>
      </c>
      <c r="L101" s="2904">
        <f t="shared" si="32"/>
        <v>0.62</v>
      </c>
      <c r="M101" s="2904">
        <f t="shared" si="32"/>
        <v>0.62</v>
      </c>
      <c r="N101" s="2904">
        <f t="shared" si="32"/>
        <v>0.62</v>
      </c>
    </row>
    <row r="102" spans="1:14">
      <c r="A102" s="3230"/>
      <c r="B102" s="2899">
        <v>1</v>
      </c>
      <c r="C102" s="2900">
        <f>1.9362/C101</f>
        <v>3.1229032258064513</v>
      </c>
      <c r="D102" s="2900">
        <f>1.9362/D101</f>
        <v>3.1229032258064513</v>
      </c>
      <c r="E102" s="2900">
        <f>1.8629/E101</f>
        <v>3.0046774193548389</v>
      </c>
      <c r="F102" s="2900">
        <f>1.8629/F101</f>
        <v>3.0046774193548389</v>
      </c>
      <c r="G102" s="2900">
        <f>1.8629/G101</f>
        <v>3.0046774193548389</v>
      </c>
      <c r="H102" s="2900">
        <f>1.8629/H101</f>
        <v>3.0046774193548389</v>
      </c>
      <c r="I102" s="2900">
        <f>1.8629/I101</f>
        <v>3.0046774193548389</v>
      </c>
      <c r="J102" s="2900">
        <f>1.942/J101</f>
        <v>3.1322580645161291</v>
      </c>
      <c r="K102" s="2900">
        <f>1.942/K101</f>
        <v>3.1322580645161291</v>
      </c>
      <c r="L102" s="2900">
        <f>1.942/L101</f>
        <v>3.1322580645161291</v>
      </c>
      <c r="M102" s="2900">
        <f>1.942/M101</f>
        <v>3.1322580645161291</v>
      </c>
      <c r="N102" s="2900">
        <f>1.942/N101</f>
        <v>3.1322580645161291</v>
      </c>
    </row>
    <row r="103" spans="1:14">
      <c r="A103" s="3230"/>
      <c r="B103" s="2899">
        <v>2</v>
      </c>
      <c r="C103" s="2900">
        <f>1.4198/C101</f>
        <v>2.29</v>
      </c>
      <c r="D103" s="2900">
        <f>1.4198/D101</f>
        <v>2.29</v>
      </c>
      <c r="E103" s="2900">
        <f>1.3372/E101</f>
        <v>2.1567741935483871</v>
      </c>
      <c r="F103" s="2900">
        <f>1.3372/F101</f>
        <v>2.1567741935483871</v>
      </c>
      <c r="G103" s="2900">
        <f>1.3372/G101</f>
        <v>2.1567741935483871</v>
      </c>
      <c r="H103" s="2900">
        <f>1.3372/H101</f>
        <v>2.1567741935483871</v>
      </c>
      <c r="I103" s="2900">
        <f>1.3372/I101</f>
        <v>2.1567741935483871</v>
      </c>
      <c r="J103" s="2900">
        <f>1.2799/J101</f>
        <v>2.0643548387096775</v>
      </c>
      <c r="K103" s="2900">
        <f>1.2799/K101</f>
        <v>2.0643548387096775</v>
      </c>
      <c r="L103" s="2900">
        <f>1.2799/L101</f>
        <v>2.0643548387096775</v>
      </c>
      <c r="M103" s="2900">
        <f>1.2799/M101</f>
        <v>2.0643548387096775</v>
      </c>
      <c r="N103" s="2900">
        <f>1.2799/N101</f>
        <v>2.0643548387096775</v>
      </c>
    </row>
    <row r="104" spans="1:14">
      <c r="A104" s="3230"/>
      <c r="B104" s="2899">
        <v>3</v>
      </c>
      <c r="C104" s="2900">
        <f>1.1594/C101</f>
        <v>1.8699999999999999</v>
      </c>
      <c r="D104" s="2900">
        <f>1.1594/D101</f>
        <v>1.8699999999999999</v>
      </c>
      <c r="E104" s="2900">
        <f>1.0788/E101</f>
        <v>1.74</v>
      </c>
      <c r="F104" s="2900">
        <f>1.0788/F101</f>
        <v>1.74</v>
      </c>
      <c r="G104" s="2900">
        <f>1.0788/G101</f>
        <v>1.74</v>
      </c>
      <c r="H104" s="2900">
        <f>1.0788/H101</f>
        <v>1.74</v>
      </c>
      <c r="I104" s="2900">
        <f>1.0788/I101</f>
        <v>1.74</v>
      </c>
      <c r="J104" s="2900">
        <f>1.0072/J101</f>
        <v>1.6245161290322583</v>
      </c>
      <c r="K104" s="2900">
        <f>1.0072/K101</f>
        <v>1.6245161290322583</v>
      </c>
      <c r="L104" s="2900">
        <f>1.0072/L101</f>
        <v>1.6245161290322583</v>
      </c>
      <c r="M104" s="2900">
        <f>1.0072/M101</f>
        <v>1.6245161290322583</v>
      </c>
      <c r="N104" s="2900">
        <f>1.0072/N101</f>
        <v>1.6245161290322583</v>
      </c>
    </row>
    <row r="105" spans="1:14">
      <c r="A105" s="3230"/>
      <c r="B105" s="2899">
        <v>4</v>
      </c>
      <c r="C105" s="2900">
        <f>0.9622/C101</f>
        <v>1.5519354838709678</v>
      </c>
      <c r="D105" s="2900">
        <f>0.9622/D101</f>
        <v>1.5519354838709678</v>
      </c>
      <c r="E105" s="2900">
        <f>0.8656/E101</f>
        <v>1.3961290322580646</v>
      </c>
      <c r="F105" s="2900">
        <f>0.8656/F101</f>
        <v>1.3961290322580646</v>
      </c>
      <c r="G105" s="2900">
        <f>0.8656/G101</f>
        <v>1.3961290322580646</v>
      </c>
      <c r="H105" s="2900">
        <f>0.8656/H101</f>
        <v>1.3961290322580646</v>
      </c>
      <c r="I105" s="2900">
        <f>0.8656/I101</f>
        <v>1.3961290322580646</v>
      </c>
      <c r="J105" s="2900">
        <f>0.7525/J101</f>
        <v>1.2137096774193548</v>
      </c>
      <c r="K105" s="2900">
        <f>0.7525/K101</f>
        <v>1.2137096774193548</v>
      </c>
      <c r="L105" s="2900">
        <f>0.7525/L101</f>
        <v>1.2137096774193548</v>
      </c>
      <c r="M105" s="2900">
        <f>0.7525/M101</f>
        <v>1.2137096774193548</v>
      </c>
      <c r="N105" s="2900">
        <f>0.7525/N101</f>
        <v>1.2137096774193548</v>
      </c>
    </row>
    <row r="106" spans="1:14">
      <c r="A106" s="3230"/>
      <c r="B106" s="2899">
        <v>5</v>
      </c>
      <c r="C106" s="2900">
        <f>0.8417/C101</f>
        <v>1.3575806451612904</v>
      </c>
      <c r="D106" s="2900">
        <f>0.8417/D101</f>
        <v>1.3575806451612904</v>
      </c>
      <c r="E106" s="2900">
        <f>0.7371/E101</f>
        <v>1.1888709677419353</v>
      </c>
      <c r="F106" s="2900">
        <f>0.7371/F101</f>
        <v>1.1888709677419353</v>
      </c>
      <c r="G106" s="2900">
        <f>0.7371/G101</f>
        <v>1.1888709677419353</v>
      </c>
      <c r="H106" s="2900">
        <f>0.7371/H101</f>
        <v>1.1888709677419353</v>
      </c>
      <c r="I106" s="2900">
        <f>0.7371/I101</f>
        <v>1.1888709677419353</v>
      </c>
      <c r="J106" s="2900">
        <f>0.5659/J101</f>
        <v>0.91274193548387095</v>
      </c>
      <c r="K106" s="2900">
        <f>0.5659/K101</f>
        <v>0.91274193548387095</v>
      </c>
      <c r="L106" s="2900">
        <f>0.5659/L101</f>
        <v>0.91274193548387095</v>
      </c>
      <c r="M106" s="2900">
        <f>0.5659/M101</f>
        <v>0.91274193548387095</v>
      </c>
      <c r="N106" s="2900">
        <f>0.5659/N101</f>
        <v>0.91274193548387095</v>
      </c>
    </row>
    <row r="107" spans="1:14">
      <c r="A107" s="3230"/>
      <c r="B107" s="2899">
        <v>6</v>
      </c>
      <c r="C107" s="2900">
        <f>0.7608/C101</f>
        <v>1.2270967741935483</v>
      </c>
      <c r="D107" s="2900">
        <f>0.7608/D101</f>
        <v>1.2270967741935483</v>
      </c>
      <c r="E107" s="2900">
        <f>0.6482/E101</f>
        <v>1.0454838709677419</v>
      </c>
      <c r="F107" s="2900">
        <f>0.6482/F101</f>
        <v>1.0454838709677419</v>
      </c>
      <c r="G107" s="2900">
        <f>0.6482/G101</f>
        <v>1.0454838709677419</v>
      </c>
      <c r="H107" s="2900">
        <f>0.6482/H101</f>
        <v>1.0454838709677419</v>
      </c>
      <c r="I107" s="2900">
        <f>0.6482/I101</f>
        <v>1.0454838709677419</v>
      </c>
      <c r="J107" s="2900">
        <f>0.4525/J101</f>
        <v>0.72983870967741937</v>
      </c>
      <c r="K107" s="2900">
        <f>0.4525/K101</f>
        <v>0.72983870967741937</v>
      </c>
      <c r="L107" s="2900">
        <f>0.4525/L101</f>
        <v>0.72983870967741937</v>
      </c>
      <c r="M107" s="2900">
        <f>0.4525/M101</f>
        <v>0.72983870967741937</v>
      </c>
      <c r="N107" s="2900">
        <f>0.4525/N101</f>
        <v>0.72983870967741937</v>
      </c>
    </row>
    <row r="108" spans="1:14">
      <c r="A108" s="3230"/>
      <c r="B108" s="3155" t="s">
        <v>2979</v>
      </c>
      <c r="C108" s="2901">
        <f>C99</f>
        <v>0</v>
      </c>
      <c r="D108" s="2901">
        <f t="shared" ref="D108:N108" si="33">D99</f>
        <v>0</v>
      </c>
      <c r="E108" s="2901">
        <f t="shared" si="33"/>
        <v>0</v>
      </c>
      <c r="F108" s="2901">
        <f t="shared" si="33"/>
        <v>0</v>
      </c>
      <c r="G108" s="2901">
        <f t="shared" si="33"/>
        <v>0</v>
      </c>
      <c r="H108" s="2901">
        <f t="shared" si="33"/>
        <v>0</v>
      </c>
      <c r="I108" s="2901">
        <f t="shared" si="33"/>
        <v>0</v>
      </c>
      <c r="J108" s="2901">
        <f t="shared" si="33"/>
        <v>0</v>
      </c>
      <c r="K108" s="2901">
        <f t="shared" si="33"/>
        <v>0</v>
      </c>
      <c r="L108" s="2901">
        <f t="shared" si="33"/>
        <v>0</v>
      </c>
      <c r="M108" s="2901">
        <f t="shared" si="33"/>
        <v>0</v>
      </c>
      <c r="N108" s="2901">
        <f t="shared" si="33"/>
        <v>0</v>
      </c>
    </row>
    <row r="109" spans="1:14">
      <c r="A109" s="3231"/>
      <c r="B109" s="3156"/>
      <c r="C109" s="2902">
        <f>(-0.163*(C108^2)-0.59*C108+7617)*(10^(-4))/C101</f>
        <v>1.2285483870967742</v>
      </c>
      <c r="D109" s="2902">
        <f>(-0.163*(D108^2)-0.59*D108+7617)*(10^(-4))/D101</f>
        <v>1.2285483870967742</v>
      </c>
      <c r="E109" s="2902">
        <f>(-0.161*(E108^2)-7.509*E108+6533)*(10^(-4))/E101</f>
        <v>1.0537096774193548</v>
      </c>
      <c r="F109" s="2902">
        <f>(-0.161*(F108^2)-7.509*F108+6533)*(10^(-4))/F101</f>
        <v>1.0537096774193548</v>
      </c>
      <c r="G109" s="2902">
        <f>(-0.161*(G108^2)-7.509*G108+6533)*(10^(-4))/G101</f>
        <v>1.0537096774193548</v>
      </c>
      <c r="H109" s="2902">
        <f>(-0.161*(H108^2)-7.509*H108+6533)*(10^(-4))/H101</f>
        <v>1.0537096774193548</v>
      </c>
      <c r="I109" s="2902">
        <f>(-0.161*(I108^2)-7.509*I108+6533)*(10^(-4))/I101</f>
        <v>1.0537096774193548</v>
      </c>
      <c r="J109" s="2902">
        <f>(-0.214*(J108^2)-21.991*J108+4665)*(10^(-4))/J101</f>
        <v>0.7524193548387097</v>
      </c>
      <c r="K109" s="2902">
        <f>(-0.214*(K108^2)-21.991*K108+4665)*(10^(-4))/K101</f>
        <v>0.7524193548387097</v>
      </c>
      <c r="L109" s="2902">
        <f>(-0.214*(L108^2)-21.991*L108+4665)*(10^(-4))/L101</f>
        <v>0.7524193548387097</v>
      </c>
      <c r="M109" s="2902">
        <f>(-0.214*(M108^2)-21.991*M108+4665)*(10^(-4))/M101</f>
        <v>0.7524193548387097</v>
      </c>
      <c r="N109" s="2902">
        <f>(-0.214*(N108^2)-21.991*N108+4665)*(10^(-4))/N101</f>
        <v>0.7524193548387097</v>
      </c>
    </row>
    <row r="110" spans="1:14">
      <c r="A110" s="3227" t="s">
        <v>2980</v>
      </c>
      <c r="B110" s="3227"/>
      <c r="C110" s="3227"/>
      <c r="D110" s="3227"/>
      <c r="E110" s="3227"/>
      <c r="F110" s="3227"/>
      <c r="G110" s="3227"/>
      <c r="H110" s="3227"/>
      <c r="I110" s="3227"/>
      <c r="J110" s="3227"/>
      <c r="K110" s="2905"/>
      <c r="L110" s="2905"/>
      <c r="M110" s="2905"/>
      <c r="N110" s="2905"/>
    </row>
    <row r="112" spans="1:14" ht="13.5" thickBot="1"/>
    <row r="113" spans="1:13" ht="25.5" thickBot="1">
      <c r="A113" s="903" t="s">
        <v>2981</v>
      </c>
      <c r="B113" s="1290">
        <f>G3</f>
        <v>0.62</v>
      </c>
      <c r="C113" s="904" t="s">
        <v>2982</v>
      </c>
      <c r="D113" s="905">
        <f>SUMPRODUCT((A115:A118=F113)*(B114:M114=H113)*B115:M118)</f>
        <v>0.69689999999999996</v>
      </c>
      <c r="E113" s="2729" t="s">
        <v>2815</v>
      </c>
      <c r="F113" s="2907" t="str">
        <f>E2</f>
        <v>工业</v>
      </c>
      <c r="G113" s="2729" t="s">
        <v>2816</v>
      </c>
      <c r="H113" s="2907" t="str">
        <f>G2</f>
        <v>三级</v>
      </c>
      <c r="I113" s="2729"/>
      <c r="J113" s="2908"/>
      <c r="K113" s="2908"/>
      <c r="L113" s="2908"/>
      <c r="M113" s="2908"/>
    </row>
    <row r="114" spans="1:13">
      <c r="A114" s="908"/>
      <c r="B114" s="2909" t="s">
        <v>2983</v>
      </c>
      <c r="C114" s="2909" t="s">
        <v>2984</v>
      </c>
      <c r="D114" s="2909" t="s">
        <v>2985</v>
      </c>
      <c r="E114" s="2910" t="s">
        <v>2986</v>
      </c>
      <c r="F114" s="2910" t="s">
        <v>2987</v>
      </c>
      <c r="G114" s="2910" t="s">
        <v>2988</v>
      </c>
      <c r="H114" s="2911" t="s">
        <v>2989</v>
      </c>
      <c r="I114" s="2911" t="s">
        <v>2990</v>
      </c>
      <c r="J114" s="2912" t="s">
        <v>2991</v>
      </c>
      <c r="K114" s="2912" t="s">
        <v>2992</v>
      </c>
      <c r="L114" s="2912" t="s">
        <v>2993</v>
      </c>
      <c r="M114" s="2913" t="s">
        <v>2994</v>
      </c>
    </row>
    <row r="115" spans="1:13">
      <c r="A115" s="909" t="s">
        <v>2879</v>
      </c>
      <c r="B115" s="910">
        <f>ROUND(0.9335-0.0094*B113,4)</f>
        <v>0.92769999999999997</v>
      </c>
      <c r="C115" s="910">
        <f>B115</f>
        <v>0.92769999999999997</v>
      </c>
      <c r="D115" s="910">
        <f>ROUND(0.8331-0.0109*B113,4)</f>
        <v>0.82630000000000003</v>
      </c>
      <c r="E115" s="910">
        <f>D115</f>
        <v>0.82630000000000003</v>
      </c>
      <c r="F115" s="910">
        <f>E115</f>
        <v>0.82630000000000003</v>
      </c>
      <c r="G115" s="910">
        <f>F115</f>
        <v>0.82630000000000003</v>
      </c>
      <c r="H115" s="910">
        <f>G115</f>
        <v>0.82630000000000003</v>
      </c>
      <c r="I115" s="910">
        <f>ROUND(0.689-0.0155*B113,4)</f>
        <v>0.6794</v>
      </c>
      <c r="J115" s="910">
        <f t="shared" ref="J115:M118" si="34">I115</f>
        <v>0.6794</v>
      </c>
      <c r="K115" s="910">
        <f t="shared" si="34"/>
        <v>0.6794</v>
      </c>
      <c r="L115" s="910">
        <f t="shared" si="34"/>
        <v>0.6794</v>
      </c>
      <c r="M115" s="911">
        <f t="shared" si="34"/>
        <v>0.6794</v>
      </c>
    </row>
    <row r="116" spans="1:13">
      <c r="A116" s="909" t="s">
        <v>2880</v>
      </c>
      <c r="B116" s="910">
        <f>ROUND(0.949-0.012*B113,4)</f>
        <v>0.94159999999999999</v>
      </c>
      <c r="C116" s="910">
        <f>B116</f>
        <v>0.94159999999999999</v>
      </c>
      <c r="D116" s="910">
        <f>ROUND(0.8567-0.013*B113,4)</f>
        <v>0.84860000000000002</v>
      </c>
      <c r="E116" s="910">
        <f t="shared" ref="E116:H117" si="35">D116</f>
        <v>0.84860000000000002</v>
      </c>
      <c r="F116" s="910">
        <f t="shared" si="35"/>
        <v>0.84860000000000002</v>
      </c>
      <c r="G116" s="910">
        <f t="shared" si="35"/>
        <v>0.84860000000000002</v>
      </c>
      <c r="H116" s="910">
        <f t="shared" si="35"/>
        <v>0.84860000000000002</v>
      </c>
      <c r="I116" s="910">
        <f>ROUND(0.7694-0.014*B113,4)</f>
        <v>0.76070000000000004</v>
      </c>
      <c r="J116" s="910">
        <f t="shared" si="34"/>
        <v>0.76070000000000004</v>
      </c>
      <c r="K116" s="910">
        <f t="shared" si="34"/>
        <v>0.76070000000000004</v>
      </c>
      <c r="L116" s="910">
        <f t="shared" si="34"/>
        <v>0.76070000000000004</v>
      </c>
      <c r="M116" s="911">
        <f t="shared" si="34"/>
        <v>0.76070000000000004</v>
      </c>
    </row>
    <row r="117" spans="1:13">
      <c r="A117" s="909" t="s">
        <v>2881</v>
      </c>
      <c r="B117" s="910">
        <f>ROUND(0.8808-0.006*B113,4)</f>
        <v>0.87709999999999999</v>
      </c>
      <c r="C117" s="910">
        <f>B117</f>
        <v>0.87709999999999999</v>
      </c>
      <c r="D117" s="910">
        <f>ROUND(0.8748-0.008*B113,4)</f>
        <v>0.86980000000000002</v>
      </c>
      <c r="E117" s="910">
        <f t="shared" si="35"/>
        <v>0.86980000000000002</v>
      </c>
      <c r="F117" s="910">
        <f t="shared" si="35"/>
        <v>0.86980000000000002</v>
      </c>
      <c r="G117" s="910">
        <f t="shared" si="35"/>
        <v>0.86980000000000002</v>
      </c>
      <c r="H117" s="910">
        <f t="shared" si="35"/>
        <v>0.86980000000000002</v>
      </c>
      <c r="I117" s="910">
        <f>ROUND(0.7412-0.0095*B113,4)</f>
        <v>0.73529999999999995</v>
      </c>
      <c r="J117" s="910">
        <f t="shared" si="34"/>
        <v>0.73529999999999995</v>
      </c>
      <c r="K117" s="910">
        <f t="shared" si="34"/>
        <v>0.73529999999999995</v>
      </c>
      <c r="L117" s="910">
        <f t="shared" si="34"/>
        <v>0.73529999999999995</v>
      </c>
      <c r="M117" s="911">
        <f t="shared" si="34"/>
        <v>0.73529999999999995</v>
      </c>
    </row>
    <row r="118" spans="1:13" ht="13.5" thickBot="1">
      <c r="A118" s="714" t="s">
        <v>2882</v>
      </c>
      <c r="B118" s="912">
        <f>ROUND(0.7275-0.01*B113,4)</f>
        <v>0.72130000000000005</v>
      </c>
      <c r="C118" s="912">
        <f>B118</f>
        <v>0.72130000000000005</v>
      </c>
      <c r="D118" s="912">
        <f>ROUND(0.7043-0.012*B113,4)</f>
        <v>0.69689999999999996</v>
      </c>
      <c r="E118" s="912">
        <f>D118</f>
        <v>0.69689999999999996</v>
      </c>
      <c r="F118" s="912">
        <f>E118</f>
        <v>0.69689999999999996</v>
      </c>
      <c r="G118" s="912">
        <f>ROUND(0.6299-0.0122*B113,4)</f>
        <v>0.62229999999999996</v>
      </c>
      <c r="H118" s="912">
        <f>G118</f>
        <v>0.62229999999999996</v>
      </c>
      <c r="I118" s="912">
        <f>ROUND(0.5667-0.0136*B113,4)</f>
        <v>0.55830000000000002</v>
      </c>
      <c r="J118" s="912">
        <f t="shared" si="34"/>
        <v>0.55830000000000002</v>
      </c>
      <c r="K118" s="912">
        <f t="shared" si="34"/>
        <v>0.55830000000000002</v>
      </c>
      <c r="L118" s="912">
        <f t="shared" si="34"/>
        <v>0.55830000000000002</v>
      </c>
      <c r="M118" s="913">
        <f t="shared" si="34"/>
        <v>0.55830000000000002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G43" sqref="G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40.520000000000003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12100</v>
      </c>
      <c r="C2" s="1848" t="s">
        <v>1516</v>
      </c>
      <c r="D2" s="1848"/>
      <c r="E2" s="1849"/>
      <c r="F2" s="1850"/>
      <c r="G2" s="1851"/>
      <c r="H2" s="1843"/>
      <c r="I2" s="1843"/>
      <c r="J2" s="1843"/>
      <c r="K2" s="1844"/>
      <c r="L2" s="1843"/>
      <c r="M2" s="1843"/>
    </row>
    <row r="3" spans="1:37" ht="18" customHeight="1" thickBot="1">
      <c r="A3" s="1852" t="s">
        <v>1517</v>
      </c>
      <c r="B3" s="1853">
        <f ca="1">IF(ISERROR(B2*10000/F43),0,ROUND(B2*10000/F43,0))</f>
        <v>42241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820</v>
      </c>
      <c r="D5" s="1825" t="s">
        <v>1402</v>
      </c>
      <c r="E5" s="1296"/>
      <c r="F5" s="1297"/>
      <c r="G5" s="1854"/>
      <c r="H5" s="344">
        <v>1</v>
      </c>
      <c r="I5" s="345" t="s">
        <v>1401</v>
      </c>
      <c r="J5" s="1295">
        <f ca="1">J6+J10+J12</f>
        <v>0</v>
      </c>
      <c r="K5" s="1825" t="s">
        <v>1402</v>
      </c>
      <c r="L5" s="1296"/>
      <c r="M5" s="1297"/>
    </row>
    <row r="6" spans="1:37" ht="18" customHeight="1">
      <c r="A6" s="1294" t="s">
        <v>1035</v>
      </c>
      <c r="B6" s="3246" t="s">
        <v>1403</v>
      </c>
      <c r="C6" s="1299">
        <f ca="1">ROUND(F6*F8*F7*(1-F9)/10000,0)</f>
        <v>819</v>
      </c>
      <c r="D6" s="164" t="s">
        <v>3032</v>
      </c>
      <c r="E6" s="347" t="s">
        <v>1405</v>
      </c>
      <c r="F6" s="348">
        <f ca="1">INDIRECT("'数据-取费表'!u"&amp;$G$1)</f>
        <v>8.6999999999999993</v>
      </c>
      <c r="G6" s="1854"/>
      <c r="H6" s="1294" t="s">
        <v>1035</v>
      </c>
      <c r="I6" s="3246" t="s">
        <v>1403</v>
      </c>
      <c r="J6" s="346">
        <f ca="1">ROUND(M6*M8*M7*(1-M9)/10000,0)</f>
        <v>0</v>
      </c>
      <c r="K6" s="164" t="s">
        <v>3031</v>
      </c>
      <c r="L6" s="347" t="s">
        <v>1405</v>
      </c>
      <c r="M6" s="348">
        <f ca="1">INDIRECT("'数据-取费表'!z"&amp;$G$1)</f>
        <v>0</v>
      </c>
    </row>
    <row r="7" spans="1:37" ht="18" customHeight="1">
      <c r="A7" s="1298"/>
      <c r="B7" s="3247"/>
      <c r="C7" s="1300"/>
      <c r="D7" s="352"/>
      <c r="E7" s="1301" t="s">
        <v>1406</v>
      </c>
      <c r="F7" s="348">
        <f ca="1">IF(INDIRECT("'数据-取费表'!ah"&amp;$G$1)="",INDIRECT("'数据-取费表'!k"&amp;$G$1),INDIRECT("'数据-取费表'!ah"&amp;$G$1))</f>
        <v>2864.5</v>
      </c>
      <c r="G7" s="1854"/>
      <c r="H7" s="349"/>
      <c r="I7" s="3247"/>
      <c r="J7" s="351"/>
      <c r="K7" s="352"/>
      <c r="L7" s="347" t="s">
        <v>1406</v>
      </c>
      <c r="M7" s="348">
        <f ca="1">F7</f>
        <v>2864.5</v>
      </c>
    </row>
    <row r="8" spans="1:37" ht="18" customHeight="1">
      <c r="A8" s="349"/>
      <c r="B8" s="3247"/>
      <c r="C8" s="351"/>
      <c r="D8" s="352"/>
      <c r="E8" s="347" t="s">
        <v>1407</v>
      </c>
      <c r="F8" s="348">
        <f ca="1">INDIRECT("'数据-取费表'!ai"&amp;$G$1)</f>
        <v>365</v>
      </c>
      <c r="G8" s="1854"/>
      <c r="H8" s="349"/>
      <c r="I8" s="3247"/>
      <c r="J8" s="351"/>
      <c r="K8" s="352"/>
      <c r="L8" s="347" t="s">
        <v>1407</v>
      </c>
      <c r="M8" s="348">
        <f ca="1">INDIRECT("'数据-取费表'!ai"&amp;$G$1)</f>
        <v>365</v>
      </c>
    </row>
    <row r="9" spans="1:37" ht="18" customHeight="1">
      <c r="A9" s="349"/>
      <c r="B9" s="3248"/>
      <c r="C9" s="351"/>
      <c r="D9" s="352"/>
      <c r="E9" s="347" t="s">
        <v>1408</v>
      </c>
      <c r="F9" s="357">
        <f ca="1">INDIRECT("'数据-取费表'!w"&amp;$G$1)</f>
        <v>0.1</v>
      </c>
      <c r="G9" s="1854"/>
      <c r="H9" s="349"/>
      <c r="I9" s="3248"/>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3041</v>
      </c>
      <c r="E10" s="358" t="s">
        <v>1410</v>
      </c>
      <c r="F10" s="1369" t="s">
        <v>3207</v>
      </c>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966</v>
      </c>
      <c r="D13" s="1334" t="s">
        <v>1415</v>
      </c>
      <c r="E13" s="1334" t="s">
        <v>1416</v>
      </c>
      <c r="F13" s="1335">
        <f ca="1">INDIRECT("'数据-取费表'!y"&amp;$G$1)</f>
        <v>0.7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859</v>
      </c>
      <c r="D14" s="1803" t="s">
        <v>1418</v>
      </c>
      <c r="E14" s="1797"/>
      <c r="F14" s="364"/>
      <c r="G14" s="1854"/>
      <c r="H14" s="1204" t="s">
        <v>1035</v>
      </c>
      <c r="I14" s="347" t="s">
        <v>1419</v>
      </c>
      <c r="J14" s="24">
        <f ca="1">C29</f>
        <v>1380</v>
      </c>
      <c r="K14" s="15"/>
      <c r="L14" s="982"/>
      <c r="M14" s="983"/>
    </row>
    <row r="15" spans="1:37" s="1861" customFormat="1" ht="18" customHeight="1" thickBot="1">
      <c r="A15" s="1204" t="s">
        <v>1036</v>
      </c>
      <c r="B15" s="347" t="s">
        <v>1420</v>
      </c>
      <c r="C15" s="24">
        <f ca="1">ROUND(C14*F15,0)</f>
        <v>26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50</v>
      </c>
      <c r="K16" s="1340" t="s">
        <v>1425</v>
      </c>
      <c r="L16" s="1341"/>
      <c r="M16" s="1297"/>
    </row>
    <row r="17" spans="1:37" s="1861" customFormat="1" ht="18" customHeight="1">
      <c r="A17" s="1204" t="s">
        <v>1390</v>
      </c>
      <c r="B17" s="347" t="s">
        <v>1426</v>
      </c>
      <c r="C17" s="24">
        <f ca="1">ROUND(F17*(F43+INDIRECT("'数据-取费表'!S"&amp;$G$1))/10000,0)</f>
        <v>57</v>
      </c>
      <c r="D17" s="347" t="s">
        <v>1427</v>
      </c>
      <c r="E17" s="347" t="s">
        <v>1428</v>
      </c>
      <c r="F17" s="26">
        <f>'数据-取费表'!B35</f>
        <v>200</v>
      </c>
      <c r="G17" s="1857"/>
      <c r="H17" s="1204" t="s">
        <v>1035</v>
      </c>
      <c r="I17" s="347" t="s">
        <v>1429</v>
      </c>
      <c r="J17" s="24">
        <f ca="1">ROUND(IF(项目基本情况!B11="自然人",J5*M17,J18+J19+J20),1)</f>
        <v>22.7</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955</v>
      </c>
      <c r="D19" s="140" t="s">
        <v>1436</v>
      </c>
      <c r="E19" s="1821"/>
      <c r="F19" s="26"/>
      <c r="G19" s="1854"/>
      <c r="H19" s="1204" t="s">
        <v>1036</v>
      </c>
      <c r="I19" s="347" t="s">
        <v>1437</v>
      </c>
      <c r="J19" s="24">
        <f ca="1">IF(K19="按租金收入计税",ROUND(J5*M19,2),ROUND(C29*M19*0.7,2))</f>
        <v>11.59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19</v>
      </c>
      <c r="D20" s="369" t="s">
        <v>1440</v>
      </c>
      <c r="E20" s="347" t="s">
        <v>1422</v>
      </c>
      <c r="F20" s="367">
        <f>'数据-取费表'!B37</f>
        <v>0.02</v>
      </c>
      <c r="G20" s="1857"/>
      <c r="H20" s="1204" t="s">
        <v>1389</v>
      </c>
      <c r="I20" s="164" t="s">
        <v>1441</v>
      </c>
      <c r="J20" s="25">
        <f ca="1">ROUND(M20*M21/10000,2)</f>
        <v>11.13</v>
      </c>
      <c r="K20" s="370" t="s">
        <v>1442</v>
      </c>
      <c r="L20" s="347" t="s">
        <v>1443</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4638.1000000000004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27.6</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-50</v>
      </c>
      <c r="K25" s="1348" t="s">
        <v>1464</v>
      </c>
      <c r="L25" s="1349"/>
      <c r="M25" s="1350"/>
    </row>
    <row r="26" spans="1:37">
      <c r="A26" s="1204" t="s">
        <v>1034</v>
      </c>
      <c r="B26" s="347" t="s">
        <v>1465</v>
      </c>
      <c r="C26" s="24">
        <f ca="1">ROUND((C19+C20)*F26,0)</f>
        <v>244</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7.4999999999999997E-3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1380</v>
      </c>
      <c r="D29" s="1345"/>
      <c r="E29" s="1343"/>
      <c r="F29" s="1346"/>
      <c r="G29" s="1857"/>
      <c r="H29" s="380" t="s">
        <v>1033</v>
      </c>
      <c r="I29" s="381" t="s">
        <v>1479</v>
      </c>
      <c r="J29" s="382">
        <f ca="1">ROUND(J26/(1+F40)^F41,0)</f>
        <v>0</v>
      </c>
      <c r="K29" s="383" t="s">
        <v>1480</v>
      </c>
      <c r="L29" s="384"/>
      <c r="M29" s="385">
        <f ca="1">INDIRECT("'数据-取费表'!k"&amp;$G$1)</f>
        <v>2864.5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207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153.30000000000001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43.73</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98.4</v>
      </c>
      <c r="D33" s="1831" t="s">
        <v>3185</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11.13</v>
      </c>
      <c r="D34" s="370" t="s">
        <v>1442</v>
      </c>
      <c r="E34" s="347" t="s">
        <v>1443</v>
      </c>
      <c r="F34" s="371">
        <f>'数据-取费表'!B52</f>
        <v>24</v>
      </c>
      <c r="G34" s="1854"/>
      <c r="H34" s="745"/>
      <c r="I34" s="1863"/>
      <c r="J34" s="1864"/>
      <c r="K34" s="1866"/>
      <c r="L34" s="1867"/>
      <c r="M34" s="1867"/>
    </row>
    <row r="35" spans="1:18" ht="18" customHeight="1">
      <c r="A35" s="1356"/>
      <c r="B35" s="1354"/>
      <c r="C35" s="29"/>
      <c r="D35" s="373"/>
      <c r="E35" s="347" t="s">
        <v>1447</v>
      </c>
      <c r="F35" s="348">
        <f ca="1">INDIRECT("'数据-取费表'!r"&amp;$G$1)</f>
        <v>4638.1000000000004</v>
      </c>
      <c r="G35" s="1854"/>
      <c r="H35" s="745"/>
      <c r="I35" s="1863"/>
      <c r="J35" s="1864"/>
      <c r="K35" s="1865"/>
      <c r="L35" s="1862"/>
      <c r="M35" s="1862"/>
    </row>
    <row r="36" spans="1:18" ht="18" customHeight="1">
      <c r="A36" s="1355" t="s">
        <v>1039</v>
      </c>
      <c r="B36" s="347" t="s">
        <v>1449</v>
      </c>
      <c r="C36" s="24">
        <f ca="1">ROUND(C29*F36,1)</f>
        <v>27.6</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1.9</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24.6</v>
      </c>
      <c r="D38" s="1345" t="s">
        <v>1459</v>
      </c>
      <c r="E38" s="1343" t="s">
        <v>1455</v>
      </c>
      <c r="F38" s="1339">
        <f ca="1">INDIRECT("'数据-取费表'!Am"&amp;$G$1)</f>
        <v>0.03</v>
      </c>
      <c r="G38" s="1854"/>
      <c r="H38" s="1862"/>
      <c r="I38" s="1863"/>
      <c r="J38" s="1864"/>
      <c r="K38" s="1868"/>
      <c r="L38" s="1862"/>
      <c r="M38" s="1862"/>
    </row>
    <row r="39" spans="1:18" ht="24.6" customHeight="1" thickTop="1">
      <c r="A39" s="1332" t="s">
        <v>1031</v>
      </c>
      <c r="B39" s="1347" t="s">
        <v>1483</v>
      </c>
      <c r="C39" s="355">
        <f ca="1">C5-C30</f>
        <v>613</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12100</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40.520000000000003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42241</v>
      </c>
      <c r="D43" s="383" t="s">
        <v>1488</v>
      </c>
      <c r="E43" s="384" t="s">
        <v>1489</v>
      </c>
      <c r="F43" s="385">
        <f ca="1">INDIRECT("'数据-取费表'!k"&amp;$G$1)</f>
        <v>2864.5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-14470</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2988" t="s">
        <v>3204</v>
      </c>
      <c r="K47" s="1885" t="s">
        <v>1527</v>
      </c>
      <c r="L47" s="1886">
        <f ca="1">INDIRECT("'数据-取费表'!d"&amp;$G$1)</f>
        <v>50</v>
      </c>
      <c r="M47" s="1841" t="str">
        <f>IF(ISNUMBER(FIND("住宅",C1)),"住宅","非住宅")</f>
        <v>非住宅</v>
      </c>
      <c r="O47" s="1887" t="s">
        <v>1040</v>
      </c>
      <c r="P47" s="1888" t="s">
        <v>1528</v>
      </c>
      <c r="Q47" s="1889">
        <f ca="1">C40+J29</f>
        <v>12100</v>
      </c>
      <c r="R47" s="1889" t="s">
        <v>1529</v>
      </c>
    </row>
    <row r="48" spans="1:18" s="1845" customFormat="1" ht="28.5" thickBot="1">
      <c r="A48" s="1363" t="s">
        <v>1135</v>
      </c>
      <c r="B48" s="345" t="s">
        <v>1401</v>
      </c>
      <c r="C48" s="1820">
        <f ca="1">C49+C53+C55</f>
        <v>0</v>
      </c>
      <c r="D48" s="1365"/>
      <c r="E48" s="1366"/>
      <c r="F48" s="1184"/>
      <c r="G48" s="792"/>
      <c r="H48" s="793"/>
      <c r="I48" s="1890" t="s">
        <v>1530</v>
      </c>
      <c r="J48" s="1891" t="s">
        <v>3197</v>
      </c>
      <c r="K48" s="1892" t="s">
        <v>1531</v>
      </c>
      <c r="L48" s="1893">
        <f ca="1">INDIRECT("'数据-取费表'!f"&amp;$G$1)</f>
        <v>40.520000000000003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3033</v>
      </c>
      <c r="E49" s="1833" t="s">
        <v>1491</v>
      </c>
      <c r="F49" s="1284"/>
      <c r="G49" s="1894"/>
      <c r="H49" s="793"/>
      <c r="I49" s="1890" t="s">
        <v>1534</v>
      </c>
      <c r="J49" s="1895">
        <v>2010</v>
      </c>
      <c r="K49" s="1892" t="s">
        <v>1535</v>
      </c>
      <c r="L49" s="1896"/>
      <c r="O49" s="1897" t="s">
        <v>1042</v>
      </c>
      <c r="P49" s="1888" t="s">
        <v>1536</v>
      </c>
      <c r="Q49" s="1889">
        <f ca="1">C29</f>
        <v>1380</v>
      </c>
      <c r="R49" s="1889" t="s">
        <v>1529</v>
      </c>
    </row>
    <row r="50" spans="1:18" s="1845" customFormat="1" ht="13.5" thickBot="1">
      <c r="A50" s="1198"/>
      <c r="B50" s="1201"/>
      <c r="C50" s="1371"/>
      <c r="D50" s="1175"/>
      <c r="E50" s="1280" t="s">
        <v>1406</v>
      </c>
      <c r="F50" s="1281">
        <f ca="1">F7</f>
        <v>2864.5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42</v>
      </c>
      <c r="K51" s="1903" t="s">
        <v>1541</v>
      </c>
      <c r="L51" s="1904">
        <f ca="1">ROUND(-PV(INDIRECT("'数据-取费表'!h"&amp;$G$1),L48,(C39-C13*C76),0),0)</f>
        <v>9147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40.520000000000003</v>
      </c>
      <c r="R52" s="1889" t="s">
        <v>1546</v>
      </c>
    </row>
    <row r="53" spans="1:18" s="1845" customFormat="1" ht="24.75" thickBot="1">
      <c r="A53" s="1408" t="s">
        <v>1137</v>
      </c>
      <c r="B53" s="1834" t="s">
        <v>1409</v>
      </c>
      <c r="C53" s="361">
        <f ca="1">ROUND(IF(F53="押一",C49/12*F11,IF(F53="押二",C49/12*2*F11,IF(F53="押三",C49/12*3*F11,C54*F11))),0)</f>
        <v>0</v>
      </c>
      <c r="D53" s="1827" t="s">
        <v>3040</v>
      </c>
      <c r="E53" s="358" t="s">
        <v>1410</v>
      </c>
      <c r="F53" s="1369"/>
      <c r="I53" s="1908" t="s">
        <v>1547</v>
      </c>
      <c r="J53" s="1909">
        <f ca="1">IF(M47="住宅",J51,IF(D1="——",MIN(J51,L48),IF(D1="在建（套用方法）",MIN(J51,L48-'数据-取费表'!B24),IF(D1="土地（套用方法）",MIN(J51,L48-'数据-取费表'!B20)))))</f>
        <v>40.520000000000003</v>
      </c>
      <c r="K53" s="3244" t="s">
        <v>1548</v>
      </c>
      <c r="L53" s="3245"/>
      <c r="O53" s="1887" t="s">
        <v>1046</v>
      </c>
      <c r="P53" s="1888" t="s">
        <v>1549</v>
      </c>
      <c r="Q53" s="1889">
        <f ca="1">Q47+Q48</f>
        <v>12100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966</v>
      </c>
      <c r="D56" s="1917"/>
      <c r="E56" s="1918"/>
      <c r="F56" s="1910"/>
      <c r="I56" s="1919" t="s">
        <v>1554</v>
      </c>
      <c r="J56" s="1920" t="s">
        <v>3182</v>
      </c>
      <c r="K56" s="1890" t="s">
        <v>1555</v>
      </c>
      <c r="L56" s="1893" t="str">
        <f ca="1">IF(L48&lt;J51,"——",L48-J53)</f>
        <v>——</v>
      </c>
      <c r="O56" s="1887" t="s">
        <v>1040</v>
      </c>
      <c r="P56" s="1888" t="s">
        <v>1528</v>
      </c>
      <c r="Q56" s="1889">
        <f ca="1">C40+J29</f>
        <v>12100</v>
      </c>
      <c r="R56" s="1889" t="s">
        <v>1529</v>
      </c>
    </row>
    <row r="57" spans="1:18" s="1845" customFormat="1" ht="24.75" thickBot="1">
      <c r="A57" s="1921"/>
      <c r="B57" s="1172" t="s">
        <v>1478</v>
      </c>
      <c r="C57" s="282">
        <f ca="1">C29</f>
        <v>1380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157</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127.1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115.92</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11.13</v>
      </c>
      <c r="D62" s="1187" t="s">
        <v>1497</v>
      </c>
      <c r="E62" s="1172" t="s">
        <v>1498</v>
      </c>
      <c r="F62" s="371">
        <f t="shared" si="0"/>
        <v>24</v>
      </c>
      <c r="I62" s="1932" t="s">
        <v>1570</v>
      </c>
      <c r="J62" s="1933" t="s">
        <v>1571</v>
      </c>
      <c r="K62" s="1933" t="s">
        <v>1572</v>
      </c>
      <c r="L62" s="1933" t="s">
        <v>1573</v>
      </c>
      <c r="M62" s="1934" t="s">
        <v>1574</v>
      </c>
      <c r="O62" s="1887" t="s">
        <v>1046</v>
      </c>
      <c r="P62" s="1888" t="s">
        <v>1575</v>
      </c>
      <c r="Q62" s="1889">
        <f ca="1">Q56+Q57</f>
        <v>12100</v>
      </c>
      <c r="R62" s="1889" t="s">
        <v>1047</v>
      </c>
    </row>
    <row r="63" spans="1:18" s="1845" customFormat="1" ht="13.5" thickBot="1">
      <c r="A63" s="372"/>
      <c r="B63" s="1178"/>
      <c r="C63" s="29"/>
      <c r="D63" s="1188"/>
      <c r="E63" s="1172" t="s">
        <v>1499</v>
      </c>
      <c r="F63" s="348">
        <f t="shared" ca="1" si="0"/>
        <v>4638.1000000000004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27.6</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1.9</v>
      </c>
      <c r="D65" s="1186" t="s">
        <v>1454</v>
      </c>
      <c r="E65" s="1172" t="s">
        <v>1455</v>
      </c>
      <c r="F65" s="376">
        <f t="shared" ca="1" si="0"/>
        <v>2E-3</v>
      </c>
      <c r="I65" s="1932" t="s">
        <v>1579</v>
      </c>
      <c r="J65" s="1933">
        <v>40</v>
      </c>
      <c r="K65" s="1933">
        <v>30</v>
      </c>
      <c r="L65" s="1933">
        <v>50</v>
      </c>
      <c r="M65" s="1935">
        <v>0.02</v>
      </c>
      <c r="O65" s="1887" t="s">
        <v>1040</v>
      </c>
      <c r="P65" s="1888" t="s">
        <v>1580</v>
      </c>
      <c r="Q65" s="1889">
        <f ca="1">C40+J29</f>
        <v>12100</v>
      </c>
      <c r="R65" s="1889" t="s">
        <v>1529</v>
      </c>
    </row>
    <row r="66" spans="1:18" s="1845" customFormat="1" ht="16.5" thickBot="1">
      <c r="A66" s="1204" t="s">
        <v>1504</v>
      </c>
      <c r="B66" s="1172" t="s">
        <v>1439</v>
      </c>
      <c r="C66" s="24">
        <f ca="1">ROUND(C48*F66,1)</f>
        <v>0</v>
      </c>
      <c r="D66" s="1186" t="s">
        <v>1505</v>
      </c>
      <c r="E66" s="1172" t="s">
        <v>1422</v>
      </c>
      <c r="F66" s="357">
        <f t="shared" ca="1" si="0"/>
        <v>0.03</v>
      </c>
      <c r="O66" s="1887" t="s">
        <v>1041</v>
      </c>
      <c r="P66" s="1888" t="s">
        <v>1558</v>
      </c>
      <c r="Q66" s="1889">
        <f ca="1">L60</f>
        <v>0</v>
      </c>
      <c r="R66" s="1889" t="s">
        <v>1581</v>
      </c>
    </row>
    <row r="67" spans="1:18" s="1845" customFormat="1" ht="16.5" thickBot="1">
      <c r="A67" s="1179" t="s">
        <v>1031</v>
      </c>
      <c r="B67" s="1189" t="s">
        <v>1463</v>
      </c>
      <c r="C67" s="361">
        <f ca="1">C48-C58</f>
        <v>-157</v>
      </c>
      <c r="D67" s="1185" t="s">
        <v>1464</v>
      </c>
      <c r="E67" s="1190"/>
      <c r="F67" s="1191"/>
      <c r="O67" s="1897" t="s">
        <v>1042</v>
      </c>
      <c r="P67" s="1888" t="s">
        <v>1562</v>
      </c>
      <c r="Q67" s="1936">
        <f ca="1">L51</f>
        <v>9147</v>
      </c>
      <c r="R67" s="1889" t="s">
        <v>1582</v>
      </c>
    </row>
    <row r="68" spans="1:18" s="1845" customFormat="1" ht="16.5" thickBot="1">
      <c r="A68" s="1169" t="s">
        <v>1032</v>
      </c>
      <c r="B68" s="1170" t="s">
        <v>1485</v>
      </c>
      <c r="C68" s="346">
        <f ca="1">ROUND(C67*(1-((1+F70)/(1+F68))^F69)/(F68-F70),0)</f>
        <v>-2370</v>
      </c>
      <c r="D68" s="1187" t="s">
        <v>1469</v>
      </c>
      <c r="E68" s="1172" t="s">
        <v>1470</v>
      </c>
      <c r="F68" s="357">
        <f ca="1">F40</f>
        <v>0.06</v>
      </c>
      <c r="O68" s="1897" t="s">
        <v>1043</v>
      </c>
      <c r="P68" s="1937" t="s">
        <v>1583</v>
      </c>
      <c r="Q68" s="1889">
        <f ca="1">ROUND(Q69-Q70*Q71,0)</f>
        <v>531</v>
      </c>
      <c r="R68" s="1889" t="s">
        <v>1051</v>
      </c>
    </row>
    <row r="69" spans="1:18" s="1845" customFormat="1" ht="13.5" thickBot="1">
      <c r="A69" s="1173"/>
      <c r="B69" s="1174"/>
      <c r="C69" s="351"/>
      <c r="D69" s="1192" t="s">
        <v>1473</v>
      </c>
      <c r="E69" s="1172" t="s">
        <v>1474</v>
      </c>
      <c r="F69" s="379">
        <f ca="1">F41</f>
        <v>40.520000000000003</v>
      </c>
      <c r="O69" s="1897" t="s">
        <v>1048</v>
      </c>
      <c r="P69" s="1937" t="s">
        <v>1584</v>
      </c>
      <c r="Q69" s="1889">
        <f ca="1">C39</f>
        <v>613</v>
      </c>
      <c r="R69" s="1889" t="s">
        <v>1529</v>
      </c>
    </row>
    <row r="70" spans="1:18" s="1845" customFormat="1" ht="13.5" thickBot="1">
      <c r="A70" s="1176"/>
      <c r="B70" s="1177"/>
      <c r="C70" s="355"/>
      <c r="D70" s="1188"/>
      <c r="E70" s="1172" t="s">
        <v>1477</v>
      </c>
      <c r="F70" s="1278"/>
      <c r="O70" s="1897" t="s">
        <v>1049</v>
      </c>
      <c r="P70" s="1937" t="s">
        <v>1585</v>
      </c>
      <c r="Q70" s="1889">
        <f ca="1">C13</f>
        <v>966</v>
      </c>
      <c r="R70" s="1889" t="s">
        <v>1529</v>
      </c>
    </row>
    <row r="71" spans="1:18" s="1845" customFormat="1" ht="13.5" thickBot="1">
      <c r="A71" s="1193" t="s">
        <v>1033</v>
      </c>
      <c r="B71" s="1194" t="s">
        <v>1487</v>
      </c>
      <c r="C71" s="382">
        <f ca="1">ROUND(C68*10000/F71,0)</f>
        <v>-8274</v>
      </c>
      <c r="D71" s="1195" t="s">
        <v>1488</v>
      </c>
      <c r="E71" s="1196" t="s">
        <v>1489</v>
      </c>
      <c r="F71" s="385">
        <f ca="1">F43</f>
        <v>2864.5</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82</v>
      </c>
      <c r="D75" s="1845"/>
      <c r="E75" s="1845"/>
      <c r="F75" s="1845"/>
      <c r="K75" s="1871"/>
      <c r="L75" s="1845"/>
      <c r="O75" s="1887" t="s">
        <v>1046</v>
      </c>
      <c r="P75" s="1888" t="s">
        <v>1549</v>
      </c>
      <c r="Q75" s="1889">
        <f ca="1">Q65+Q66</f>
        <v>12100</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0.86599999999999999</v>
      </c>
    </row>
    <row r="80" spans="1:18">
      <c r="B80" s="386" t="s">
        <v>1511</v>
      </c>
      <c r="C80" s="318">
        <f ca="1">ROUND(C75/C39,3)</f>
        <v>0.13400000000000001</v>
      </c>
    </row>
    <row r="81" spans="2:3">
      <c r="B81" s="314" t="s">
        <v>1512</v>
      </c>
      <c r="C81" s="282"/>
    </row>
    <row r="82" spans="2:3">
      <c r="B82" s="317" t="s">
        <v>1513</v>
      </c>
      <c r="C82" s="319">
        <f ca="1">1-C83</f>
        <v>0.92</v>
      </c>
    </row>
    <row r="83" spans="2:3">
      <c r="B83" s="317" t="s">
        <v>1514</v>
      </c>
      <c r="C83" s="318">
        <f ca="1">ROUND(C13/C40,3)</f>
        <v>0.08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46" t="s">
        <v>1403</v>
      </c>
      <c r="C6" s="1299">
        <f ca="1">ROUND(F6*F8*F7*(1-F9),0)</f>
        <v>0</v>
      </c>
      <c r="D6" s="164" t="s">
        <v>3029</v>
      </c>
      <c r="E6" s="347" t="s">
        <v>1405</v>
      </c>
      <c r="F6" s="348">
        <f ca="1">INDIRECT("'数据-取费表'!u"&amp;$G$1)</f>
        <v>0</v>
      </c>
      <c r="G6" s="1854"/>
      <c r="H6" s="1294" t="s">
        <v>1035</v>
      </c>
      <c r="I6" s="3246" t="s">
        <v>1403</v>
      </c>
      <c r="J6" s="346">
        <f ca="1">ROUND(M6*M8*M7*(1-M9),0)</f>
        <v>0</v>
      </c>
      <c r="K6" s="1837" t="s">
        <v>3030</v>
      </c>
      <c r="L6" s="347" t="s">
        <v>1405</v>
      </c>
      <c r="M6" s="348">
        <f ca="1">INDIRECT("'数据-取费表'!z"&amp;$G$1)</f>
        <v>0</v>
      </c>
    </row>
    <row r="7" spans="1:37" ht="18" customHeight="1">
      <c r="A7" s="1298"/>
      <c r="B7" s="3247"/>
      <c r="C7" s="1300"/>
      <c r="D7" s="352"/>
      <c r="E7" s="1301" t="s">
        <v>1406</v>
      </c>
      <c r="F7" s="348">
        <f ca="1">IF(INDIRECT("'数据-取费表'!ah"&amp;$G$1)="",INDIRECT("'数据-取费表'!k"&amp;$G$1),INDIRECT("'数据-取费表'!ah"&amp;$G$1))</f>
        <v>0</v>
      </c>
      <c r="G7" s="1854"/>
      <c r="H7" s="349"/>
      <c r="I7" s="3247"/>
      <c r="J7" s="351"/>
      <c r="K7" s="352"/>
      <c r="L7" s="347" t="s">
        <v>1406</v>
      </c>
      <c r="M7" s="348">
        <f ca="1">F7</f>
        <v>0</v>
      </c>
    </row>
    <row r="8" spans="1:37" ht="18" customHeight="1">
      <c r="A8" s="349"/>
      <c r="B8" s="3247"/>
      <c r="C8" s="351"/>
      <c r="D8" s="352"/>
      <c r="E8" s="347" t="s">
        <v>1407</v>
      </c>
      <c r="F8" s="348">
        <f ca="1">INDIRECT("'数据-取费表'!ai"&amp;$G$1)</f>
        <v>0</v>
      </c>
      <c r="G8" s="1854"/>
      <c r="H8" s="349"/>
      <c r="I8" s="3247"/>
      <c r="J8" s="351"/>
      <c r="K8" s="352"/>
      <c r="L8" s="347" t="s">
        <v>1407</v>
      </c>
      <c r="M8" s="348">
        <f ca="1">INDIRECT("'数据-取费表'!ai"&amp;$G$1)</f>
        <v>0</v>
      </c>
    </row>
    <row r="9" spans="1:37" ht="18" customHeight="1">
      <c r="A9" s="349"/>
      <c r="B9" s="3248"/>
      <c r="C9" s="351"/>
      <c r="D9" s="352"/>
      <c r="E9" s="347" t="s">
        <v>1408</v>
      </c>
      <c r="F9" s="357">
        <f ca="1">INDIRECT("'数据-取费表'!w"&amp;$G$1)</f>
        <v>0</v>
      </c>
      <c r="G9" s="1854"/>
      <c r="H9" s="349"/>
      <c r="I9" s="324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24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IF(M47="住宅",J51,IF(D1="——",MIN(J51,L48),IF(D1="在建（套用方法）",MIN(J51,L48-'数据-取费表'!B24),IF(D1="土地（套用方法）",MIN(J51,L48-'数据-取费表'!B20)))))</f>
        <v>0</v>
      </c>
      <c r="K53" s="3244" t="s">
        <v>1548</v>
      </c>
      <c r="L53" s="324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24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tabColor rgb="FF92D050"/>
  </sheetPr>
  <dimension ref="A1:F13"/>
  <sheetViews>
    <sheetView workbookViewId="0">
      <selection activeCell="J10" sqref="J10"/>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2527</v>
      </c>
      <c r="B1" s="2567"/>
      <c r="C1" s="2567"/>
      <c r="D1" s="2567"/>
      <c r="E1" s="2568"/>
    </row>
    <row r="2" spans="1:6" ht="15.75">
      <c r="A2" s="2569" t="s">
        <v>2328</v>
      </c>
      <c r="B2" s="2570">
        <f ca="1">SUMIF(B6:B13,"&lt;&gt;#ref!",B6:B13)</f>
        <v>12100</v>
      </c>
      <c r="C2" s="2571" t="s">
        <v>2520</v>
      </c>
      <c r="D2" s="2572" t="s">
        <v>2521</v>
      </c>
      <c r="E2" s="2573">
        <f>SUM(E6:E13)</f>
        <v>2864.5</v>
      </c>
    </row>
    <row r="3" spans="1:6" ht="15.75">
      <c r="A3" s="2569" t="s">
        <v>1395</v>
      </c>
      <c r="B3" s="2570">
        <f ca="1">ROUND(B2*10000/E2,0)</f>
        <v>42241</v>
      </c>
      <c r="C3" s="2571" t="s">
        <v>2528</v>
      </c>
      <c r="D3" s="2574"/>
      <c r="E3" s="2575"/>
    </row>
    <row r="4" spans="1:6" ht="15.75">
      <c r="A4" s="2576"/>
      <c r="B4" s="2574"/>
      <c r="C4" s="2574"/>
      <c r="D4" s="2574"/>
      <c r="E4" s="2575"/>
    </row>
    <row r="5" spans="1:6" ht="15">
      <c r="A5" s="2577" t="s">
        <v>2522</v>
      </c>
      <c r="B5" s="3249" t="s">
        <v>2523</v>
      </c>
      <c r="C5" s="3249"/>
      <c r="D5" s="2578"/>
      <c r="E5" s="2579" t="s">
        <v>2524</v>
      </c>
      <c r="F5" s="2580" t="s">
        <v>2525</v>
      </c>
    </row>
    <row r="6" spans="1:6">
      <c r="A6" s="2581" t="str">
        <f>'数据-取费表'!AN6</f>
        <v>收益法</v>
      </c>
      <c r="B6" s="2580">
        <f ca="1">IF(F6="是",'数据-取费表'!AO6,0)</f>
        <v>12100</v>
      </c>
      <c r="C6" s="2571" t="s">
        <v>2520</v>
      </c>
      <c r="D6" s="2574"/>
      <c r="E6" s="2582">
        <f>IF(OR(A6=0,F6="否"),0,'数据-取费表'!K6+'数据-取费表'!S6)</f>
        <v>2864.5</v>
      </c>
      <c r="F6" s="2583" t="s">
        <v>2526</v>
      </c>
    </row>
    <row r="7" spans="1:6">
      <c r="A7" s="2581">
        <f>'数据-取费表'!AN7</f>
        <v>0</v>
      </c>
      <c r="B7" s="2580" t="e">
        <f ca="1">IF(F7="是",'数据-取费表'!AO7,0)</f>
        <v>#REF!</v>
      </c>
      <c r="C7" s="2571" t="s">
        <v>2520</v>
      </c>
      <c r="D7" s="2574"/>
      <c r="E7" s="2582">
        <f>IF(OR(A7=0,F7="否"),0,'数据-取费表'!K7+'数据-取费表'!S7)</f>
        <v>0</v>
      </c>
      <c r="F7" s="2583" t="s">
        <v>2526</v>
      </c>
    </row>
    <row r="8" spans="1:6">
      <c r="A8" s="2581">
        <f>'数据-取费表'!AN8</f>
        <v>0</v>
      </c>
      <c r="B8" s="2580" t="e">
        <f ca="1">IF(F8="是",'数据-取费表'!AO8,0)</f>
        <v>#REF!</v>
      </c>
      <c r="C8" s="2571" t="s">
        <v>2520</v>
      </c>
      <c r="D8" s="2574"/>
      <c r="E8" s="2582">
        <f>IF(OR(A8=0,F8="否"),0,'数据-取费表'!K8+'数据-取费表'!S8)</f>
        <v>0</v>
      </c>
      <c r="F8" s="2583" t="s">
        <v>2526</v>
      </c>
    </row>
    <row r="9" spans="1:6">
      <c r="A9" s="2581">
        <f>'数据-取费表'!AN9</f>
        <v>0</v>
      </c>
      <c r="B9" s="2580" t="e">
        <f ca="1">IF(F9="是",'数据-取费表'!AO9,0)</f>
        <v>#REF!</v>
      </c>
      <c r="C9" s="2571" t="s">
        <v>2520</v>
      </c>
      <c r="D9" s="2574"/>
      <c r="E9" s="2582">
        <f>IF(OR(A9=0,F9="否"),0,'数据-取费表'!K9+'数据-取费表'!S9)</f>
        <v>0</v>
      </c>
      <c r="F9" s="2583" t="s">
        <v>2526</v>
      </c>
    </row>
    <row r="10" spans="1:6">
      <c r="A10" s="2581">
        <f>'数据-取费表'!AN10</f>
        <v>0</v>
      </c>
      <c r="B10" s="2580" t="e">
        <f ca="1">IF(F10="是",'数据-取费表'!AO10,0)</f>
        <v>#REF!</v>
      </c>
      <c r="C10" s="2571" t="s">
        <v>2520</v>
      </c>
      <c r="D10" s="2574"/>
      <c r="E10" s="2582">
        <f>IF(OR(A10=0,F10="否"),0,'数据-取费表'!K10+'数据-取费表'!S10)</f>
        <v>0</v>
      </c>
      <c r="F10" s="2583" t="s">
        <v>2526</v>
      </c>
    </row>
    <row r="11" spans="1:6">
      <c r="A11" s="2581">
        <f>'数据-取费表'!AN11</f>
        <v>0</v>
      </c>
      <c r="B11" s="2580" t="e">
        <f ca="1">IF(F11="是",'数据-取费表'!AO11,0)</f>
        <v>#REF!</v>
      </c>
      <c r="C11" s="2571" t="s">
        <v>2520</v>
      </c>
      <c r="D11" s="2574"/>
      <c r="E11" s="2582">
        <f>IF(OR(A11=0,F11="否"),0,'数据-取费表'!K11+'数据-取费表'!S11)</f>
        <v>0</v>
      </c>
      <c r="F11" s="2583" t="s">
        <v>2526</v>
      </c>
    </row>
    <row r="12" spans="1:6">
      <c r="A12" s="2581">
        <f>'数据-取费表'!AN12</f>
        <v>0</v>
      </c>
      <c r="B12" s="2580" t="e">
        <f ca="1">IF(F12="是",'数据-取费表'!AO12,0)</f>
        <v>#REF!</v>
      </c>
      <c r="C12" s="2571" t="s">
        <v>2520</v>
      </c>
      <c r="D12" s="2574"/>
      <c r="E12" s="2582">
        <f>IF(OR(A12=0,F12="否"),0,'数据-取费表'!K12+'数据-取费表'!S12)</f>
        <v>0</v>
      </c>
      <c r="F12" s="2583" t="s">
        <v>2526</v>
      </c>
    </row>
    <row r="13" spans="1:6" ht="15" thickBot="1">
      <c r="A13" s="2584">
        <f>'数据-取费表'!AN13</f>
        <v>0</v>
      </c>
      <c r="B13" s="2580" t="e">
        <f ca="1">IF(F13="是",'数据-取费表'!AO13,0)</f>
        <v>#REF!</v>
      </c>
      <c r="C13" s="2585" t="s">
        <v>2520</v>
      </c>
      <c r="D13" s="2586"/>
      <c r="E13" s="2582">
        <f>IF(OR(A13=0,F13="否"),0,'数据-取费表'!K13+'数据-取费表'!S13)</f>
        <v>0</v>
      </c>
      <c r="F13" s="2583"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J10" sqref="J10"/>
    </sheetView>
  </sheetViews>
  <sheetFormatPr defaultRowHeight="13.5"/>
  <cols>
    <col min="1" max="1" width="10.5" customWidth="1"/>
    <col min="2" max="2" width="12.875" customWidth="1"/>
    <col min="3" max="3" width="8.75" customWidth="1"/>
  </cols>
  <sheetData>
    <row r="1" spans="1:9" ht="14.25">
      <c r="A1" s="3250" t="s">
        <v>1076</v>
      </c>
      <c r="B1" s="3251"/>
      <c r="C1" s="3252"/>
      <c r="D1" s="3253">
        <f>SUM(I10,I15,I20,I21,I23)</f>
        <v>0</v>
      </c>
      <c r="E1" s="3253"/>
      <c r="F1" s="3253"/>
      <c r="G1" s="3253"/>
      <c r="H1" s="3253"/>
      <c r="I1" s="3254"/>
    </row>
    <row r="2" spans="1:9">
      <c r="A2" s="3255" t="s">
        <v>1077</v>
      </c>
      <c r="B2" s="3256" t="s">
        <v>1078</v>
      </c>
      <c r="C2" s="3256"/>
      <c r="D2" s="1304" t="s">
        <v>1079</v>
      </c>
      <c r="E2" s="1304" t="s">
        <v>1080</v>
      </c>
      <c r="F2" s="1304" t="s">
        <v>1081</v>
      </c>
      <c r="G2" s="1304" t="s">
        <v>1082</v>
      </c>
      <c r="H2" s="1304" t="s">
        <v>1083</v>
      </c>
      <c r="I2" s="1305" t="s">
        <v>1084</v>
      </c>
    </row>
    <row r="3" spans="1:9">
      <c r="A3" s="3255"/>
      <c r="B3" s="3256" t="s">
        <v>1085</v>
      </c>
      <c r="C3" s="3256"/>
      <c r="D3" s="1306"/>
      <c r="E3" s="1304"/>
      <c r="F3" s="1307"/>
      <c r="G3" s="1307"/>
      <c r="H3" s="1308"/>
      <c r="I3" s="1309">
        <f>ROUND(D3*E3*F3*G3*H3/10000,0)</f>
        <v>0</v>
      </c>
    </row>
    <row r="4" spans="1:9">
      <c r="A4" s="3255"/>
      <c r="B4" s="3256" t="s">
        <v>1086</v>
      </c>
      <c r="C4" s="3256"/>
      <c r="D4" s="1306"/>
      <c r="E4" s="1304"/>
      <c r="F4" s="1307"/>
      <c r="G4" s="1307"/>
      <c r="H4" s="1308"/>
      <c r="I4" s="1309">
        <f t="shared" ref="I4:I9" si="0">ROUND(D4*E4*F4*G4*H4/10000,0)</f>
        <v>0</v>
      </c>
    </row>
    <row r="5" spans="1:9">
      <c r="A5" s="3255"/>
      <c r="B5" s="3256" t="s">
        <v>1087</v>
      </c>
      <c r="C5" s="3256"/>
      <c r="D5" s="1306"/>
      <c r="E5" s="1304"/>
      <c r="F5" s="1307"/>
      <c r="G5" s="1307"/>
      <c r="H5" s="1308"/>
      <c r="I5" s="1309">
        <f t="shared" si="0"/>
        <v>0</v>
      </c>
    </row>
    <row r="6" spans="1:9">
      <c r="A6" s="3255"/>
      <c r="B6" s="3256" t="s">
        <v>1088</v>
      </c>
      <c r="C6" s="3256"/>
      <c r="D6" s="1306"/>
      <c r="E6" s="1304"/>
      <c r="F6" s="1307"/>
      <c r="G6" s="1307"/>
      <c r="H6" s="1308"/>
      <c r="I6" s="1309">
        <f t="shared" si="0"/>
        <v>0</v>
      </c>
    </row>
    <row r="7" spans="1:9">
      <c r="A7" s="3255"/>
      <c r="B7" s="3256" t="s">
        <v>1089</v>
      </c>
      <c r="C7" s="3256"/>
      <c r="D7" s="1306"/>
      <c r="E7" s="1304"/>
      <c r="F7" s="1307"/>
      <c r="G7" s="1307"/>
      <c r="H7" s="1308"/>
      <c r="I7" s="1309">
        <f t="shared" si="0"/>
        <v>0</v>
      </c>
    </row>
    <row r="8" spans="1:9">
      <c r="A8" s="3255"/>
      <c r="B8" s="3256" t="s">
        <v>1090</v>
      </c>
      <c r="C8" s="3256"/>
      <c r="D8" s="1306"/>
      <c r="E8" s="1304"/>
      <c r="F8" s="1307"/>
      <c r="G8" s="1307"/>
      <c r="H8" s="1308"/>
      <c r="I8" s="1309">
        <f t="shared" si="0"/>
        <v>0</v>
      </c>
    </row>
    <row r="9" spans="1:9">
      <c r="A9" s="3255"/>
      <c r="B9" s="3256" t="s">
        <v>1091</v>
      </c>
      <c r="C9" s="3256"/>
      <c r="D9" s="1306"/>
      <c r="E9" s="1304"/>
      <c r="F9" s="1307"/>
      <c r="G9" s="1307"/>
      <c r="H9" s="1308"/>
      <c r="I9" s="1309">
        <f t="shared" si="0"/>
        <v>0</v>
      </c>
    </row>
    <row r="10" spans="1:9">
      <c r="A10" s="3255"/>
      <c r="B10" s="3257" t="s">
        <v>1092</v>
      </c>
      <c r="C10" s="3257"/>
      <c r="D10" s="1310"/>
      <c r="E10" s="1310" t="e">
        <f>ROUND(D1*10000/D10/H9,0)</f>
        <v>#DIV/0!</v>
      </c>
      <c r="F10" s="1311"/>
      <c r="G10" s="1311"/>
      <c r="H10" s="1312"/>
      <c r="I10" s="1313">
        <f>SUM(I3:I9)</f>
        <v>0</v>
      </c>
    </row>
    <row r="11" spans="1:9" ht="14.25">
      <c r="A11" s="3255" t="s">
        <v>1093</v>
      </c>
      <c r="B11" s="3256" t="s">
        <v>1094</v>
      </c>
      <c r="C11" s="3256"/>
      <c r="D11" s="1306" t="s">
        <v>1095</v>
      </c>
      <c r="E11" s="1306" t="s">
        <v>1096</v>
      </c>
      <c r="F11" s="1307" t="s">
        <v>1097</v>
      </c>
      <c r="G11" s="1307" t="s">
        <v>1083</v>
      </c>
      <c r="H11" s="1314" t="s">
        <v>1098</v>
      </c>
      <c r="I11" s="1305" t="s">
        <v>1084</v>
      </c>
    </row>
    <row r="12" spans="1:9">
      <c r="A12" s="3255"/>
      <c r="B12" s="3256" t="s">
        <v>1099</v>
      </c>
      <c r="C12" s="3256"/>
      <c r="D12" s="1306"/>
      <c r="E12" s="1306"/>
      <c r="F12" s="1307"/>
      <c r="G12" s="1308"/>
      <c r="H12" s="1315"/>
      <c r="I12" s="1305">
        <f>ROUND(D12*E12*F12*G12/10000,0)</f>
        <v>0</v>
      </c>
    </row>
    <row r="13" spans="1:9">
      <c r="A13" s="3255"/>
      <c r="B13" s="3256" t="s">
        <v>1100</v>
      </c>
      <c r="C13" s="3256"/>
      <c r="D13" s="1306"/>
      <c r="E13" s="1306"/>
      <c r="F13" s="1307"/>
      <c r="G13" s="1308"/>
      <c r="H13" s="1315"/>
      <c r="I13" s="1305">
        <f>ROUND(D13*E13*F13*G13/10000,0)</f>
        <v>0</v>
      </c>
    </row>
    <row r="14" spans="1:9">
      <c r="A14" s="3255"/>
      <c r="B14" s="3256" t="s">
        <v>1101</v>
      </c>
      <c r="C14" s="3256"/>
      <c r="D14" s="1306"/>
      <c r="E14" s="1306"/>
      <c r="F14" s="1307"/>
      <c r="G14" s="1308"/>
      <c r="H14" s="1315"/>
      <c r="I14" s="1305">
        <f>ROUND(D14*E14*F14*G14/10000,0)</f>
        <v>0</v>
      </c>
    </row>
    <row r="15" spans="1:9">
      <c r="A15" s="3255"/>
      <c r="B15" s="3257" t="s">
        <v>1092</v>
      </c>
      <c r="C15" s="3257"/>
      <c r="D15" s="1310"/>
      <c r="E15" s="1310">
        <f>SUM(E12:E14)</f>
        <v>0</v>
      </c>
      <c r="F15" s="1311"/>
      <c r="G15" s="1308"/>
      <c r="H15" s="1315"/>
      <c r="I15" s="1316">
        <f>SUM(I12:I14)</f>
        <v>0</v>
      </c>
    </row>
    <row r="16" spans="1:9" ht="24">
      <c r="A16" s="3255" t="s">
        <v>1102</v>
      </c>
      <c r="B16" s="3256" t="s">
        <v>1103</v>
      </c>
      <c r="C16" s="3256"/>
      <c r="D16" s="1306" t="s">
        <v>1079</v>
      </c>
      <c r="E16" s="1317" t="s">
        <v>1104</v>
      </c>
      <c r="F16" s="1307" t="s">
        <v>1105</v>
      </c>
      <c r="G16" s="1308" t="s">
        <v>1083</v>
      </c>
      <c r="H16" s="1314" t="s">
        <v>1098</v>
      </c>
      <c r="I16" s="1305" t="s">
        <v>1084</v>
      </c>
    </row>
    <row r="17" spans="1:9" ht="14.25">
      <c r="A17" s="3255"/>
      <c r="B17" s="3256" t="s">
        <v>1106</v>
      </c>
      <c r="C17" s="3256"/>
      <c r="D17" s="1306"/>
      <c r="E17" s="1306"/>
      <c r="F17" s="1307"/>
      <c r="G17" s="1308"/>
      <c r="H17" s="1318"/>
      <c r="I17" s="1319">
        <f>ROUND(D17*E17*F17*G17/10000,0)</f>
        <v>0</v>
      </c>
    </row>
    <row r="18" spans="1:9" ht="14.25">
      <c r="A18" s="3255"/>
      <c r="B18" s="3256" t="s">
        <v>1107</v>
      </c>
      <c r="C18" s="3256"/>
      <c r="D18" s="1306"/>
      <c r="E18" s="1306"/>
      <c r="F18" s="1307"/>
      <c r="G18" s="1308"/>
      <c r="H18" s="1318"/>
      <c r="I18" s="1319">
        <f>ROUND(D18*E18*F18*G18/10000,0)</f>
        <v>0</v>
      </c>
    </row>
    <row r="19" spans="1:9" ht="14.25">
      <c r="A19" s="3255"/>
      <c r="B19" s="3256" t="s">
        <v>1108</v>
      </c>
      <c r="C19" s="3256"/>
      <c r="D19" s="1306"/>
      <c r="E19" s="1306"/>
      <c r="F19" s="1307"/>
      <c r="G19" s="1308"/>
      <c r="H19" s="1318"/>
      <c r="I19" s="1319">
        <f>ROUND(D19*E19*F19*G19/10000,0)</f>
        <v>0</v>
      </c>
    </row>
    <row r="20" spans="1:9">
      <c r="A20" s="3255"/>
      <c r="B20" s="3257" t="s">
        <v>1092</v>
      </c>
      <c r="C20" s="3257"/>
      <c r="D20" s="1310">
        <f>SUM(D17:D19)</f>
        <v>0</v>
      </c>
      <c r="E20" s="1310"/>
      <c r="F20" s="1311"/>
      <c r="G20" s="1308"/>
      <c r="H20" s="1315"/>
      <c r="I20" s="1316">
        <f>SUM(I17:I19)</f>
        <v>0</v>
      </c>
    </row>
    <row r="21" spans="1:9">
      <c r="A21" s="3255" t="s">
        <v>1109</v>
      </c>
      <c r="B21" s="3259"/>
      <c r="C21" s="3259"/>
      <c r="D21" s="3259"/>
      <c r="E21" s="3259"/>
      <c r="F21" s="3259"/>
      <c r="G21" s="3259"/>
      <c r="H21" s="1768">
        <v>0.1</v>
      </c>
      <c r="I21" s="1313">
        <f>ROUND(I10*H21,0)</f>
        <v>0</v>
      </c>
    </row>
    <row r="22" spans="1:9" ht="14.25">
      <c r="A22" s="3260" t="s">
        <v>1110</v>
      </c>
      <c r="B22" s="3261"/>
      <c r="C22" s="3262"/>
      <c r="D22" s="1320" t="s">
        <v>1111</v>
      </c>
      <c r="E22" s="1320" t="s">
        <v>1112</v>
      </c>
      <c r="F22" s="1321" t="s">
        <v>1113</v>
      </c>
      <c r="G22" s="1321" t="s">
        <v>1114</v>
      </c>
      <c r="H22" s="1314" t="s">
        <v>1115</v>
      </c>
      <c r="I22" s="1305" t="s">
        <v>1116</v>
      </c>
    </row>
    <row r="23" spans="1:9" ht="14.25" thickBot="1">
      <c r="A23" s="3263"/>
      <c r="B23" s="3264"/>
      <c r="C23" s="3265"/>
      <c r="D23" s="1322"/>
      <c r="E23" s="1322"/>
      <c r="F23" s="1322"/>
      <c r="G23" s="1323"/>
      <c r="H23" s="1324"/>
      <c r="I23" s="1325">
        <f>ROUND(E23*D23*F23*(1-G23)/10000,0)</f>
        <v>0</v>
      </c>
    </row>
    <row r="26" spans="1:9">
      <c r="A26" s="1326" t="s">
        <v>1117</v>
      </c>
      <c r="B26" s="1326"/>
      <c r="C26" s="1326"/>
      <c r="D26" s="1326"/>
      <c r="E26" s="3266">
        <f>C27-C30-C31-C32</f>
        <v>0</v>
      </c>
      <c r="F26" s="3266"/>
      <c r="G26" s="3266"/>
      <c r="H26" s="1740" t="s">
        <v>1340</v>
      </c>
    </row>
    <row r="27" spans="1:9">
      <c r="A27" s="1327">
        <v>1</v>
      </c>
      <c r="B27" s="1328" t="s">
        <v>1118</v>
      </c>
      <c r="C27" s="1328">
        <f>C28+C29</f>
        <v>0</v>
      </c>
      <c r="D27" s="1328"/>
      <c r="E27" s="3267"/>
      <c r="F27" s="3267"/>
      <c r="G27" s="3267"/>
    </row>
    <row r="28" spans="1:9">
      <c r="A28" s="1329" t="s">
        <v>1119</v>
      </c>
      <c r="B28" s="1328" t="s">
        <v>1120</v>
      </c>
      <c r="C28" s="1328"/>
      <c r="D28" s="1328"/>
      <c r="E28" s="3267"/>
      <c r="F28" s="3267"/>
      <c r="G28" s="326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8"/>
      <c r="F32" s="3258"/>
      <c r="G32" s="3258"/>
    </row>
    <row r="33" spans="1:7" hidden="1">
      <c r="A33" s="3268" t="s">
        <v>1129</v>
      </c>
      <c r="B33" s="3269"/>
      <c r="C33" s="3269"/>
      <c r="D33" s="3270"/>
      <c r="E33" s="3266"/>
      <c r="F33" s="3266"/>
      <c r="G33" s="3266"/>
    </row>
    <row r="34" spans="1:7" hidden="1">
      <c r="A34" s="1331">
        <v>1</v>
      </c>
      <c r="B34" s="1328" t="s">
        <v>1130</v>
      </c>
      <c r="C34" s="1328"/>
      <c r="D34" s="1328"/>
      <c r="E34" s="3267"/>
      <c r="F34" s="3267"/>
      <c r="G34" s="3267"/>
    </row>
    <row r="35" spans="1:7" hidden="1">
      <c r="A35" s="1331">
        <v>2</v>
      </c>
      <c r="B35" s="1328" t="s">
        <v>1131</v>
      </c>
      <c r="C35" s="1328"/>
      <c r="D35" s="1328"/>
      <c r="E35" s="3267"/>
      <c r="F35" s="3267"/>
      <c r="G35" s="3267"/>
    </row>
    <row r="36" spans="1:7" hidden="1">
      <c r="A36" s="1331">
        <v>3</v>
      </c>
      <c r="B36" s="1328" t="s">
        <v>1132</v>
      </c>
      <c r="C36" s="1328"/>
      <c r="D36" s="1328"/>
      <c r="E36" s="3267"/>
      <c r="F36" s="3267"/>
      <c r="G36" s="3267"/>
    </row>
    <row r="37" spans="1:7" hidden="1">
      <c r="A37" s="1331">
        <v>4</v>
      </c>
      <c r="B37" s="1328" t="s">
        <v>1133</v>
      </c>
      <c r="C37" s="1328"/>
      <c r="D37" s="1328"/>
      <c r="E37" s="3267"/>
      <c r="F37" s="3267"/>
      <c r="G37" s="3267"/>
    </row>
    <row r="38" spans="1:7" hidden="1">
      <c r="A38" s="3268" t="s">
        <v>1134</v>
      </c>
      <c r="B38" s="3269"/>
      <c r="C38" s="3269"/>
      <c r="D38" s="3270"/>
      <c r="E38" s="3266"/>
      <c r="F38" s="3266"/>
      <c r="G38" s="32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J10" sqref="J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7" t="s">
        <v>2530</v>
      </c>
      <c r="C1" s="1637" t="s">
        <v>2531</v>
      </c>
      <c r="D1" s="1624"/>
      <c r="E1" s="2588"/>
      <c r="F1" s="2589" t="s">
        <v>2532</v>
      </c>
      <c r="G1" s="1634" t="s">
        <v>2533</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2535</v>
      </c>
      <c r="D3" s="399">
        <f>IF(D1="",'数据-汇总表'!E3,SUMIF('数据-汇总表'!$C19:$C33,D1,'数据-汇总表'!$E19:$E33))</f>
        <v>2864.5</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2536</v>
      </c>
      <c r="B4" s="402"/>
      <c r="C4" s="3289" t="s">
        <v>2537</v>
      </c>
      <c r="D4" s="3290"/>
      <c r="E4" s="3291" t="s">
        <v>2538</v>
      </c>
      <c r="F4" s="3292"/>
      <c r="G4" s="3289" t="s">
        <v>2539</v>
      </c>
      <c r="H4" s="3290"/>
      <c r="I4" s="3289" t="s">
        <v>2540</v>
      </c>
      <c r="J4" s="3290"/>
      <c r="K4" s="2601" t="s">
        <v>2541</v>
      </c>
      <c r="L4" s="1133"/>
      <c r="M4" s="1134"/>
      <c r="N4" s="1134"/>
      <c r="O4" s="1134"/>
      <c r="P4" s="3293" t="s">
        <v>2542</v>
      </c>
      <c r="Q4" s="3294"/>
      <c r="R4" s="3276" t="s">
        <v>2538</v>
      </c>
      <c r="S4" s="3277"/>
      <c r="T4" s="3276" t="s">
        <v>2539</v>
      </c>
      <c r="U4" s="3277"/>
      <c r="V4" s="3301" t="s">
        <v>2540</v>
      </c>
      <c r="W4" s="3301"/>
      <c r="X4" s="1816"/>
      <c r="Y4" s="3276" t="s">
        <v>2542</v>
      </c>
      <c r="Z4" s="3277"/>
      <c r="AA4" s="3271" t="s">
        <v>2538</v>
      </c>
      <c r="AB4" s="3271" t="s">
        <v>2539</v>
      </c>
      <c r="AC4" s="3271" t="s">
        <v>2540</v>
      </c>
    </row>
    <row r="5" spans="1:29" ht="15">
      <c r="A5" s="404"/>
      <c r="B5" s="405"/>
      <c r="C5" s="3282" t="s">
        <v>2543</v>
      </c>
      <c r="D5" s="3283"/>
      <c r="E5" s="3280" t="s">
        <v>2544</v>
      </c>
      <c r="F5" s="3281"/>
      <c r="G5" s="3282" t="s">
        <v>2545</v>
      </c>
      <c r="H5" s="3283"/>
      <c r="I5" s="3282" t="s">
        <v>2546</v>
      </c>
      <c r="J5" s="3283"/>
      <c r="K5" s="2602"/>
      <c r="L5" s="1133"/>
      <c r="M5" s="1134"/>
      <c r="N5" s="1134"/>
      <c r="O5" s="1134"/>
      <c r="P5" s="3295"/>
      <c r="Q5" s="3296"/>
      <c r="R5" s="3278"/>
      <c r="S5" s="3279"/>
      <c r="T5" s="3278"/>
      <c r="U5" s="3279"/>
      <c r="V5" s="3301"/>
      <c r="W5" s="3301"/>
      <c r="X5" s="1816"/>
      <c r="Y5" s="3278"/>
      <c r="Z5" s="3279"/>
      <c r="AA5" s="3272"/>
      <c r="AB5" s="3272"/>
      <c r="AC5" s="3272"/>
    </row>
    <row r="6" spans="1:29" ht="15.75" thickBot="1">
      <c r="A6" s="406"/>
      <c r="B6" s="407"/>
      <c r="C6" s="3284" t="s">
        <v>2547</v>
      </c>
      <c r="D6" s="3285"/>
      <c r="E6" s="3286" t="s">
        <v>2547</v>
      </c>
      <c r="F6" s="3287"/>
      <c r="G6" s="3284" t="s">
        <v>2547</v>
      </c>
      <c r="H6" s="3285"/>
      <c r="I6" s="3284" t="s">
        <v>2547</v>
      </c>
      <c r="J6" s="3285"/>
      <c r="K6" s="2602" t="s">
        <v>2548</v>
      </c>
      <c r="L6" s="1133"/>
      <c r="M6" s="1134"/>
      <c r="N6" s="1134"/>
      <c r="O6" s="1134"/>
      <c r="P6" s="3297"/>
      <c r="Q6" s="3298"/>
      <c r="R6" s="3278"/>
      <c r="S6" s="3279"/>
      <c r="T6" s="3299"/>
      <c r="U6" s="3300"/>
      <c r="V6" s="3301"/>
      <c r="W6" s="3301"/>
      <c r="X6" s="1816"/>
      <c r="Y6" s="3299"/>
      <c r="Z6" s="3300"/>
      <c r="AA6" s="3273"/>
      <c r="AB6" s="3273"/>
      <c r="AC6" s="3273"/>
    </row>
    <row r="7" spans="1:29" s="117" customFormat="1" ht="15.75" thickBot="1">
      <c r="A7" s="408" t="s">
        <v>2549</v>
      </c>
      <c r="B7" s="409"/>
      <c r="C7" s="410">
        <f>'数据-取费表'!B2</f>
        <v>43244</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74" t="s">
        <v>2550</v>
      </c>
      <c r="Q7" s="3302"/>
      <c r="R7" s="770" t="s">
        <v>23</v>
      </c>
      <c r="S7" s="771">
        <f t="shared" ref="S7:S15" si="0">F7</f>
        <v>0</v>
      </c>
      <c r="T7" s="770" t="s">
        <v>23</v>
      </c>
      <c r="U7" s="771">
        <f t="shared" ref="U7:U15" si="1">H7</f>
        <v>0</v>
      </c>
      <c r="V7" s="770" t="s">
        <v>23</v>
      </c>
      <c r="W7" s="771">
        <f t="shared" ref="W7:W15" si="2">J7</f>
        <v>0</v>
      </c>
      <c r="X7" s="772"/>
      <c r="Y7" s="3274" t="s">
        <v>2550</v>
      </c>
      <c r="Z7" s="3275"/>
      <c r="AA7" s="773" t="e">
        <f>D7/F7</f>
        <v>#DIV/0!</v>
      </c>
      <c r="AB7" s="773" t="e">
        <f>D7/H7</f>
        <v>#DIV/0!</v>
      </c>
      <c r="AC7" s="773" t="e">
        <f>D7/J7</f>
        <v>#DIV/0!</v>
      </c>
    </row>
    <row r="8" spans="1:29" s="117" customFormat="1" ht="15.75" thickBot="1">
      <c r="A8" s="408" t="s">
        <v>2551</v>
      </c>
      <c r="B8" s="409"/>
      <c r="C8" s="414" t="s">
        <v>2552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74" t="s">
        <v>2553</v>
      </c>
      <c r="Q8" s="3275"/>
      <c r="R8" s="770" t="s">
        <v>23</v>
      </c>
      <c r="S8" s="771">
        <f t="shared" si="0"/>
        <v>0</v>
      </c>
      <c r="T8" s="770" t="s">
        <v>23</v>
      </c>
      <c r="U8" s="771">
        <f t="shared" si="1"/>
        <v>0</v>
      </c>
      <c r="V8" s="770" t="s">
        <v>23</v>
      </c>
      <c r="W8" s="771">
        <f t="shared" si="2"/>
        <v>0</v>
      </c>
      <c r="X8" s="772"/>
      <c r="Y8" s="3274" t="s">
        <v>2553</v>
      </c>
      <c r="Z8" s="3275"/>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88" t="s">
        <v>2556</v>
      </c>
      <c r="Q9" s="1798" t="str">
        <f t="shared" ref="Q9:Q15" si="6">B9</f>
        <v>用途</v>
      </c>
      <c r="R9" s="770" t="s">
        <v>17</v>
      </c>
      <c r="S9" s="771">
        <f t="shared" si="0"/>
        <v>100</v>
      </c>
      <c r="T9" s="770" t="s">
        <v>17</v>
      </c>
      <c r="U9" s="771">
        <f t="shared" si="1"/>
        <v>100</v>
      </c>
      <c r="V9" s="770" t="s">
        <v>17</v>
      </c>
      <c r="W9" s="771">
        <f t="shared" si="2"/>
        <v>100</v>
      </c>
      <c r="X9" s="772"/>
      <c r="Y9" s="308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88"/>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88"/>
      <c r="Q11" s="1798" t="str">
        <f t="shared" si="6"/>
        <v>容积率</v>
      </c>
      <c r="R11" s="770" t="s">
        <v>21</v>
      </c>
      <c r="S11" s="771" t="e">
        <f t="shared" si="0"/>
        <v>#N/A</v>
      </c>
      <c r="T11" s="770" t="s">
        <v>21</v>
      </c>
      <c r="U11" s="771" t="e">
        <f t="shared" si="1"/>
        <v>#N/A</v>
      </c>
      <c r="V11" s="770" t="s">
        <v>21</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88"/>
      <c r="Q12" s="1798">
        <f t="shared" si="6"/>
        <v>111</v>
      </c>
      <c r="R12" s="770" t="s">
        <v>21</v>
      </c>
      <c r="S12" s="771">
        <f t="shared" si="0"/>
        <v>100</v>
      </c>
      <c r="T12" s="770" t="s">
        <v>21</v>
      </c>
      <c r="U12" s="771">
        <f t="shared" si="1"/>
        <v>100</v>
      </c>
      <c r="V12" s="770" t="s">
        <v>21</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88"/>
      <c r="Q13" s="1798">
        <f t="shared" si="6"/>
        <v>111</v>
      </c>
      <c r="R13" s="770" t="s">
        <v>21</v>
      </c>
      <c r="S13" s="771">
        <f t="shared" si="0"/>
        <v>100</v>
      </c>
      <c r="T13" s="770" t="s">
        <v>21</v>
      </c>
      <c r="U13" s="771">
        <f t="shared" si="1"/>
        <v>100</v>
      </c>
      <c r="V13" s="770" t="s">
        <v>21</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88"/>
      <c r="Q14" s="1798">
        <f t="shared" si="6"/>
        <v>111</v>
      </c>
      <c r="R14" s="770" t="s">
        <v>21</v>
      </c>
      <c r="S14" s="771">
        <f t="shared" si="0"/>
        <v>100</v>
      </c>
      <c r="T14" s="770" t="s">
        <v>21</v>
      </c>
      <c r="U14" s="771">
        <f t="shared" si="1"/>
        <v>100</v>
      </c>
      <c r="V14" s="770" t="s">
        <v>21</v>
      </c>
      <c r="W14" s="771">
        <f t="shared" si="2"/>
        <v>100</v>
      </c>
      <c r="X14" s="772"/>
      <c r="Y14" s="3080"/>
      <c r="Z14" s="55">
        <f t="shared" si="7"/>
        <v>111</v>
      </c>
      <c r="AA14" s="773">
        <f t="shared" si="3"/>
        <v>1</v>
      </c>
      <c r="AB14" s="773">
        <f t="shared" si="4"/>
        <v>1</v>
      </c>
      <c r="AC14" s="773">
        <f t="shared" si="5"/>
        <v>1</v>
      </c>
    </row>
    <row r="15" spans="1:29" ht="99.75">
      <c r="A15" s="440" t="s">
        <v>2560</v>
      </c>
      <c r="B15" s="69" t="s">
        <v>2085</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15" t="s">
        <v>2561</v>
      </c>
      <c r="Q15" s="1813" t="str">
        <f t="shared" si="6"/>
        <v>居住社区成熟度</v>
      </c>
      <c r="R15" s="774" t="s">
        <v>21</v>
      </c>
      <c r="S15" s="775">
        <f t="shared" si="0"/>
        <v>100</v>
      </c>
      <c r="T15" s="774" t="s">
        <v>21</v>
      </c>
      <c r="U15" s="775">
        <f t="shared" si="1"/>
        <v>100</v>
      </c>
      <c r="V15" s="774" t="s">
        <v>21</v>
      </c>
      <c r="W15" s="775">
        <f t="shared" si="2"/>
        <v>100</v>
      </c>
      <c r="X15" s="1816"/>
      <c r="Y15" s="3308" t="s">
        <v>2561</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316"/>
      <c r="Q16" s="1813"/>
      <c r="R16" s="774"/>
      <c r="S16" s="775"/>
      <c r="T16" s="774"/>
      <c r="U16" s="775"/>
      <c r="V16" s="774"/>
      <c r="W16" s="775"/>
      <c r="X16" s="1816"/>
      <c r="Y16" s="3309"/>
      <c r="Z16" s="1817"/>
      <c r="AA16" s="1814">
        <v>1</v>
      </c>
      <c r="AB16" s="1814">
        <v>1</v>
      </c>
      <c r="AC16" s="1814">
        <v>1</v>
      </c>
    </row>
    <row r="17" spans="1:29" ht="85.5">
      <c r="A17" s="428"/>
      <c r="B17" s="451" t="s">
        <v>2097</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16"/>
      <c r="Q17" s="1813" t="str">
        <f>B17</f>
        <v>交通便捷度</v>
      </c>
      <c r="R17" s="774" t="s">
        <v>21</v>
      </c>
      <c r="S17" s="775">
        <f>F17</f>
        <v>100</v>
      </c>
      <c r="T17" s="774" t="s">
        <v>21</v>
      </c>
      <c r="U17" s="775">
        <f>H17</f>
        <v>100</v>
      </c>
      <c r="V17" s="774" t="s">
        <v>21</v>
      </c>
      <c r="W17" s="775">
        <f>J17</f>
        <v>100</v>
      </c>
      <c r="X17" s="1816"/>
      <c r="Y17" s="3309"/>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316"/>
      <c r="Q18" s="1813"/>
      <c r="R18" s="774"/>
      <c r="S18" s="775"/>
      <c r="T18" s="774"/>
      <c r="U18" s="775"/>
      <c r="V18" s="774"/>
      <c r="W18" s="775"/>
      <c r="X18" s="1816"/>
      <c r="Y18" s="3309"/>
      <c r="Z18" s="1817"/>
      <c r="AA18" s="1814">
        <v>1</v>
      </c>
      <c r="AB18" s="1814">
        <v>1</v>
      </c>
      <c r="AC18" s="1814">
        <v>1</v>
      </c>
    </row>
    <row r="19" spans="1:29" ht="42.75">
      <c r="A19" s="428"/>
      <c r="B19" s="451" t="s">
        <v>2095</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16"/>
      <c r="Q19" s="1813" t="str">
        <f>B19</f>
        <v>公共配套设施</v>
      </c>
      <c r="R19" s="774" t="s">
        <v>21</v>
      </c>
      <c r="S19" s="775">
        <f>F19</f>
        <v>100</v>
      </c>
      <c r="T19" s="774" t="s">
        <v>21</v>
      </c>
      <c r="U19" s="775">
        <f>H19</f>
        <v>100</v>
      </c>
      <c r="V19" s="774" t="s">
        <v>21</v>
      </c>
      <c r="W19" s="775">
        <f>J19</f>
        <v>100</v>
      </c>
      <c r="X19" s="1816"/>
      <c r="Y19" s="3309"/>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316"/>
      <c r="Q20" s="1813"/>
      <c r="R20" s="774"/>
      <c r="S20" s="775"/>
      <c r="T20" s="774"/>
      <c r="U20" s="775"/>
      <c r="V20" s="774"/>
      <c r="W20" s="775"/>
      <c r="X20" s="1816"/>
      <c r="Y20" s="3309"/>
      <c r="Z20" s="1817"/>
      <c r="AA20" s="1814">
        <v>1</v>
      </c>
      <c r="AB20" s="1814">
        <v>1</v>
      </c>
      <c r="AC20" s="1814">
        <v>1</v>
      </c>
    </row>
    <row r="21" spans="1:29" ht="28.5">
      <c r="A21" s="428"/>
      <c r="B21" s="1387" t="s">
        <v>2098</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16"/>
      <c r="Q21" s="1813" t="str">
        <f>B21</f>
        <v>基础设施水平</v>
      </c>
      <c r="R21" s="774" t="s">
        <v>17</v>
      </c>
      <c r="S21" s="775">
        <f>F21</f>
        <v>100</v>
      </c>
      <c r="T21" s="774" t="s">
        <v>17</v>
      </c>
      <c r="U21" s="775">
        <f>H21</f>
        <v>100</v>
      </c>
      <c r="V21" s="774" t="s">
        <v>17</v>
      </c>
      <c r="W21" s="775">
        <f>J21</f>
        <v>100</v>
      </c>
      <c r="X21" s="1816"/>
      <c r="Y21" s="330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316"/>
      <c r="Q22" s="1813"/>
      <c r="R22" s="774"/>
      <c r="S22" s="775"/>
      <c r="T22" s="774"/>
      <c r="U22" s="775"/>
      <c r="V22" s="774"/>
      <c r="W22" s="775"/>
      <c r="X22" s="1816"/>
      <c r="Y22" s="3309"/>
      <c r="Z22" s="1817"/>
      <c r="AA22" s="1814">
        <v>1</v>
      </c>
      <c r="AB22" s="1814">
        <v>1</v>
      </c>
      <c r="AC22" s="1814">
        <v>1</v>
      </c>
    </row>
    <row r="23" spans="1:29" ht="57">
      <c r="A23" s="428"/>
      <c r="B23" s="451" t="s">
        <v>2102</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16"/>
      <c r="Q23" s="1813" t="str">
        <f>B23</f>
        <v>自然及人文环境</v>
      </c>
      <c r="R23" s="774" t="s">
        <v>21</v>
      </c>
      <c r="S23" s="775">
        <f>F23</f>
        <v>100</v>
      </c>
      <c r="T23" s="774" t="s">
        <v>21</v>
      </c>
      <c r="U23" s="775">
        <f>H23</f>
        <v>100</v>
      </c>
      <c r="V23" s="774" t="s">
        <v>21</v>
      </c>
      <c r="W23" s="775">
        <f>J23</f>
        <v>100</v>
      </c>
      <c r="X23" s="1816"/>
      <c r="Y23" s="3309"/>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316"/>
      <c r="Q24" s="1813"/>
      <c r="R24" s="774"/>
      <c r="S24" s="775"/>
      <c r="T24" s="774"/>
      <c r="U24" s="775"/>
      <c r="V24" s="774"/>
      <c r="W24" s="775"/>
      <c r="X24" s="1816"/>
      <c r="Y24" s="3309"/>
      <c r="Z24" s="1817"/>
      <c r="AA24" s="1814">
        <v>1</v>
      </c>
      <c r="AB24" s="1814">
        <v>1</v>
      </c>
      <c r="AC24" s="1814">
        <v>1</v>
      </c>
    </row>
    <row r="25" spans="1:29" ht="15">
      <c r="A25" s="428"/>
      <c r="B25" s="422" t="s">
        <v>2562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31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309"/>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316"/>
      <c r="Q26" s="1813" t="str">
        <f t="shared" si="11"/>
        <v>朝向</v>
      </c>
      <c r="R26" s="774" t="s">
        <v>21</v>
      </c>
      <c r="S26" s="775">
        <f t="shared" si="12"/>
        <v>100</v>
      </c>
      <c r="T26" s="774" t="s">
        <v>21</v>
      </c>
      <c r="U26" s="775">
        <f t="shared" si="13"/>
        <v>100</v>
      </c>
      <c r="V26" s="774" t="s">
        <v>21</v>
      </c>
      <c r="W26" s="775">
        <f t="shared" si="14"/>
        <v>100</v>
      </c>
      <c r="X26" s="1816"/>
      <c r="Y26" s="330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316"/>
      <c r="Q27" s="1798">
        <f t="shared" si="11"/>
        <v>111</v>
      </c>
      <c r="R27" s="770" t="s">
        <v>21</v>
      </c>
      <c r="S27" s="771">
        <f t="shared" si="12"/>
        <v>100</v>
      </c>
      <c r="T27" s="770" t="s">
        <v>21</v>
      </c>
      <c r="U27" s="771">
        <f t="shared" si="13"/>
        <v>100</v>
      </c>
      <c r="V27" s="770" t="s">
        <v>21</v>
      </c>
      <c r="W27" s="771">
        <f t="shared" si="14"/>
        <v>100</v>
      </c>
      <c r="X27" s="772"/>
      <c r="Y27" s="330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316"/>
      <c r="Q28" s="1813">
        <f t="shared" si="11"/>
        <v>111</v>
      </c>
      <c r="R28" s="774" t="s">
        <v>21</v>
      </c>
      <c r="S28" s="775">
        <f t="shared" si="12"/>
        <v>100</v>
      </c>
      <c r="T28" s="774" t="s">
        <v>21</v>
      </c>
      <c r="U28" s="775">
        <f t="shared" si="13"/>
        <v>100</v>
      </c>
      <c r="V28" s="774" t="s">
        <v>21</v>
      </c>
      <c r="W28" s="775">
        <f t="shared" si="14"/>
        <v>100</v>
      </c>
      <c r="X28" s="1816"/>
      <c r="Y28" s="330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316"/>
      <c r="Q29" s="1813">
        <f t="shared" si="11"/>
        <v>111</v>
      </c>
      <c r="R29" s="774" t="s">
        <v>21</v>
      </c>
      <c r="S29" s="775">
        <f t="shared" si="12"/>
        <v>100</v>
      </c>
      <c r="T29" s="774" t="s">
        <v>21</v>
      </c>
      <c r="U29" s="775">
        <f t="shared" si="13"/>
        <v>100</v>
      </c>
      <c r="V29" s="774" t="s">
        <v>21</v>
      </c>
      <c r="W29" s="775">
        <f t="shared" si="14"/>
        <v>100</v>
      </c>
      <c r="X29" s="1816"/>
      <c r="Y29" s="330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316"/>
      <c r="Q30" s="1813">
        <f t="shared" si="11"/>
        <v>111</v>
      </c>
      <c r="R30" s="774" t="s">
        <v>21</v>
      </c>
      <c r="S30" s="775">
        <f t="shared" si="12"/>
        <v>100</v>
      </c>
      <c r="T30" s="774" t="s">
        <v>21</v>
      </c>
      <c r="U30" s="775">
        <f t="shared" si="13"/>
        <v>100</v>
      </c>
      <c r="V30" s="774" t="s">
        <v>21</v>
      </c>
      <c r="W30" s="775">
        <f t="shared" si="14"/>
        <v>100</v>
      </c>
      <c r="X30" s="1816"/>
      <c r="Y30" s="330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316"/>
      <c r="Q31" s="1813">
        <f t="shared" si="11"/>
        <v>111</v>
      </c>
      <c r="R31" s="774" t="s">
        <v>21</v>
      </c>
      <c r="S31" s="775">
        <f t="shared" si="12"/>
        <v>100</v>
      </c>
      <c r="T31" s="774" t="s">
        <v>21</v>
      </c>
      <c r="U31" s="775">
        <f t="shared" si="13"/>
        <v>100</v>
      </c>
      <c r="V31" s="774" t="s">
        <v>21</v>
      </c>
      <c r="W31" s="775">
        <f t="shared" si="14"/>
        <v>100</v>
      </c>
      <c r="X31" s="1816"/>
      <c r="Y31" s="3309"/>
      <c r="Z31" s="1817">
        <f t="shared" si="18"/>
        <v>111</v>
      </c>
      <c r="AA31" s="1814">
        <f t="shared" si="15"/>
        <v>1</v>
      </c>
      <c r="AB31" s="1814">
        <f t="shared" si="16"/>
        <v>1</v>
      </c>
      <c r="AC31" s="1814">
        <f t="shared" si="17"/>
        <v>1</v>
      </c>
    </row>
    <row r="32" spans="1:29" ht="15">
      <c r="A32" s="440" t="s">
        <v>2564</v>
      </c>
      <c r="B32" s="71" t="s">
        <v>2565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310" t="s">
        <v>2566</v>
      </c>
      <c r="Q32" s="1813" t="str">
        <f t="shared" si="11"/>
        <v>建筑类型</v>
      </c>
      <c r="R32" s="774" t="s">
        <v>21</v>
      </c>
      <c r="S32" s="775">
        <f t="shared" si="12"/>
        <v>100</v>
      </c>
      <c r="T32" s="774" t="s">
        <v>21</v>
      </c>
      <c r="U32" s="775">
        <f t="shared" si="13"/>
        <v>100</v>
      </c>
      <c r="V32" s="774" t="s">
        <v>21</v>
      </c>
      <c r="W32" s="775">
        <f t="shared" si="14"/>
        <v>100</v>
      </c>
      <c r="X32" s="1816"/>
      <c r="Y32" s="3313"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311"/>
      <c r="Q33" s="776" t="str">
        <f t="shared" si="11"/>
        <v>项目建筑规模</v>
      </c>
      <c r="R33" s="777" t="s">
        <v>21</v>
      </c>
      <c r="S33" s="778" t="e">
        <f t="shared" si="12"/>
        <v>#N/A</v>
      </c>
      <c r="T33" s="777" t="s">
        <v>21</v>
      </c>
      <c r="U33" s="778" t="e">
        <f t="shared" si="13"/>
        <v>#N/A</v>
      </c>
      <c r="V33" s="777" t="s">
        <v>21</v>
      </c>
      <c r="W33" s="778" t="e">
        <f t="shared" si="14"/>
        <v>#N/A</v>
      </c>
      <c r="X33" s="779"/>
      <c r="Y33" s="3313"/>
      <c r="Z33" s="780" t="str">
        <f t="shared" si="18"/>
        <v>项目建筑规模</v>
      </c>
      <c r="AA33" s="1814" t="e">
        <f t="shared" si="15"/>
        <v>#N/A</v>
      </c>
      <c r="AB33" s="1814" t="e">
        <f t="shared" si="16"/>
        <v>#N/A</v>
      </c>
      <c r="AC33" s="1814" t="e">
        <f t="shared" si="17"/>
        <v>#N/A</v>
      </c>
    </row>
    <row r="34" spans="1:29" ht="15">
      <c r="A34" s="472"/>
      <c r="B34" s="422" t="s">
        <v>2568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311"/>
      <c r="Q34" s="1813" t="str">
        <f t="shared" si="11"/>
        <v>建筑结构</v>
      </c>
      <c r="R34" s="774" t="s">
        <v>21</v>
      </c>
      <c r="S34" s="775">
        <f t="shared" si="12"/>
        <v>100</v>
      </c>
      <c r="T34" s="774" t="s">
        <v>21</v>
      </c>
      <c r="U34" s="775">
        <f t="shared" si="13"/>
        <v>100</v>
      </c>
      <c r="V34" s="774" t="s">
        <v>21</v>
      </c>
      <c r="W34" s="775">
        <f t="shared" si="14"/>
        <v>100</v>
      </c>
      <c r="X34" s="1816"/>
      <c r="Y34" s="3313"/>
      <c r="Z34" s="1817" t="str">
        <f t="shared" si="18"/>
        <v>建筑结构</v>
      </c>
      <c r="AA34" s="1814">
        <f t="shared" si="15"/>
        <v>1</v>
      </c>
      <c r="AB34" s="1814">
        <f t="shared" si="16"/>
        <v>1</v>
      </c>
      <c r="AC34" s="1814">
        <f t="shared" si="17"/>
        <v>1</v>
      </c>
    </row>
    <row r="35" spans="1:29" ht="15">
      <c r="A35" s="472"/>
      <c r="B35" s="422" t="s">
        <v>2569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311"/>
      <c r="Q35" s="1813" t="str">
        <f t="shared" si="11"/>
        <v>建筑品质</v>
      </c>
      <c r="R35" s="774" t="s">
        <v>21</v>
      </c>
      <c r="S35" s="775">
        <f t="shared" si="12"/>
        <v>100</v>
      </c>
      <c r="T35" s="774" t="s">
        <v>21</v>
      </c>
      <c r="U35" s="775">
        <f t="shared" si="13"/>
        <v>100</v>
      </c>
      <c r="V35" s="774" t="s">
        <v>21</v>
      </c>
      <c r="W35" s="775">
        <f t="shared" si="14"/>
        <v>100</v>
      </c>
      <c r="X35" s="1816"/>
      <c r="Y35" s="3313"/>
      <c r="Z35" s="1817" t="str">
        <f t="shared" si="18"/>
        <v>建筑品质</v>
      </c>
      <c r="AA35" s="1814">
        <f t="shared" si="15"/>
        <v>1</v>
      </c>
      <c r="AB35" s="1814">
        <f t="shared" si="16"/>
        <v>1</v>
      </c>
      <c r="AC35" s="1814">
        <f t="shared" si="17"/>
        <v>1</v>
      </c>
    </row>
    <row r="36" spans="1:29" ht="15">
      <c r="A36" s="472"/>
      <c r="B36" s="422" t="s">
        <v>2570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311"/>
      <c r="Q36" s="1813" t="str">
        <f t="shared" si="11"/>
        <v>公共部分装修</v>
      </c>
      <c r="R36" s="774" t="s">
        <v>21</v>
      </c>
      <c r="S36" s="775">
        <f t="shared" si="12"/>
        <v>100</v>
      </c>
      <c r="T36" s="774" t="s">
        <v>21</v>
      </c>
      <c r="U36" s="775">
        <f t="shared" si="13"/>
        <v>100</v>
      </c>
      <c r="V36" s="774" t="s">
        <v>21</v>
      </c>
      <c r="W36" s="775">
        <f t="shared" si="14"/>
        <v>100</v>
      </c>
      <c r="X36" s="1816"/>
      <c r="Y36" s="3313"/>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11"/>
      <c r="Q37" s="1798" t="str">
        <f t="shared" si="11"/>
        <v>成新度</v>
      </c>
      <c r="R37" s="770" t="s">
        <v>21</v>
      </c>
      <c r="S37" s="771" t="e">
        <f t="shared" si="12"/>
        <v>#N/A</v>
      </c>
      <c r="T37" s="770" t="s">
        <v>21</v>
      </c>
      <c r="U37" s="771" t="e">
        <f t="shared" si="13"/>
        <v>#N/A</v>
      </c>
      <c r="V37" s="770" t="s">
        <v>21</v>
      </c>
      <c r="W37" s="771" t="e">
        <f t="shared" si="14"/>
        <v>#N/A</v>
      </c>
      <c r="X37" s="772"/>
      <c r="Y37" s="3313"/>
      <c r="Z37" s="55" t="str">
        <f t="shared" si="18"/>
        <v>成新度</v>
      </c>
      <c r="AA37" s="773" t="e">
        <f t="shared" si="15"/>
        <v>#N/A</v>
      </c>
      <c r="AB37" s="773" t="e">
        <f t="shared" si="16"/>
        <v>#N/A</v>
      </c>
      <c r="AC37" s="773" t="e">
        <f t="shared" si="17"/>
        <v>#N/A</v>
      </c>
    </row>
    <row r="38" spans="1:29" ht="15">
      <c r="A38" s="472"/>
      <c r="B38" s="422" t="s">
        <v>2572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311" t="s">
        <v>2566</v>
      </c>
      <c r="Q38" s="1813" t="str">
        <f t="shared" si="11"/>
        <v>物业管理</v>
      </c>
      <c r="R38" s="774" t="s">
        <v>21</v>
      </c>
      <c r="S38" s="775">
        <f t="shared" si="12"/>
        <v>100</v>
      </c>
      <c r="T38" s="774" t="s">
        <v>21</v>
      </c>
      <c r="U38" s="775">
        <f t="shared" si="13"/>
        <v>100</v>
      </c>
      <c r="V38" s="774" t="s">
        <v>21</v>
      </c>
      <c r="W38" s="775">
        <f t="shared" si="14"/>
        <v>100</v>
      </c>
      <c r="X38" s="1816"/>
      <c r="Y38" s="3313" t="s">
        <v>2566</v>
      </c>
      <c r="Z38" s="1817" t="str">
        <f t="shared" si="18"/>
        <v>物业管理</v>
      </c>
      <c r="AA38" s="1814">
        <f t="shared" si="15"/>
        <v>1</v>
      </c>
      <c r="AB38" s="1814">
        <f t="shared" si="16"/>
        <v>1</v>
      </c>
      <c r="AC38" s="1814">
        <f t="shared" si="17"/>
        <v>1</v>
      </c>
    </row>
    <row r="39" spans="1:29" ht="15">
      <c r="A39" s="472"/>
      <c r="B39" s="422" t="s">
        <v>2573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311"/>
      <c r="Q39" s="1813" t="str">
        <f t="shared" si="11"/>
        <v>市政基础设施</v>
      </c>
      <c r="R39" s="774" t="s">
        <v>21</v>
      </c>
      <c r="S39" s="775">
        <f t="shared" si="12"/>
        <v>100</v>
      </c>
      <c r="T39" s="774" t="s">
        <v>21</v>
      </c>
      <c r="U39" s="775">
        <f t="shared" si="13"/>
        <v>100</v>
      </c>
      <c r="V39" s="774" t="s">
        <v>21</v>
      </c>
      <c r="W39" s="775">
        <f t="shared" si="14"/>
        <v>100</v>
      </c>
      <c r="X39" s="1816"/>
      <c r="Y39" s="3313"/>
      <c r="Z39" s="1817" t="str">
        <f t="shared" si="18"/>
        <v>市政基础设施</v>
      </c>
      <c r="AA39" s="1814">
        <f t="shared" si="15"/>
        <v>1</v>
      </c>
      <c r="AB39" s="1814">
        <f t="shared" si="16"/>
        <v>1</v>
      </c>
      <c r="AC39" s="1814">
        <f t="shared" si="17"/>
        <v>1</v>
      </c>
    </row>
    <row r="40" spans="1:29" ht="15">
      <c r="A40" s="472"/>
      <c r="B40" s="422" t="s">
        <v>2574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311"/>
      <c r="Q40" s="1813" t="str">
        <f t="shared" si="11"/>
        <v>房型</v>
      </c>
      <c r="R40" s="774" t="s">
        <v>21</v>
      </c>
      <c r="S40" s="775">
        <f t="shared" si="12"/>
        <v>100</v>
      </c>
      <c r="T40" s="774" t="s">
        <v>21</v>
      </c>
      <c r="U40" s="775">
        <f t="shared" si="13"/>
        <v>100</v>
      </c>
      <c r="V40" s="774" t="s">
        <v>21</v>
      </c>
      <c r="W40" s="775">
        <f t="shared" si="14"/>
        <v>100</v>
      </c>
      <c r="X40" s="1816"/>
      <c r="Y40" s="3313"/>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311"/>
      <c r="Q41" s="776" t="str">
        <f t="shared" si="11"/>
        <v>单套/主力户型建筑面积</v>
      </c>
      <c r="R41" s="777" t="s">
        <v>21</v>
      </c>
      <c r="S41" s="778">
        <f t="shared" si="12"/>
        <v>100</v>
      </c>
      <c r="T41" s="777" t="s">
        <v>21</v>
      </c>
      <c r="U41" s="778">
        <f t="shared" si="13"/>
        <v>100</v>
      </c>
      <c r="V41" s="777" t="s">
        <v>21</v>
      </c>
      <c r="W41" s="778">
        <f t="shared" si="14"/>
        <v>100</v>
      </c>
      <c r="X41" s="779"/>
      <c r="Y41" s="3313"/>
      <c r="Z41" s="780" t="str">
        <f t="shared" si="18"/>
        <v>单套/主力户型建筑面积</v>
      </c>
      <c r="AA41" s="1814">
        <f t="shared" si="15"/>
        <v>1</v>
      </c>
      <c r="AB41" s="1814">
        <f t="shared" si="16"/>
        <v>1</v>
      </c>
      <c r="AC41" s="1814">
        <f t="shared" si="17"/>
        <v>1</v>
      </c>
    </row>
    <row r="42" spans="1:29" ht="15">
      <c r="A42" s="472"/>
      <c r="B42" s="422" t="s">
        <v>2576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311"/>
      <c r="Q42" s="1813" t="str">
        <f t="shared" si="11"/>
        <v>内部装修</v>
      </c>
      <c r="R42" s="774" t="s">
        <v>21</v>
      </c>
      <c r="S42" s="775">
        <f t="shared" si="12"/>
        <v>100</v>
      </c>
      <c r="T42" s="774" t="s">
        <v>21</v>
      </c>
      <c r="U42" s="775">
        <f t="shared" si="13"/>
        <v>100</v>
      </c>
      <c r="V42" s="774" t="s">
        <v>21</v>
      </c>
      <c r="W42" s="775">
        <f t="shared" si="14"/>
        <v>100</v>
      </c>
      <c r="X42" s="1816"/>
      <c r="Y42" s="3313"/>
      <c r="Z42" s="1817" t="str">
        <f t="shared" si="18"/>
        <v>内部装修</v>
      </c>
      <c r="AA42" s="1814">
        <f t="shared" si="15"/>
        <v>1</v>
      </c>
      <c r="AB42" s="1814">
        <f t="shared" si="16"/>
        <v>1</v>
      </c>
      <c r="AC42" s="1814">
        <f t="shared" si="17"/>
        <v>1</v>
      </c>
    </row>
    <row r="43" spans="1:29" ht="15">
      <c r="A43" s="472"/>
      <c r="B43" s="422" t="s">
        <v>2577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311"/>
      <c r="Q43" s="1813" t="str">
        <f t="shared" si="11"/>
        <v>内部装修维护情况</v>
      </c>
      <c r="R43" s="774" t="s">
        <v>21</v>
      </c>
      <c r="S43" s="775">
        <f t="shared" si="12"/>
        <v>100</v>
      </c>
      <c r="T43" s="774" t="s">
        <v>21</v>
      </c>
      <c r="U43" s="775">
        <f t="shared" si="13"/>
        <v>100</v>
      </c>
      <c r="V43" s="774" t="s">
        <v>21</v>
      </c>
      <c r="W43" s="775">
        <f t="shared" si="14"/>
        <v>100</v>
      </c>
      <c r="X43" s="1816"/>
      <c r="Y43" s="331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311"/>
      <c r="Q44" s="1798">
        <f t="shared" si="11"/>
        <v>111</v>
      </c>
      <c r="R44" s="770" t="s">
        <v>21</v>
      </c>
      <c r="S44" s="771">
        <f t="shared" si="12"/>
        <v>100</v>
      </c>
      <c r="T44" s="770" t="s">
        <v>21</v>
      </c>
      <c r="U44" s="771">
        <f t="shared" si="13"/>
        <v>100</v>
      </c>
      <c r="V44" s="770" t="s">
        <v>21</v>
      </c>
      <c r="W44" s="771">
        <f t="shared" si="14"/>
        <v>100</v>
      </c>
      <c r="X44" s="772"/>
      <c r="Y44" s="331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311"/>
      <c r="Q45" s="1813">
        <f t="shared" si="11"/>
        <v>111</v>
      </c>
      <c r="R45" s="774" t="s">
        <v>21</v>
      </c>
      <c r="S45" s="775">
        <f t="shared" si="12"/>
        <v>100</v>
      </c>
      <c r="T45" s="774" t="s">
        <v>21</v>
      </c>
      <c r="U45" s="775">
        <f t="shared" si="13"/>
        <v>100</v>
      </c>
      <c r="V45" s="774" t="s">
        <v>21</v>
      </c>
      <c r="W45" s="775">
        <f t="shared" si="14"/>
        <v>100</v>
      </c>
      <c r="X45" s="1816"/>
      <c r="Y45" s="3313"/>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312"/>
      <c r="Q46" s="1813">
        <f t="shared" si="11"/>
        <v>111</v>
      </c>
      <c r="R46" s="774" t="s">
        <v>20</v>
      </c>
      <c r="S46" s="775">
        <f t="shared" si="12"/>
        <v>100</v>
      </c>
      <c r="T46" s="774" t="s">
        <v>20</v>
      </c>
      <c r="U46" s="775">
        <f t="shared" si="13"/>
        <v>100</v>
      </c>
      <c r="V46" s="774" t="s">
        <v>20</v>
      </c>
      <c r="W46" s="775">
        <f t="shared" si="14"/>
        <v>100</v>
      </c>
      <c r="X46" s="1816"/>
      <c r="Y46" s="3314"/>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6"/>
      <c r="L47" s="1146"/>
      <c r="M47" s="1147"/>
      <c r="N47" s="1134"/>
      <c r="O47" s="1147"/>
      <c r="P47" s="3306" t="str">
        <f>A47</f>
        <v>成交单价（元/平方米）</v>
      </c>
      <c r="Q47" s="3306"/>
      <c r="R47" s="3307">
        <f>E47</f>
        <v>0</v>
      </c>
      <c r="S47" s="3307"/>
      <c r="T47" s="3307">
        <f>G47</f>
        <v>0</v>
      </c>
      <c r="U47" s="3307"/>
      <c r="V47" s="3307">
        <f>I47</f>
        <v>0</v>
      </c>
      <c r="W47" s="3307"/>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7"/>
      <c r="L48" s="1146"/>
      <c r="M48" s="1147"/>
      <c r="N48" s="1147"/>
      <c r="O48" s="1147"/>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8"/>
      <c r="L49" s="1146"/>
      <c r="M49" s="1147"/>
      <c r="N49" s="1147"/>
      <c r="O49" s="1147"/>
      <c r="P49" s="3303" t="str">
        <f>A49</f>
        <v>估价对象XX用房的比较价值（楼面单价，元/平方米）</v>
      </c>
      <c r="Q49" s="3304"/>
      <c r="R49" s="3305" t="e">
        <f>IF(F1="售价",ROUND(AVERAGE(R48:V48),0),ROUND(AVERAGE(R48:V48),1))</f>
        <v>#DIV/0!</v>
      </c>
      <c r="S49" s="3305"/>
      <c r="T49" s="3305"/>
      <c r="U49" s="3305"/>
      <c r="V49" s="3305"/>
      <c r="W49" s="33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2564</v>
      </c>
      <c r="B100" s="528" t="s">
        <v>2613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北京农商银行股份有限公司东城支行：</v>
      </c>
    </row>
    <row r="4" spans="1:1" ht="36">
      <c r="A4" s="1951" t="str">
        <f>"受贵公司委托，我公司对"&amp;项目基本情况!S1&amp;"进行了预评估。"</f>
        <v>受贵公司委托，我公司对北京市朝阳区郎家园6号[3-2]1幢等7幢房地产抵押价值进行了预评估。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郎家园6号[3-2]1幢等7幢房地产，为北京尚博地投资顾问有限公司所有。根据《国有土地使用证》[]，估价对象（分摊）出让国有建设用地使用权面积为4638.1平方米。根据《房屋所有权证》[]，估价对象建筑面积为2864.5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郎家园6号[3-2]1幢等7幢房地产,属北京尚博地投资顾问有限公司开发建设的综合项目（商业、办公），该项目尚在开发建设中。根据《国有土地使用证》[]，估价对象（分摊）出让国有建设用地使用权面积为4638.1平方米。根据《房屋所有权证》[]，估价对象规划建筑面积为2864.5平方米。</v>
      </c>
    </row>
    <row r="11" spans="1:1" ht="76.5">
      <c r="A11" s="1954" t="s">
        <v>1616</v>
      </c>
    </row>
    <row r="12" spans="1:1" ht="18.75">
      <c r="A12" s="1952" t="s">
        <v>1617</v>
      </c>
    </row>
    <row r="13" spans="1:1" ht="38.25" customHeight="1">
      <c r="A13" s="1955" t="str">
        <f>IF(项目基本情况!B8="抵押",IF(项目基本情况!B5=项目基本情况!B6,定义!C51,定义!B51),定义!D51)</f>
        <v>北京尚博地投资顾问有限公司拟使用北京市朝阳区郎家园6号[3-2]1幢等7幢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2018年5月24日（评估专业人员实地查勘之日）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J10" sqref="J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7" t="s">
        <v>2643</v>
      </c>
      <c r="C1" s="1637" t="s">
        <v>2531</v>
      </c>
      <c r="D1" s="1624"/>
      <c r="E1" s="2662"/>
      <c r="F1" s="2589"/>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2864.5</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76" t="s">
        <v>2648</v>
      </c>
      <c r="S4" s="3277"/>
      <c r="T4" s="3276" t="s">
        <v>2649</v>
      </c>
      <c r="U4" s="3277"/>
      <c r="V4" s="3301" t="s">
        <v>2650</v>
      </c>
      <c r="W4" s="3301"/>
      <c r="X4" s="1816"/>
      <c r="Y4" s="3276" t="s">
        <v>2652</v>
      </c>
      <c r="Z4" s="3277"/>
      <c r="AA4" s="3271" t="s">
        <v>2648</v>
      </c>
      <c r="AB4" s="3301" t="s">
        <v>2649</v>
      </c>
      <c r="AC4" s="3271" t="s">
        <v>2650</v>
      </c>
    </row>
    <row r="5" spans="1:29" ht="15">
      <c r="A5" s="404"/>
      <c r="B5" s="405"/>
      <c r="C5" s="3282" t="s">
        <v>2543</v>
      </c>
      <c r="D5" s="3283"/>
      <c r="E5" s="3280" t="s">
        <v>2544</v>
      </c>
      <c r="F5" s="3281"/>
      <c r="G5" s="3282" t="s">
        <v>2545</v>
      </c>
      <c r="H5" s="3283"/>
      <c r="I5" s="3282" t="s">
        <v>2546</v>
      </c>
      <c r="J5" s="3283"/>
      <c r="K5" s="610"/>
      <c r="L5" s="1133"/>
      <c r="M5" s="1134"/>
      <c r="N5" s="1134"/>
      <c r="O5" s="1134"/>
      <c r="P5" s="3295"/>
      <c r="Q5" s="3296"/>
      <c r="R5" s="3278"/>
      <c r="S5" s="3279"/>
      <c r="T5" s="3278"/>
      <c r="U5" s="3279"/>
      <c r="V5" s="3301"/>
      <c r="W5" s="3301"/>
      <c r="X5" s="1816"/>
      <c r="Y5" s="3278"/>
      <c r="Z5" s="3279"/>
      <c r="AA5" s="3272"/>
      <c r="AB5" s="3301"/>
      <c r="AC5" s="3272"/>
    </row>
    <row r="6" spans="1:29" ht="15.75" thickBot="1">
      <c r="A6" s="406"/>
      <c r="B6" s="407"/>
      <c r="C6" s="3284" t="s">
        <v>2547</v>
      </c>
      <c r="D6" s="3285"/>
      <c r="E6" s="3286" t="s">
        <v>2547</v>
      </c>
      <c r="F6" s="3287"/>
      <c r="G6" s="3284" t="s">
        <v>2547</v>
      </c>
      <c r="H6" s="3285"/>
      <c r="I6" s="3284" t="s">
        <v>2547</v>
      </c>
      <c r="J6" s="3285"/>
      <c r="K6" s="610" t="s">
        <v>2548</v>
      </c>
      <c r="L6" s="1133"/>
      <c r="M6" s="1134"/>
      <c r="N6" s="1134"/>
      <c r="O6" s="1134"/>
      <c r="P6" s="3297"/>
      <c r="Q6" s="3298"/>
      <c r="R6" s="3278"/>
      <c r="S6" s="3279"/>
      <c r="T6" s="3299"/>
      <c r="U6" s="3300"/>
      <c r="V6" s="3301"/>
      <c r="W6" s="3301"/>
      <c r="X6" s="1816"/>
      <c r="Y6" s="3299"/>
      <c r="Z6" s="3300"/>
      <c r="AA6" s="3273"/>
      <c r="AB6" s="3301"/>
      <c r="AC6" s="3273"/>
    </row>
    <row r="7" spans="1:29" s="117" customFormat="1" ht="15.75" thickBot="1">
      <c r="A7" s="408" t="s">
        <v>2549</v>
      </c>
      <c r="B7" s="409"/>
      <c r="C7" s="410">
        <f>'数据-取费表'!B2</f>
        <v>43244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74" t="s">
        <v>2550</v>
      </c>
      <c r="Q7" s="3302"/>
      <c r="R7" s="770" t="s">
        <v>17</v>
      </c>
      <c r="S7" s="771">
        <f t="shared" ref="S7:S15" si="0">F7</f>
        <v>0</v>
      </c>
      <c r="T7" s="770" t="s">
        <v>17</v>
      </c>
      <c r="U7" s="771">
        <f t="shared" ref="U7:U15" si="1">H7</f>
        <v>0</v>
      </c>
      <c r="V7" s="770" t="s">
        <v>17</v>
      </c>
      <c r="W7" s="771">
        <f t="shared" ref="W7:W15" si="2">J7</f>
        <v>0</v>
      </c>
      <c r="X7" s="772"/>
      <c r="Y7" s="3274" t="s">
        <v>2550</v>
      </c>
      <c r="Z7" s="3275"/>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74" t="s">
        <v>2553</v>
      </c>
      <c r="Q8" s="3275"/>
      <c r="R8" s="770" t="s">
        <v>17</v>
      </c>
      <c r="S8" s="771">
        <f t="shared" si="0"/>
        <v>0</v>
      </c>
      <c r="T8" s="770" t="s">
        <v>17</v>
      </c>
      <c r="U8" s="771">
        <f t="shared" si="1"/>
        <v>0</v>
      </c>
      <c r="V8" s="770" t="s">
        <v>17</v>
      </c>
      <c r="W8" s="771">
        <f t="shared" si="2"/>
        <v>0</v>
      </c>
      <c r="X8" s="772"/>
      <c r="Y8" s="3274" t="s">
        <v>2553</v>
      </c>
      <c r="Z8" s="3275"/>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88" t="s">
        <v>2556</v>
      </c>
      <c r="Q9" s="1798" t="str">
        <f t="shared" ref="Q9:Q15" si="6">B9</f>
        <v>用途</v>
      </c>
      <c r="R9" s="770" t="s">
        <v>17</v>
      </c>
      <c r="S9" s="771">
        <f t="shared" si="0"/>
        <v>100</v>
      </c>
      <c r="T9" s="770" t="s">
        <v>17</v>
      </c>
      <c r="U9" s="771">
        <f t="shared" si="1"/>
        <v>100</v>
      </c>
      <c r="V9" s="770" t="s">
        <v>17</v>
      </c>
      <c r="W9" s="771">
        <f t="shared" si="2"/>
        <v>100</v>
      </c>
      <c r="X9" s="772"/>
      <c r="Y9" s="308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88"/>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88"/>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88"/>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88"/>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88"/>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71.25">
      <c r="A15" s="440" t="s">
        <v>2560</v>
      </c>
      <c r="B15" s="69" t="s">
        <v>2654</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15" t="s">
        <v>2561</v>
      </c>
      <c r="Q15" s="1813" t="str">
        <f t="shared" si="6"/>
        <v>商业繁华度</v>
      </c>
      <c r="R15" s="774" t="s">
        <v>17</v>
      </c>
      <c r="S15" s="775">
        <f t="shared" si="0"/>
        <v>100</v>
      </c>
      <c r="T15" s="774" t="s">
        <v>17</v>
      </c>
      <c r="U15" s="775">
        <f t="shared" si="1"/>
        <v>100</v>
      </c>
      <c r="V15" s="774" t="s">
        <v>17</v>
      </c>
      <c r="W15" s="775">
        <f t="shared" si="2"/>
        <v>100</v>
      </c>
      <c r="X15" s="1816"/>
      <c r="Y15" s="330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16"/>
      <c r="Q16" s="1813"/>
      <c r="R16" s="774"/>
      <c r="S16" s="775"/>
      <c r="T16" s="774"/>
      <c r="U16" s="775"/>
      <c r="V16" s="774"/>
      <c r="W16" s="775"/>
      <c r="X16" s="1816"/>
      <c r="Y16" s="3309"/>
      <c r="Z16" s="1817"/>
      <c r="AA16" s="1814">
        <v>1</v>
      </c>
      <c r="AB16" s="1814">
        <v>1</v>
      </c>
      <c r="AC16" s="1814">
        <v>1</v>
      </c>
    </row>
    <row r="17" spans="1:29" ht="85.5">
      <c r="A17" s="428"/>
      <c r="B17" s="451" t="s">
        <v>2097</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16"/>
      <c r="Q17" s="1813" t="str">
        <f>B17</f>
        <v>交通便捷度</v>
      </c>
      <c r="R17" s="774" t="s">
        <v>17</v>
      </c>
      <c r="S17" s="775">
        <f>F17</f>
        <v>100</v>
      </c>
      <c r="T17" s="774" t="s">
        <v>17</v>
      </c>
      <c r="U17" s="775">
        <f>H17</f>
        <v>100</v>
      </c>
      <c r="V17" s="774" t="s">
        <v>17</v>
      </c>
      <c r="W17" s="775">
        <f>J17</f>
        <v>100</v>
      </c>
      <c r="X17" s="1816"/>
      <c r="Y17" s="330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316"/>
      <c r="Q18" s="1813"/>
      <c r="R18" s="774"/>
      <c r="S18" s="775"/>
      <c r="T18" s="774"/>
      <c r="U18" s="775"/>
      <c r="V18" s="774"/>
      <c r="W18" s="775"/>
      <c r="X18" s="1816"/>
      <c r="Y18" s="3309"/>
      <c r="Z18" s="1817"/>
      <c r="AA18" s="1814">
        <v>1</v>
      </c>
      <c r="AB18" s="1814">
        <v>1</v>
      </c>
      <c r="AC18" s="1814">
        <v>1</v>
      </c>
    </row>
    <row r="19" spans="1:29" ht="42.75">
      <c r="A19" s="428"/>
      <c r="B19" s="451" t="s">
        <v>2655</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16"/>
      <c r="Q19" s="1813" t="str">
        <f>B19</f>
        <v>公共配套设施</v>
      </c>
      <c r="R19" s="774" t="s">
        <v>17</v>
      </c>
      <c r="S19" s="775">
        <f>F19</f>
        <v>100</v>
      </c>
      <c r="T19" s="774" t="s">
        <v>17</v>
      </c>
      <c r="U19" s="775">
        <f>H19</f>
        <v>100</v>
      </c>
      <c r="V19" s="774" t="s">
        <v>17</v>
      </c>
      <c r="W19" s="775">
        <f>J19</f>
        <v>100</v>
      </c>
      <c r="X19" s="1816"/>
      <c r="Y19" s="330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316"/>
      <c r="Q20" s="1813"/>
      <c r="R20" s="774"/>
      <c r="S20" s="775"/>
      <c r="T20" s="774"/>
      <c r="U20" s="775"/>
      <c r="V20" s="774"/>
      <c r="W20" s="775"/>
      <c r="X20" s="1816"/>
      <c r="Y20" s="3309"/>
      <c r="Z20" s="1817"/>
      <c r="AA20" s="1814">
        <v>1</v>
      </c>
      <c r="AB20" s="1814">
        <v>1</v>
      </c>
      <c r="AC20" s="1814">
        <v>1</v>
      </c>
    </row>
    <row r="21" spans="1:29" ht="28.5">
      <c r="A21" s="428"/>
      <c r="B21" s="1387" t="s">
        <v>2656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16"/>
      <c r="Q21" s="1813" t="str">
        <f>B21</f>
        <v>基础设施水平</v>
      </c>
      <c r="R21" s="774" t="s">
        <v>17</v>
      </c>
      <c r="S21" s="775">
        <f>F21</f>
        <v>100</v>
      </c>
      <c r="T21" s="774" t="s">
        <v>17</v>
      </c>
      <c r="U21" s="775">
        <f>H21</f>
        <v>100</v>
      </c>
      <c r="V21" s="774" t="s">
        <v>17</v>
      </c>
      <c r="W21" s="775">
        <f>J21</f>
        <v>100</v>
      </c>
      <c r="X21" s="1816"/>
      <c r="Y21" s="330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316"/>
      <c r="Q22" s="1813"/>
      <c r="R22" s="774"/>
      <c r="S22" s="775"/>
      <c r="T22" s="774"/>
      <c r="U22" s="775"/>
      <c r="V22" s="774"/>
      <c r="W22" s="775"/>
      <c r="X22" s="1816"/>
      <c r="Y22" s="3309"/>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16"/>
      <c r="Q23" s="1813" t="str">
        <f>B23</f>
        <v>自然及人文环境</v>
      </c>
      <c r="R23" s="774" t="s">
        <v>17</v>
      </c>
      <c r="S23" s="775">
        <f>F23</f>
        <v>100</v>
      </c>
      <c r="T23" s="774" t="s">
        <v>17</v>
      </c>
      <c r="U23" s="775">
        <f>H23</f>
        <v>100</v>
      </c>
      <c r="V23" s="774" t="s">
        <v>17</v>
      </c>
      <c r="W23" s="775">
        <f>J23</f>
        <v>100</v>
      </c>
      <c r="X23" s="1816"/>
      <c r="Y23" s="3309"/>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316"/>
      <c r="Q24" s="1813"/>
      <c r="R24" s="774"/>
      <c r="S24" s="775"/>
      <c r="T24" s="774"/>
      <c r="U24" s="775"/>
      <c r="V24" s="774"/>
      <c r="W24" s="775"/>
      <c r="X24" s="1816"/>
      <c r="Y24" s="330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16"/>
      <c r="Q25" s="1813" t="str">
        <f t="shared" ref="Q25:Q46" si="11">B25</f>
        <v>临街状况</v>
      </c>
      <c r="R25" s="774" t="s">
        <v>17</v>
      </c>
      <c r="S25" s="775">
        <f>F25</f>
        <v>100</v>
      </c>
      <c r="T25" s="774" t="s">
        <v>17</v>
      </c>
      <c r="U25" s="775">
        <f>H25</f>
        <v>100</v>
      </c>
      <c r="V25" s="774" t="s">
        <v>17</v>
      </c>
      <c r="W25" s="775">
        <f>J25</f>
        <v>100</v>
      </c>
      <c r="X25" s="1816"/>
      <c r="Y25" s="330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16"/>
      <c r="Q26" s="1813" t="str">
        <f t="shared" si="11"/>
        <v>平面位置/可视性</v>
      </c>
      <c r="R26" s="774" t="s">
        <v>17</v>
      </c>
      <c r="S26" s="775">
        <f>F26</f>
        <v>100</v>
      </c>
      <c r="T26" s="774" t="s">
        <v>17</v>
      </c>
      <c r="U26" s="775">
        <f>H26</f>
        <v>100</v>
      </c>
      <c r="V26" s="774" t="s">
        <v>17</v>
      </c>
      <c r="W26" s="775">
        <f>J26</f>
        <v>100</v>
      </c>
      <c r="X26" s="1816"/>
      <c r="Y26" s="3309"/>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316"/>
      <c r="Q27" s="1798" t="str">
        <f t="shared" si="11"/>
        <v>人流量</v>
      </c>
      <c r="R27" s="770" t="s">
        <v>17</v>
      </c>
      <c r="S27" s="771">
        <f>F27</f>
        <v>100</v>
      </c>
      <c r="T27" s="770" t="s">
        <v>17</v>
      </c>
      <c r="U27" s="771">
        <f>H27</f>
        <v>100</v>
      </c>
      <c r="V27" s="770" t="s">
        <v>17</v>
      </c>
      <c r="W27" s="771">
        <f>J27</f>
        <v>100</v>
      </c>
      <c r="X27" s="772"/>
      <c r="Y27" s="330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1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30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16"/>
      <c r="Q29" s="1813">
        <f t="shared" si="11"/>
        <v>111</v>
      </c>
      <c r="R29" s="774" t="s">
        <v>17</v>
      </c>
      <c r="S29" s="775">
        <f t="shared" si="12"/>
        <v>100</v>
      </c>
      <c r="T29" s="774" t="s">
        <v>17</v>
      </c>
      <c r="U29" s="775">
        <f t="shared" si="13"/>
        <v>100</v>
      </c>
      <c r="V29" s="774" t="s">
        <v>17</v>
      </c>
      <c r="W29" s="775">
        <f t="shared" si="14"/>
        <v>100</v>
      </c>
      <c r="X29" s="1816"/>
      <c r="Y29" s="330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16"/>
      <c r="Q30" s="1813">
        <f t="shared" si="11"/>
        <v>111</v>
      </c>
      <c r="R30" s="774" t="s">
        <v>17</v>
      </c>
      <c r="S30" s="775">
        <f t="shared" si="12"/>
        <v>100</v>
      </c>
      <c r="T30" s="774" t="s">
        <v>17</v>
      </c>
      <c r="U30" s="775">
        <f t="shared" si="13"/>
        <v>100</v>
      </c>
      <c r="V30" s="774" t="s">
        <v>17</v>
      </c>
      <c r="W30" s="775">
        <f t="shared" si="14"/>
        <v>100</v>
      </c>
      <c r="X30" s="1816"/>
      <c r="Y30" s="330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16"/>
      <c r="Q31" s="1813">
        <f t="shared" si="11"/>
        <v>111</v>
      </c>
      <c r="R31" s="774" t="s">
        <v>17</v>
      </c>
      <c r="S31" s="775">
        <f t="shared" si="12"/>
        <v>100</v>
      </c>
      <c r="T31" s="774" t="s">
        <v>17</v>
      </c>
      <c r="U31" s="775">
        <f t="shared" si="13"/>
        <v>100</v>
      </c>
      <c r="V31" s="774" t="s">
        <v>17</v>
      </c>
      <c r="W31" s="775">
        <f t="shared" si="14"/>
        <v>100</v>
      </c>
      <c r="X31" s="1816"/>
      <c r="Y31" s="3309"/>
      <c r="Z31" s="1817">
        <f t="shared" si="15"/>
        <v>111</v>
      </c>
      <c r="AA31" s="1814">
        <f t="shared" si="3"/>
        <v>1</v>
      </c>
      <c r="AB31" s="1814">
        <f t="shared" si="4"/>
        <v>1</v>
      </c>
      <c r="AC31" s="1814">
        <f t="shared" si="5"/>
        <v>1</v>
      </c>
    </row>
    <row r="32" spans="1:29" ht="15">
      <c r="A32" s="440" t="s">
        <v>2564</v>
      </c>
      <c r="B32" s="71" t="s">
        <v>2661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310" t="s">
        <v>2566</v>
      </c>
      <c r="Q32" s="1813" t="str">
        <f t="shared" si="11"/>
        <v>商业类型</v>
      </c>
      <c r="R32" s="774" t="s">
        <v>17</v>
      </c>
      <c r="S32" s="775">
        <f t="shared" si="12"/>
        <v>100</v>
      </c>
      <c r="T32" s="774" t="s">
        <v>17</v>
      </c>
      <c r="U32" s="775">
        <f t="shared" si="13"/>
        <v>100</v>
      </c>
      <c r="V32" s="774" t="s">
        <v>17</v>
      </c>
      <c r="W32" s="775">
        <f t="shared" si="14"/>
        <v>100</v>
      </c>
      <c r="X32" s="1816"/>
      <c r="Y32" s="3313"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11"/>
      <c r="Q33" s="776" t="str">
        <f t="shared" si="11"/>
        <v>项目建筑规模</v>
      </c>
      <c r="R33" s="777" t="s">
        <v>17</v>
      </c>
      <c r="S33" s="778" t="e">
        <f t="shared" si="12"/>
        <v>#N/A</v>
      </c>
      <c r="T33" s="777" t="s">
        <v>17</v>
      </c>
      <c r="U33" s="778" t="e">
        <f t="shared" si="13"/>
        <v>#N/A</v>
      </c>
      <c r="V33" s="777" t="s">
        <v>17</v>
      </c>
      <c r="W33" s="778" t="e">
        <f t="shared" si="14"/>
        <v>#N/A</v>
      </c>
      <c r="X33" s="779"/>
      <c r="Y33" s="3313"/>
      <c r="Z33" s="780" t="str">
        <f t="shared" si="15"/>
        <v>项目建筑规模</v>
      </c>
      <c r="AA33" s="1814" t="e">
        <f t="shared" si="3"/>
        <v>#N/A</v>
      </c>
      <c r="AB33" s="1814" t="e">
        <f t="shared" si="4"/>
        <v>#N/A</v>
      </c>
      <c r="AC33" s="1814" t="e">
        <f t="shared" si="5"/>
        <v>#N/A</v>
      </c>
    </row>
    <row r="34" spans="1:29" ht="15">
      <c r="A34" s="472"/>
      <c r="B34" s="422" t="s">
        <v>2568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311"/>
      <c r="Q34" s="1813" t="str">
        <f t="shared" si="11"/>
        <v>建筑结构</v>
      </c>
      <c r="R34" s="774" t="s">
        <v>17</v>
      </c>
      <c r="S34" s="775">
        <f t="shared" si="12"/>
        <v>100</v>
      </c>
      <c r="T34" s="774" t="s">
        <v>17</v>
      </c>
      <c r="U34" s="775">
        <f t="shared" si="13"/>
        <v>100</v>
      </c>
      <c r="V34" s="774" t="s">
        <v>17</v>
      </c>
      <c r="W34" s="775">
        <f t="shared" si="14"/>
        <v>100</v>
      </c>
      <c r="X34" s="1816"/>
      <c r="Y34" s="3313"/>
      <c r="Z34" s="1817" t="str">
        <f t="shared" si="15"/>
        <v>建筑结构</v>
      </c>
      <c r="AA34" s="1814">
        <f t="shared" si="3"/>
        <v>1</v>
      </c>
      <c r="AB34" s="1814">
        <f t="shared" si="4"/>
        <v>1</v>
      </c>
      <c r="AC34" s="1814">
        <f t="shared" si="5"/>
        <v>1</v>
      </c>
    </row>
    <row r="35" spans="1:29" ht="15">
      <c r="A35" s="472"/>
      <c r="B35" s="422" t="s">
        <v>2662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311"/>
      <c r="Q35" s="1813" t="str">
        <f t="shared" si="11"/>
        <v>公共部分装修</v>
      </c>
      <c r="R35" s="774" t="s">
        <v>17</v>
      </c>
      <c r="S35" s="775">
        <f t="shared" si="12"/>
        <v>100</v>
      </c>
      <c r="T35" s="774" t="s">
        <v>17</v>
      </c>
      <c r="U35" s="775">
        <f t="shared" si="13"/>
        <v>100</v>
      </c>
      <c r="V35" s="774" t="s">
        <v>17</v>
      </c>
      <c r="W35" s="775">
        <f t="shared" si="14"/>
        <v>100</v>
      </c>
      <c r="X35" s="1816"/>
      <c r="Y35" s="3313"/>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11"/>
      <c r="Q36" s="1813" t="str">
        <f t="shared" si="11"/>
        <v>成新度</v>
      </c>
      <c r="R36" s="774" t="s">
        <v>17</v>
      </c>
      <c r="S36" s="775" t="e">
        <f t="shared" si="12"/>
        <v>#N/A</v>
      </c>
      <c r="T36" s="774" t="s">
        <v>17</v>
      </c>
      <c r="U36" s="775" t="e">
        <f t="shared" si="13"/>
        <v>#N/A</v>
      </c>
      <c r="V36" s="774" t="s">
        <v>17</v>
      </c>
      <c r="W36" s="775" t="e">
        <f t="shared" si="14"/>
        <v>#N/A</v>
      </c>
      <c r="X36" s="1816"/>
      <c r="Y36" s="3313"/>
      <c r="Z36" s="1817" t="str">
        <f t="shared" si="15"/>
        <v>成新度</v>
      </c>
      <c r="AA36" s="1814" t="e">
        <f t="shared" si="3"/>
        <v>#N/A</v>
      </c>
      <c r="AB36" s="1814" t="e">
        <f t="shared" si="4"/>
        <v>#N/A</v>
      </c>
      <c r="AC36" s="1814" t="e">
        <f t="shared" si="5"/>
        <v>#N/A</v>
      </c>
    </row>
    <row r="37" spans="1:29" s="117" customFormat="1" ht="15">
      <c r="A37" s="473"/>
      <c r="B37" s="422" t="s">
        <v>2664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311"/>
      <c r="Q37" s="1798" t="str">
        <f t="shared" si="11"/>
        <v>市政基础设施</v>
      </c>
      <c r="R37" s="770" t="s">
        <v>17</v>
      </c>
      <c r="S37" s="771">
        <f t="shared" si="12"/>
        <v>100</v>
      </c>
      <c r="T37" s="770" t="s">
        <v>17</v>
      </c>
      <c r="U37" s="771">
        <f t="shared" si="13"/>
        <v>100</v>
      </c>
      <c r="V37" s="770" t="s">
        <v>17</v>
      </c>
      <c r="W37" s="771">
        <f t="shared" si="14"/>
        <v>100</v>
      </c>
      <c r="X37" s="772"/>
      <c r="Y37" s="3313"/>
      <c r="Z37" s="55" t="str">
        <f t="shared" si="15"/>
        <v>市政基础设施</v>
      </c>
      <c r="AA37" s="773">
        <f t="shared" si="3"/>
        <v>1</v>
      </c>
      <c r="AB37" s="773">
        <f t="shared" si="4"/>
        <v>1</v>
      </c>
      <c r="AC37" s="773">
        <f t="shared" si="5"/>
        <v>1</v>
      </c>
    </row>
    <row r="38" spans="1:29" ht="15">
      <c r="A38" s="472"/>
      <c r="B38" s="422" t="s">
        <v>2665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311" t="s">
        <v>2566</v>
      </c>
      <c r="Q38" s="1813" t="str">
        <f t="shared" si="11"/>
        <v>业态</v>
      </c>
      <c r="R38" s="774" t="s">
        <v>17</v>
      </c>
      <c r="S38" s="775">
        <f t="shared" si="12"/>
        <v>100</v>
      </c>
      <c r="T38" s="774" t="s">
        <v>17</v>
      </c>
      <c r="U38" s="775">
        <f t="shared" si="13"/>
        <v>100</v>
      </c>
      <c r="V38" s="774" t="s">
        <v>17</v>
      </c>
      <c r="W38" s="775">
        <f t="shared" si="14"/>
        <v>100</v>
      </c>
      <c r="X38" s="1816"/>
      <c r="Y38" s="3313" t="s">
        <v>2566</v>
      </c>
      <c r="Z38" s="1817" t="str">
        <f t="shared" si="15"/>
        <v>业态</v>
      </c>
      <c r="AA38" s="1814">
        <f t="shared" si="3"/>
        <v>1</v>
      </c>
      <c r="AB38" s="1814">
        <f t="shared" si="4"/>
        <v>1</v>
      </c>
      <c r="AC38" s="1814">
        <f t="shared" si="5"/>
        <v>1</v>
      </c>
    </row>
    <row r="39" spans="1:29" ht="15">
      <c r="A39" s="472"/>
      <c r="B39" s="422" t="s">
        <v>2666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311"/>
      <c r="Q39" s="1813" t="str">
        <f t="shared" si="11"/>
        <v>层高</v>
      </c>
      <c r="R39" s="774" t="s">
        <v>17</v>
      </c>
      <c r="S39" s="775">
        <f t="shared" si="12"/>
        <v>100</v>
      </c>
      <c r="T39" s="774" t="s">
        <v>17</v>
      </c>
      <c r="U39" s="775">
        <f t="shared" si="13"/>
        <v>100</v>
      </c>
      <c r="V39" s="774" t="s">
        <v>17</v>
      </c>
      <c r="W39" s="775">
        <f t="shared" si="14"/>
        <v>100</v>
      </c>
      <c r="X39" s="1816"/>
      <c r="Y39" s="3313"/>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11"/>
      <c r="Q40" s="1813" t="str">
        <f t="shared" si="11"/>
        <v>单套建筑面积</v>
      </c>
      <c r="R40" s="774" t="s">
        <v>17</v>
      </c>
      <c r="S40" s="775">
        <f t="shared" si="12"/>
        <v>100</v>
      </c>
      <c r="T40" s="774" t="s">
        <v>17</v>
      </c>
      <c r="U40" s="775">
        <f t="shared" si="13"/>
        <v>100</v>
      </c>
      <c r="V40" s="774" t="s">
        <v>17</v>
      </c>
      <c r="W40" s="775">
        <f t="shared" si="14"/>
        <v>100</v>
      </c>
      <c r="X40" s="1816"/>
      <c r="Y40" s="3313"/>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11"/>
      <c r="Q41" s="776" t="str">
        <f t="shared" si="11"/>
        <v>进深比</v>
      </c>
      <c r="R41" s="777" t="s">
        <v>17</v>
      </c>
      <c r="S41" s="778">
        <f t="shared" si="12"/>
        <v>100</v>
      </c>
      <c r="T41" s="777" t="s">
        <v>17</v>
      </c>
      <c r="U41" s="778">
        <f t="shared" si="13"/>
        <v>100</v>
      </c>
      <c r="V41" s="777" t="s">
        <v>17</v>
      </c>
      <c r="W41" s="778">
        <f t="shared" si="14"/>
        <v>100</v>
      </c>
      <c r="X41" s="779"/>
      <c r="Y41" s="3313"/>
      <c r="Z41" s="780" t="str">
        <f t="shared" si="15"/>
        <v>进深比</v>
      </c>
      <c r="AA41" s="1814">
        <f t="shared" si="3"/>
        <v>1</v>
      </c>
      <c r="AB41" s="1814">
        <f t="shared" si="4"/>
        <v>1</v>
      </c>
      <c r="AC41" s="1814">
        <f t="shared" si="5"/>
        <v>1</v>
      </c>
    </row>
    <row r="42" spans="1:29" ht="15">
      <c r="A42" s="472"/>
      <c r="B42" s="422" t="s">
        <v>2669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311"/>
      <c r="Q42" s="1813" t="str">
        <f t="shared" si="11"/>
        <v>内部装修</v>
      </c>
      <c r="R42" s="774" t="s">
        <v>17</v>
      </c>
      <c r="S42" s="775">
        <f t="shared" si="12"/>
        <v>100</v>
      </c>
      <c r="T42" s="774" t="s">
        <v>17</v>
      </c>
      <c r="U42" s="775">
        <f t="shared" si="13"/>
        <v>100</v>
      </c>
      <c r="V42" s="774" t="s">
        <v>17</v>
      </c>
      <c r="W42" s="775">
        <f t="shared" si="14"/>
        <v>100</v>
      </c>
      <c r="X42" s="1816"/>
      <c r="Y42" s="3313"/>
      <c r="Z42" s="1817" t="str">
        <f t="shared" si="15"/>
        <v>内部装修</v>
      </c>
      <c r="AA42" s="1814">
        <f t="shared" si="3"/>
        <v>1</v>
      </c>
      <c r="AB42" s="1814">
        <f t="shared" si="4"/>
        <v>1</v>
      </c>
      <c r="AC42" s="1814">
        <f t="shared" si="5"/>
        <v>1</v>
      </c>
    </row>
    <row r="43" spans="1:29" ht="15">
      <c r="A43" s="472"/>
      <c r="B43" s="422" t="s">
        <v>2577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311"/>
      <c r="Q43" s="1813" t="str">
        <f t="shared" si="11"/>
        <v>内部装修维护情况</v>
      </c>
      <c r="R43" s="774" t="s">
        <v>17</v>
      </c>
      <c r="S43" s="775">
        <f t="shared" si="12"/>
        <v>100</v>
      </c>
      <c r="T43" s="774" t="s">
        <v>17</v>
      </c>
      <c r="U43" s="775">
        <f t="shared" si="13"/>
        <v>100</v>
      </c>
      <c r="V43" s="774" t="s">
        <v>17</v>
      </c>
      <c r="W43" s="775">
        <f t="shared" si="14"/>
        <v>100</v>
      </c>
      <c r="X43" s="1816"/>
      <c r="Y43" s="331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11"/>
      <c r="Q44" s="1798">
        <f t="shared" si="11"/>
        <v>111</v>
      </c>
      <c r="R44" s="770" t="s">
        <v>17</v>
      </c>
      <c r="S44" s="771">
        <f t="shared" si="12"/>
        <v>100</v>
      </c>
      <c r="T44" s="770" t="s">
        <v>17</v>
      </c>
      <c r="U44" s="771">
        <f t="shared" si="13"/>
        <v>100</v>
      </c>
      <c r="V44" s="770" t="s">
        <v>17</v>
      </c>
      <c r="W44" s="771">
        <f t="shared" si="14"/>
        <v>100</v>
      </c>
      <c r="X44" s="772"/>
      <c r="Y44" s="331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11"/>
      <c r="Q45" s="1813">
        <f t="shared" si="11"/>
        <v>111</v>
      </c>
      <c r="R45" s="774" t="s">
        <v>17</v>
      </c>
      <c r="S45" s="775">
        <f t="shared" si="12"/>
        <v>100</v>
      </c>
      <c r="T45" s="774" t="s">
        <v>17</v>
      </c>
      <c r="U45" s="775">
        <f t="shared" si="13"/>
        <v>100</v>
      </c>
      <c r="V45" s="774" t="s">
        <v>17</v>
      </c>
      <c r="W45" s="775">
        <f t="shared" si="14"/>
        <v>100</v>
      </c>
      <c r="X45" s="1816"/>
      <c r="Y45" s="3313"/>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12"/>
      <c r="Q46" s="1813">
        <f t="shared" si="11"/>
        <v>111</v>
      </c>
      <c r="R46" s="774" t="s">
        <v>17</v>
      </c>
      <c r="S46" s="775">
        <f t="shared" si="12"/>
        <v>100</v>
      </c>
      <c r="T46" s="774" t="s">
        <v>17</v>
      </c>
      <c r="U46" s="775">
        <f t="shared" si="13"/>
        <v>100</v>
      </c>
      <c r="V46" s="774" t="s">
        <v>17</v>
      </c>
      <c r="W46" s="775">
        <f t="shared" si="14"/>
        <v>100</v>
      </c>
      <c r="X46" s="1816"/>
      <c r="Y46" s="3314"/>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306" t="str">
        <f>A47</f>
        <v>成交单价（元/平方米）</v>
      </c>
      <c r="Q47" s="3306"/>
      <c r="R47" s="3301">
        <f>E47</f>
        <v>0</v>
      </c>
      <c r="S47" s="3301"/>
      <c r="T47" s="3301">
        <f>G47</f>
        <v>0</v>
      </c>
      <c r="U47" s="3301"/>
      <c r="V47" s="3301">
        <f>I47</f>
        <v>0</v>
      </c>
      <c r="W47" s="3301"/>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303" t="str">
        <f>A49</f>
        <v>估价对象XX用房的比较价值（楼面单价，元/平方米）</v>
      </c>
      <c r="Q49" s="3304"/>
      <c r="R49" s="3305" t="e">
        <f>IF(F1="售价",ROUND(AVERAGE(R48:V48),0),ROUND(AVERAGE(R48:V48),1))</f>
        <v>#DIV/0!</v>
      </c>
      <c r="S49" s="3305"/>
      <c r="T49" s="3305"/>
      <c r="U49" s="3305"/>
      <c r="V49" s="3305"/>
      <c r="W49" s="33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J10" sqref="J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89"/>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2864.5</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323" t="s">
        <v>2652</v>
      </c>
      <c r="Q4" s="3324"/>
      <c r="R4" s="3318" t="s">
        <v>2648</v>
      </c>
      <c r="S4" s="3319"/>
      <c r="T4" s="3318" t="s">
        <v>2649</v>
      </c>
      <c r="U4" s="3319"/>
      <c r="V4" s="3327" t="s">
        <v>2650</v>
      </c>
      <c r="W4" s="3327"/>
      <c r="X4" s="2675"/>
      <c r="Y4" s="3318" t="s">
        <v>2652</v>
      </c>
      <c r="Z4" s="3319"/>
      <c r="AA4" s="3317" t="s">
        <v>2648</v>
      </c>
      <c r="AB4" s="3317" t="s">
        <v>2649</v>
      </c>
      <c r="AC4" s="3320" t="s">
        <v>2650</v>
      </c>
    </row>
    <row r="5" spans="1:29" ht="15">
      <c r="A5" s="404"/>
      <c r="B5" s="405"/>
      <c r="C5" s="3282" t="s">
        <v>2543</v>
      </c>
      <c r="D5" s="3283"/>
      <c r="E5" s="3280" t="s">
        <v>2544</v>
      </c>
      <c r="F5" s="3281"/>
      <c r="G5" s="3282" t="s">
        <v>2545</v>
      </c>
      <c r="H5" s="3283"/>
      <c r="I5" s="3282" t="s">
        <v>2546</v>
      </c>
      <c r="J5" s="3283"/>
      <c r="K5" s="610"/>
      <c r="L5" s="1133"/>
      <c r="M5" s="1134"/>
      <c r="N5" s="1134"/>
      <c r="O5" s="1134"/>
      <c r="P5" s="3325"/>
      <c r="Q5" s="3296"/>
      <c r="R5" s="3278"/>
      <c r="S5" s="3279"/>
      <c r="T5" s="3278"/>
      <c r="U5" s="3279"/>
      <c r="V5" s="3301"/>
      <c r="W5" s="3301"/>
      <c r="X5" s="1816"/>
      <c r="Y5" s="3278"/>
      <c r="Z5" s="3279"/>
      <c r="AA5" s="3272"/>
      <c r="AB5" s="3272"/>
      <c r="AC5" s="3321"/>
    </row>
    <row r="6" spans="1:29" ht="15.75" thickBot="1">
      <c r="A6" s="406"/>
      <c r="B6" s="407"/>
      <c r="C6" s="3284" t="s">
        <v>2547</v>
      </c>
      <c r="D6" s="3285"/>
      <c r="E6" s="3286" t="s">
        <v>2547</v>
      </c>
      <c r="F6" s="3287"/>
      <c r="G6" s="3284" t="s">
        <v>2547</v>
      </c>
      <c r="H6" s="3285"/>
      <c r="I6" s="3284" t="s">
        <v>2547</v>
      </c>
      <c r="J6" s="3285"/>
      <c r="K6" s="610" t="s">
        <v>2548</v>
      </c>
      <c r="L6" s="1133"/>
      <c r="M6" s="1134"/>
      <c r="N6" s="1134"/>
      <c r="O6" s="1134"/>
      <c r="P6" s="3326"/>
      <c r="Q6" s="3298"/>
      <c r="R6" s="3278"/>
      <c r="S6" s="3279"/>
      <c r="T6" s="3299"/>
      <c r="U6" s="3300"/>
      <c r="V6" s="3301"/>
      <c r="W6" s="3301"/>
      <c r="X6" s="1816"/>
      <c r="Y6" s="3299"/>
      <c r="Z6" s="3300"/>
      <c r="AA6" s="3273"/>
      <c r="AB6" s="3273"/>
      <c r="AC6" s="3322"/>
    </row>
    <row r="7" spans="1:29" s="117" customFormat="1" ht="15.75" thickBot="1">
      <c r="A7" s="408" t="s">
        <v>2549</v>
      </c>
      <c r="B7" s="409"/>
      <c r="C7" s="410">
        <f>'数据-取费表'!B2</f>
        <v>43244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8" t="s">
        <v>2550</v>
      </c>
      <c r="Q7" s="3302"/>
      <c r="R7" s="770" t="s">
        <v>17</v>
      </c>
      <c r="S7" s="771">
        <f t="shared" ref="S7:S15" si="0">F7</f>
        <v>0</v>
      </c>
      <c r="T7" s="770" t="s">
        <v>17</v>
      </c>
      <c r="U7" s="771">
        <f t="shared" ref="U7:U15" si="1">H7</f>
        <v>0</v>
      </c>
      <c r="V7" s="770" t="s">
        <v>17</v>
      </c>
      <c r="W7" s="771">
        <f t="shared" ref="W7:W15" si="2">J7</f>
        <v>0</v>
      </c>
      <c r="X7" s="772"/>
      <c r="Y7" s="3274" t="s">
        <v>2550</v>
      </c>
      <c r="Z7" s="3275"/>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8" t="s">
        <v>2553</v>
      </c>
      <c r="Q8" s="3275"/>
      <c r="R8" s="770" t="s">
        <v>17</v>
      </c>
      <c r="S8" s="771">
        <f t="shared" si="0"/>
        <v>0</v>
      </c>
      <c r="T8" s="770" t="s">
        <v>17</v>
      </c>
      <c r="U8" s="771">
        <f t="shared" si="1"/>
        <v>0</v>
      </c>
      <c r="V8" s="770" t="s">
        <v>17</v>
      </c>
      <c r="W8" s="771">
        <f t="shared" si="2"/>
        <v>0</v>
      </c>
      <c r="X8" s="772"/>
      <c r="Y8" s="3274" t="s">
        <v>2553</v>
      </c>
      <c r="Z8" s="3275"/>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88" t="s">
        <v>2556</v>
      </c>
      <c r="Q9" s="1798" t="str">
        <f t="shared" ref="Q9:Q15" si="6">B9</f>
        <v>用途</v>
      </c>
      <c r="R9" s="770" t="s">
        <v>17</v>
      </c>
      <c r="S9" s="771">
        <f t="shared" si="0"/>
        <v>100</v>
      </c>
      <c r="T9" s="770" t="s">
        <v>17</v>
      </c>
      <c r="U9" s="771">
        <f t="shared" si="1"/>
        <v>100</v>
      </c>
      <c r="V9" s="770" t="s">
        <v>17</v>
      </c>
      <c r="W9" s="771">
        <f t="shared" si="2"/>
        <v>100</v>
      </c>
      <c r="X9" s="772"/>
      <c r="Y9" s="3080"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88"/>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88"/>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88"/>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88"/>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88"/>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15" t="s">
        <v>2561</v>
      </c>
      <c r="Q15" s="1813" t="str">
        <f t="shared" si="6"/>
        <v>办公集聚程度</v>
      </c>
      <c r="R15" s="774" t="s">
        <v>17</v>
      </c>
      <c r="S15" s="775">
        <f t="shared" si="0"/>
        <v>100</v>
      </c>
      <c r="T15" s="774" t="s">
        <v>17</v>
      </c>
      <c r="U15" s="775">
        <f t="shared" si="1"/>
        <v>100</v>
      </c>
      <c r="V15" s="774" t="s">
        <v>17</v>
      </c>
      <c r="W15" s="775">
        <f t="shared" si="2"/>
        <v>100</v>
      </c>
      <c r="X15" s="1816"/>
      <c r="Y15" s="3308" t="s">
        <v>2561</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316"/>
      <c r="Q16" s="1813"/>
      <c r="R16" s="774"/>
      <c r="S16" s="775"/>
      <c r="T16" s="774"/>
      <c r="U16" s="775"/>
      <c r="V16" s="774"/>
      <c r="W16" s="775"/>
      <c r="X16" s="1816"/>
      <c r="Y16" s="3309"/>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16"/>
      <c r="Q17" s="1813" t="str">
        <f>B17</f>
        <v>交通便捷度</v>
      </c>
      <c r="R17" s="774" t="s">
        <v>17</v>
      </c>
      <c r="S17" s="775">
        <f>F17</f>
        <v>100</v>
      </c>
      <c r="T17" s="774" t="s">
        <v>17</v>
      </c>
      <c r="U17" s="775">
        <f>H17</f>
        <v>100</v>
      </c>
      <c r="V17" s="774" t="s">
        <v>17</v>
      </c>
      <c r="W17" s="775">
        <f>J17</f>
        <v>100</v>
      </c>
      <c r="X17" s="1816"/>
      <c r="Y17" s="3309"/>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316"/>
      <c r="Q18" s="1813"/>
      <c r="R18" s="774"/>
      <c r="S18" s="775"/>
      <c r="T18" s="774"/>
      <c r="U18" s="775"/>
      <c r="V18" s="774"/>
      <c r="W18" s="775"/>
      <c r="X18" s="1816"/>
      <c r="Y18" s="3309"/>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16"/>
      <c r="Q19" s="1813" t="str">
        <f>B19</f>
        <v>公共配套设施</v>
      </c>
      <c r="R19" s="774" t="s">
        <v>17</v>
      </c>
      <c r="S19" s="775">
        <f>F19</f>
        <v>100</v>
      </c>
      <c r="T19" s="774" t="s">
        <v>17</v>
      </c>
      <c r="U19" s="775">
        <f>H19</f>
        <v>100</v>
      </c>
      <c r="V19" s="774" t="s">
        <v>17</v>
      </c>
      <c r="W19" s="775">
        <f>J19</f>
        <v>100</v>
      </c>
      <c r="X19" s="1816"/>
      <c r="Y19" s="3309"/>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316"/>
      <c r="Q20" s="1813"/>
      <c r="R20" s="774"/>
      <c r="S20" s="775"/>
      <c r="T20" s="774"/>
      <c r="U20" s="775"/>
      <c r="V20" s="774"/>
      <c r="W20" s="775"/>
      <c r="X20" s="1816"/>
      <c r="Y20" s="3309"/>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16"/>
      <c r="Q21" s="1813" t="str">
        <f>B21</f>
        <v>基础设施水平</v>
      </c>
      <c r="R21" s="774" t="s">
        <v>17</v>
      </c>
      <c r="S21" s="775">
        <f>F21</f>
        <v>100</v>
      </c>
      <c r="T21" s="774" t="s">
        <v>17</v>
      </c>
      <c r="U21" s="775">
        <f>H21</f>
        <v>100</v>
      </c>
      <c r="V21" s="774" t="s">
        <v>17</v>
      </c>
      <c r="W21" s="775">
        <f>J21</f>
        <v>100</v>
      </c>
      <c r="X21" s="1816"/>
      <c r="Y21" s="330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316"/>
      <c r="Q22" s="1813"/>
      <c r="R22" s="774"/>
      <c r="S22" s="775"/>
      <c r="T22" s="774"/>
      <c r="U22" s="775"/>
      <c r="V22" s="774"/>
      <c r="W22" s="775"/>
      <c r="X22" s="1816"/>
      <c r="Y22" s="3309"/>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16"/>
      <c r="Q23" s="1813" t="str">
        <f>B23</f>
        <v>环境质量</v>
      </c>
      <c r="R23" s="774" t="s">
        <v>17</v>
      </c>
      <c r="S23" s="775">
        <f>F23</f>
        <v>100</v>
      </c>
      <c r="T23" s="774" t="s">
        <v>17</v>
      </c>
      <c r="U23" s="775">
        <f>H23</f>
        <v>100</v>
      </c>
      <c r="V23" s="774" t="s">
        <v>17</v>
      </c>
      <c r="W23" s="775">
        <f>J23</f>
        <v>100</v>
      </c>
      <c r="X23" s="1816"/>
      <c r="Y23" s="3309"/>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316"/>
      <c r="Q24" s="1813"/>
      <c r="R24" s="774"/>
      <c r="S24" s="775"/>
      <c r="T24" s="774"/>
      <c r="U24" s="775"/>
      <c r="V24" s="774"/>
      <c r="W24" s="775"/>
      <c r="X24" s="1816"/>
      <c r="Y24" s="3309"/>
      <c r="Z24" s="1817"/>
      <c r="AA24" s="1814">
        <v>1</v>
      </c>
      <c r="AB24" s="1814">
        <v>1</v>
      </c>
      <c r="AC24" s="2679">
        <v>1</v>
      </c>
    </row>
    <row r="25" spans="1:29" ht="27">
      <c r="A25" s="404"/>
      <c r="B25" s="631" t="s">
        <v>2692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316"/>
      <c r="Q25" s="1813" t="str">
        <f>B25</f>
        <v>毗邻道路的类型与等级</v>
      </c>
      <c r="R25" s="774" t="s">
        <v>17</v>
      </c>
      <c r="S25" s="775">
        <f>F25</f>
        <v>100</v>
      </c>
      <c r="T25" s="774" t="s">
        <v>17</v>
      </c>
      <c r="U25" s="775">
        <f>H25</f>
        <v>100</v>
      </c>
      <c r="V25" s="774" t="s">
        <v>17</v>
      </c>
      <c r="W25" s="775">
        <f>J25</f>
        <v>100</v>
      </c>
      <c r="X25" s="1816"/>
      <c r="Y25" s="330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316"/>
      <c r="Q26" s="1813"/>
      <c r="R26" s="774"/>
      <c r="S26" s="775"/>
      <c r="T26" s="774"/>
      <c r="U26" s="775"/>
      <c r="V26" s="774"/>
      <c r="W26" s="775"/>
      <c r="X26" s="1816"/>
      <c r="Y26" s="3309"/>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16"/>
      <c r="Q27" s="1813" t="str">
        <f t="shared" ref="Q27:Q47" si="11">B27</f>
        <v>楼层</v>
      </c>
      <c r="R27" s="774" t="s">
        <v>17</v>
      </c>
      <c r="S27" s="775">
        <f>F27</f>
        <v>100</v>
      </c>
      <c r="T27" s="774" t="s">
        <v>17</v>
      </c>
      <c r="U27" s="775">
        <f>H27</f>
        <v>100</v>
      </c>
      <c r="V27" s="774" t="s">
        <v>17</v>
      </c>
      <c r="W27" s="775">
        <f>J27</f>
        <v>100</v>
      </c>
      <c r="X27" s="1816"/>
      <c r="Y27" s="3309"/>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316"/>
      <c r="Q28" s="1798" t="str">
        <f t="shared" si="11"/>
        <v>朝向</v>
      </c>
      <c r="R28" s="770" t="s">
        <v>17</v>
      </c>
      <c r="S28" s="771">
        <f>F28</f>
        <v>100</v>
      </c>
      <c r="T28" s="770" t="s">
        <v>17</v>
      </c>
      <c r="U28" s="771">
        <f>H28</f>
        <v>100</v>
      </c>
      <c r="V28" s="770" t="s">
        <v>17</v>
      </c>
      <c r="W28" s="771">
        <f>J28</f>
        <v>100</v>
      </c>
      <c r="X28" s="772"/>
      <c r="Y28" s="3309"/>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316"/>
      <c r="Q29" s="1813">
        <f t="shared" si="11"/>
        <v>111</v>
      </c>
      <c r="R29" s="774" t="s">
        <v>17</v>
      </c>
      <c r="S29" s="775">
        <f t="shared" ref="S29:S47" si="12">F29</f>
        <v>100</v>
      </c>
      <c r="T29" s="774" t="s">
        <v>17</v>
      </c>
      <c r="U29" s="775">
        <f t="shared" ref="U29:U47" si="13">H29</f>
        <v>100</v>
      </c>
      <c r="V29" s="774" t="s">
        <v>17</v>
      </c>
      <c r="W29" s="775">
        <f t="shared" ref="W29:W47" si="14">J29</f>
        <v>100</v>
      </c>
      <c r="X29" s="1816"/>
      <c r="Y29" s="3309"/>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316"/>
      <c r="Q30" s="1813">
        <f t="shared" si="11"/>
        <v>111</v>
      </c>
      <c r="R30" s="774" t="s">
        <v>17</v>
      </c>
      <c r="S30" s="775">
        <f t="shared" si="12"/>
        <v>100</v>
      </c>
      <c r="T30" s="774" t="s">
        <v>17</v>
      </c>
      <c r="U30" s="775">
        <f t="shared" si="13"/>
        <v>100</v>
      </c>
      <c r="V30" s="774" t="s">
        <v>17</v>
      </c>
      <c r="W30" s="775">
        <f t="shared" si="14"/>
        <v>100</v>
      </c>
      <c r="X30" s="1816"/>
      <c r="Y30" s="3309"/>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316"/>
      <c r="Q31" s="1813">
        <f t="shared" si="11"/>
        <v>111</v>
      </c>
      <c r="R31" s="774" t="s">
        <v>17</v>
      </c>
      <c r="S31" s="775">
        <f t="shared" si="12"/>
        <v>100</v>
      </c>
      <c r="T31" s="774" t="s">
        <v>17</v>
      </c>
      <c r="U31" s="775">
        <f t="shared" si="13"/>
        <v>100</v>
      </c>
      <c r="V31" s="774" t="s">
        <v>17</v>
      </c>
      <c r="W31" s="775">
        <f t="shared" si="14"/>
        <v>100</v>
      </c>
      <c r="X31" s="1816"/>
      <c r="Y31" s="3309"/>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316"/>
      <c r="Q32" s="1813">
        <f t="shared" si="11"/>
        <v>111</v>
      </c>
      <c r="R32" s="774" t="s">
        <v>17</v>
      </c>
      <c r="S32" s="775">
        <f t="shared" si="12"/>
        <v>100</v>
      </c>
      <c r="T32" s="774" t="s">
        <v>17</v>
      </c>
      <c r="U32" s="775">
        <f t="shared" si="13"/>
        <v>100</v>
      </c>
      <c r="V32" s="774" t="s">
        <v>17</v>
      </c>
      <c r="W32" s="775">
        <f t="shared" si="14"/>
        <v>100</v>
      </c>
      <c r="X32" s="1816"/>
      <c r="Y32" s="3309"/>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310" t="s">
        <v>2566</v>
      </c>
      <c r="Q33" s="1813" t="str">
        <f t="shared" si="11"/>
        <v>建筑类型</v>
      </c>
      <c r="R33" s="774" t="s">
        <v>17</v>
      </c>
      <c r="S33" s="775">
        <f t="shared" si="12"/>
        <v>100</v>
      </c>
      <c r="T33" s="774" t="s">
        <v>17</v>
      </c>
      <c r="U33" s="775">
        <f t="shared" si="13"/>
        <v>100</v>
      </c>
      <c r="V33" s="774" t="s">
        <v>17</v>
      </c>
      <c r="W33" s="775">
        <f t="shared" si="14"/>
        <v>100</v>
      </c>
      <c r="X33" s="1816"/>
      <c r="Y33" s="3313"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11"/>
      <c r="Q34" s="776" t="str">
        <f t="shared" si="11"/>
        <v>项目建筑规模</v>
      </c>
      <c r="R34" s="777" t="s">
        <v>17</v>
      </c>
      <c r="S34" s="778" t="e">
        <f t="shared" si="12"/>
        <v>#N/A</v>
      </c>
      <c r="T34" s="777" t="s">
        <v>17</v>
      </c>
      <c r="U34" s="778" t="e">
        <f t="shared" si="13"/>
        <v>#N/A</v>
      </c>
      <c r="V34" s="777" t="s">
        <v>17</v>
      </c>
      <c r="W34" s="778" t="e">
        <f t="shared" si="14"/>
        <v>#N/A</v>
      </c>
      <c r="X34" s="779"/>
      <c r="Y34" s="3313"/>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11"/>
      <c r="Q35" s="1813" t="str">
        <f t="shared" si="11"/>
        <v>建筑结构</v>
      </c>
      <c r="R35" s="774" t="s">
        <v>17</v>
      </c>
      <c r="S35" s="775">
        <f t="shared" si="12"/>
        <v>100</v>
      </c>
      <c r="T35" s="774" t="s">
        <v>17</v>
      </c>
      <c r="U35" s="775">
        <f t="shared" si="13"/>
        <v>100</v>
      </c>
      <c r="V35" s="774" t="s">
        <v>17</v>
      </c>
      <c r="W35" s="775">
        <f t="shared" si="14"/>
        <v>100</v>
      </c>
      <c r="X35" s="1816"/>
      <c r="Y35" s="3313"/>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11"/>
      <c r="Q36" s="1813" t="str">
        <f t="shared" si="11"/>
        <v>公共部分装修</v>
      </c>
      <c r="R36" s="774" t="s">
        <v>17</v>
      </c>
      <c r="S36" s="775">
        <f t="shared" si="12"/>
        <v>100</v>
      </c>
      <c r="T36" s="774" t="s">
        <v>17</v>
      </c>
      <c r="U36" s="775">
        <f t="shared" si="13"/>
        <v>100</v>
      </c>
      <c r="V36" s="774" t="s">
        <v>17</v>
      </c>
      <c r="W36" s="775">
        <f t="shared" si="14"/>
        <v>100</v>
      </c>
      <c r="X36" s="1816"/>
      <c r="Y36" s="3313"/>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11"/>
      <c r="Q37" s="1813" t="str">
        <f t="shared" si="11"/>
        <v>成新度</v>
      </c>
      <c r="R37" s="774" t="s">
        <v>17</v>
      </c>
      <c r="S37" s="775" t="e">
        <f t="shared" si="12"/>
        <v>#N/A</v>
      </c>
      <c r="T37" s="774" t="s">
        <v>17</v>
      </c>
      <c r="U37" s="775" t="e">
        <f t="shared" si="13"/>
        <v>#N/A</v>
      </c>
      <c r="V37" s="774" t="s">
        <v>17</v>
      </c>
      <c r="W37" s="775" t="e">
        <f t="shared" si="14"/>
        <v>#N/A</v>
      </c>
      <c r="X37" s="1816"/>
      <c r="Y37" s="3313"/>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11"/>
      <c r="Q38" s="1798" t="str">
        <f t="shared" si="11"/>
        <v>写字楼等级</v>
      </c>
      <c r="R38" s="770" t="s">
        <v>17</v>
      </c>
      <c r="S38" s="771">
        <f t="shared" si="12"/>
        <v>100</v>
      </c>
      <c r="T38" s="770" t="s">
        <v>17</v>
      </c>
      <c r="U38" s="771">
        <f t="shared" si="13"/>
        <v>100</v>
      </c>
      <c r="V38" s="770" t="s">
        <v>17</v>
      </c>
      <c r="W38" s="771">
        <f t="shared" si="14"/>
        <v>100</v>
      </c>
      <c r="X38" s="772"/>
      <c r="Y38" s="3313"/>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11" t="s">
        <v>2566</v>
      </c>
      <c r="Q39" s="1813" t="str">
        <f t="shared" si="11"/>
        <v>物业管理</v>
      </c>
      <c r="R39" s="774" t="s">
        <v>17</v>
      </c>
      <c r="S39" s="775">
        <f t="shared" si="12"/>
        <v>100</v>
      </c>
      <c r="T39" s="774" t="s">
        <v>17</v>
      </c>
      <c r="U39" s="775">
        <f t="shared" si="13"/>
        <v>100</v>
      </c>
      <c r="V39" s="774" t="s">
        <v>17</v>
      </c>
      <c r="W39" s="775">
        <f t="shared" si="14"/>
        <v>100</v>
      </c>
      <c r="X39" s="1816"/>
      <c r="Y39" s="3313"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11"/>
      <c r="Q40" s="1813" t="str">
        <f t="shared" si="11"/>
        <v>市政基础设施</v>
      </c>
      <c r="R40" s="774" t="s">
        <v>17</v>
      </c>
      <c r="S40" s="775">
        <f t="shared" si="12"/>
        <v>100</v>
      </c>
      <c r="T40" s="774" t="s">
        <v>17</v>
      </c>
      <c r="U40" s="775">
        <f t="shared" si="13"/>
        <v>100</v>
      </c>
      <c r="V40" s="774" t="s">
        <v>17</v>
      </c>
      <c r="W40" s="775">
        <f t="shared" si="14"/>
        <v>100</v>
      </c>
      <c r="X40" s="1816"/>
      <c r="Y40" s="3313"/>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11"/>
      <c r="Q41" s="1813" t="str">
        <f t="shared" si="11"/>
        <v>层高</v>
      </c>
      <c r="R41" s="774" t="s">
        <v>17</v>
      </c>
      <c r="S41" s="775">
        <f t="shared" si="12"/>
        <v>100</v>
      </c>
      <c r="T41" s="774" t="s">
        <v>17</v>
      </c>
      <c r="U41" s="775">
        <f t="shared" si="13"/>
        <v>100</v>
      </c>
      <c r="V41" s="774" t="s">
        <v>17</v>
      </c>
      <c r="W41" s="775">
        <f t="shared" si="14"/>
        <v>100</v>
      </c>
      <c r="X41" s="1816"/>
      <c r="Y41" s="3313"/>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11"/>
      <c r="Q42" s="776" t="str">
        <f t="shared" si="11"/>
        <v>单套建筑面积</v>
      </c>
      <c r="R42" s="777" t="s">
        <v>17</v>
      </c>
      <c r="S42" s="778">
        <f t="shared" si="12"/>
        <v>100</v>
      </c>
      <c r="T42" s="777" t="s">
        <v>17</v>
      </c>
      <c r="U42" s="778">
        <f t="shared" si="13"/>
        <v>100</v>
      </c>
      <c r="V42" s="777" t="s">
        <v>17</v>
      </c>
      <c r="W42" s="778">
        <f t="shared" si="14"/>
        <v>100</v>
      </c>
      <c r="X42" s="779"/>
      <c r="Y42" s="3313"/>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11"/>
      <c r="Q43" s="1813" t="str">
        <f t="shared" si="11"/>
        <v>内部装修</v>
      </c>
      <c r="R43" s="774" t="s">
        <v>17</v>
      </c>
      <c r="S43" s="775">
        <f t="shared" si="12"/>
        <v>100</v>
      </c>
      <c r="T43" s="774" t="s">
        <v>17</v>
      </c>
      <c r="U43" s="775">
        <f t="shared" si="13"/>
        <v>100</v>
      </c>
      <c r="V43" s="774" t="s">
        <v>17</v>
      </c>
      <c r="W43" s="775">
        <f t="shared" si="14"/>
        <v>100</v>
      </c>
      <c r="X43" s="1816"/>
      <c r="Y43" s="3313"/>
      <c r="Z43" s="1817" t="str">
        <f t="shared" si="15"/>
        <v>内部装修</v>
      </c>
      <c r="AA43" s="1814">
        <f t="shared" si="3"/>
        <v>1</v>
      </c>
      <c r="AB43" s="1814">
        <f t="shared" si="4"/>
        <v>1</v>
      </c>
      <c r="AC43" s="2679">
        <f t="shared" si="5"/>
        <v>1</v>
      </c>
    </row>
    <row r="44" spans="1:29" ht="15">
      <c r="A44" s="472"/>
      <c r="B44" s="422" t="s">
        <v>2577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311"/>
      <c r="Q44" s="1813" t="str">
        <f t="shared" si="11"/>
        <v>内部装修维护情况</v>
      </c>
      <c r="R44" s="774" t="s">
        <v>17</v>
      </c>
      <c r="S44" s="775">
        <f t="shared" si="12"/>
        <v>100</v>
      </c>
      <c r="T44" s="774" t="s">
        <v>17</v>
      </c>
      <c r="U44" s="775">
        <f t="shared" si="13"/>
        <v>100</v>
      </c>
      <c r="V44" s="774" t="s">
        <v>17</v>
      </c>
      <c r="W44" s="775">
        <f t="shared" si="14"/>
        <v>100</v>
      </c>
      <c r="X44" s="1816"/>
      <c r="Y44" s="331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11"/>
      <c r="Q45" s="1798">
        <f t="shared" si="11"/>
        <v>111</v>
      </c>
      <c r="R45" s="770" t="s">
        <v>17</v>
      </c>
      <c r="S45" s="771">
        <f t="shared" si="12"/>
        <v>100</v>
      </c>
      <c r="T45" s="770" t="s">
        <v>17</v>
      </c>
      <c r="U45" s="771">
        <f t="shared" si="13"/>
        <v>100</v>
      </c>
      <c r="V45" s="770" t="s">
        <v>17</v>
      </c>
      <c r="W45" s="771">
        <f t="shared" si="14"/>
        <v>100</v>
      </c>
      <c r="X45" s="772"/>
      <c r="Y45" s="331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11"/>
      <c r="Q46" s="1813">
        <f t="shared" si="11"/>
        <v>111</v>
      </c>
      <c r="R46" s="774" t="s">
        <v>17</v>
      </c>
      <c r="S46" s="775">
        <f t="shared" si="12"/>
        <v>100</v>
      </c>
      <c r="T46" s="774" t="s">
        <v>17</v>
      </c>
      <c r="U46" s="775">
        <f t="shared" si="13"/>
        <v>100</v>
      </c>
      <c r="V46" s="774" t="s">
        <v>17</v>
      </c>
      <c r="W46" s="775">
        <f t="shared" si="14"/>
        <v>100</v>
      </c>
      <c r="X46" s="1816"/>
      <c r="Y46" s="3313"/>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12"/>
      <c r="Q47" s="1813">
        <f t="shared" si="11"/>
        <v>111</v>
      </c>
      <c r="R47" s="774" t="s">
        <v>17</v>
      </c>
      <c r="S47" s="775">
        <f t="shared" si="12"/>
        <v>100</v>
      </c>
      <c r="T47" s="774" t="s">
        <v>17</v>
      </c>
      <c r="U47" s="775">
        <f t="shared" si="13"/>
        <v>100</v>
      </c>
      <c r="V47" s="774" t="s">
        <v>17</v>
      </c>
      <c r="W47" s="775">
        <f t="shared" si="14"/>
        <v>100</v>
      </c>
      <c r="X47" s="1816"/>
      <c r="Y47" s="3314"/>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288" t="str">
        <f>A48</f>
        <v>成交单价（元/平方米）</v>
      </c>
      <c r="Q48" s="3306"/>
      <c r="R48" s="3307">
        <f>E48</f>
        <v>0</v>
      </c>
      <c r="S48" s="3307"/>
      <c r="T48" s="3307">
        <f>G48</f>
        <v>0</v>
      </c>
      <c r="U48" s="3307"/>
      <c r="V48" s="3307">
        <f>I48</f>
        <v>0</v>
      </c>
      <c r="W48" s="330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88" t="str">
        <f>A49</f>
        <v>比较价值（元/平方米）</v>
      </c>
      <c r="Q49" s="3306"/>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29" t="str">
        <f>A50</f>
        <v>估价对象XX用房的比较价值（楼面单价，元/平方米）</v>
      </c>
      <c r="Q50" s="3330"/>
      <c r="R50" s="3331" t="e">
        <f>IF(F1="售价",ROUND(AVERAGE(R49:V49),0),ROUND(AVERAGE(R49:V49),1))</f>
        <v>#DIV/0!</v>
      </c>
      <c r="S50" s="3331"/>
      <c r="T50" s="3331"/>
      <c r="U50" s="3331"/>
      <c r="V50" s="3331"/>
      <c r="W50" s="333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J10" sqref="J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89"/>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1"/>
      <c r="D2" s="112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2864.5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76" t="s">
        <v>2648</v>
      </c>
      <c r="S4" s="3277"/>
      <c r="T4" s="3276" t="s">
        <v>2649</v>
      </c>
      <c r="U4" s="3277"/>
      <c r="V4" s="3301" t="s">
        <v>2650</v>
      </c>
      <c r="W4" s="3301"/>
      <c r="X4" s="1816"/>
      <c r="Y4" s="3276" t="s">
        <v>2652</v>
      </c>
      <c r="Z4" s="3277"/>
      <c r="AA4" s="3271" t="s">
        <v>2648</v>
      </c>
      <c r="AB4" s="3272" t="s">
        <v>2649</v>
      </c>
      <c r="AC4" s="3271" t="s">
        <v>2650</v>
      </c>
    </row>
    <row r="5" spans="1:29" ht="15">
      <c r="A5" s="404"/>
      <c r="B5" s="405"/>
      <c r="C5" s="3282" t="s">
        <v>2543</v>
      </c>
      <c r="D5" s="3283"/>
      <c r="E5" s="3280" t="s">
        <v>2544</v>
      </c>
      <c r="F5" s="3281"/>
      <c r="G5" s="3282" t="s">
        <v>2545</v>
      </c>
      <c r="H5" s="3283"/>
      <c r="I5" s="3282" t="s">
        <v>2546</v>
      </c>
      <c r="J5" s="3283"/>
      <c r="K5" s="610"/>
      <c r="L5" s="1133"/>
      <c r="M5" s="1134"/>
      <c r="N5" s="1134"/>
      <c r="O5" s="1134"/>
      <c r="P5" s="3295"/>
      <c r="Q5" s="3296"/>
      <c r="R5" s="3278"/>
      <c r="S5" s="3279"/>
      <c r="T5" s="3278"/>
      <c r="U5" s="3279"/>
      <c r="V5" s="3301"/>
      <c r="W5" s="3301"/>
      <c r="X5" s="1816"/>
      <c r="Y5" s="3278"/>
      <c r="Z5" s="3279"/>
      <c r="AA5" s="3272"/>
      <c r="AB5" s="3272"/>
      <c r="AC5" s="3272"/>
    </row>
    <row r="6" spans="1:29" ht="15.75" thickBot="1">
      <c r="A6" s="406"/>
      <c r="B6" s="407"/>
      <c r="C6" s="3284" t="s">
        <v>2547</v>
      </c>
      <c r="D6" s="3285"/>
      <c r="E6" s="3286" t="s">
        <v>2547</v>
      </c>
      <c r="F6" s="3287"/>
      <c r="G6" s="3284" t="s">
        <v>2547</v>
      </c>
      <c r="H6" s="3285"/>
      <c r="I6" s="3284" t="s">
        <v>2547</v>
      </c>
      <c r="J6" s="3285"/>
      <c r="K6" s="610" t="s">
        <v>2548</v>
      </c>
      <c r="L6" s="1133"/>
      <c r="M6" s="1134"/>
      <c r="N6" s="1134"/>
      <c r="O6" s="1134"/>
      <c r="P6" s="3297"/>
      <c r="Q6" s="3298"/>
      <c r="R6" s="3278"/>
      <c r="S6" s="3279"/>
      <c r="T6" s="3299"/>
      <c r="U6" s="3300"/>
      <c r="V6" s="3301"/>
      <c r="W6" s="3301"/>
      <c r="X6" s="1816"/>
      <c r="Y6" s="3299"/>
      <c r="Z6" s="3300"/>
      <c r="AA6" s="3273"/>
      <c r="AB6" s="3273"/>
      <c r="AC6" s="3273"/>
    </row>
    <row r="7" spans="1:29" s="117" customFormat="1" ht="15.75" thickBot="1">
      <c r="A7" s="408" t="s">
        <v>2549</v>
      </c>
      <c r="B7" s="409"/>
      <c r="C7" s="410">
        <f>'数据-取费表'!B2</f>
        <v>43244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74" t="s">
        <v>2550</v>
      </c>
      <c r="Q7" s="3302"/>
      <c r="R7" s="770" t="s">
        <v>17</v>
      </c>
      <c r="S7" s="771">
        <f t="shared" ref="S7:S15" si="0">F7</f>
        <v>0</v>
      </c>
      <c r="T7" s="770" t="s">
        <v>17</v>
      </c>
      <c r="U7" s="771">
        <f t="shared" ref="U7:U15" si="1">H7</f>
        <v>0</v>
      </c>
      <c r="V7" s="770" t="s">
        <v>17</v>
      </c>
      <c r="W7" s="771">
        <f t="shared" ref="W7:W15" si="2">J7</f>
        <v>0</v>
      </c>
      <c r="X7" s="772"/>
      <c r="Y7" s="3274" t="s">
        <v>2550</v>
      </c>
      <c r="Z7" s="3275"/>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74" t="s">
        <v>2553</v>
      </c>
      <c r="Q8" s="3275"/>
      <c r="R8" s="770" t="s">
        <v>17</v>
      </c>
      <c r="S8" s="771">
        <f t="shared" si="0"/>
        <v>0</v>
      </c>
      <c r="T8" s="770" t="s">
        <v>17</v>
      </c>
      <c r="U8" s="771">
        <f t="shared" si="1"/>
        <v>0</v>
      </c>
      <c r="V8" s="770" t="s">
        <v>17</v>
      </c>
      <c r="W8" s="771">
        <f t="shared" si="2"/>
        <v>0</v>
      </c>
      <c r="X8" s="772"/>
      <c r="Y8" s="3274" t="s">
        <v>2553</v>
      </c>
      <c r="Z8" s="3275"/>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306" t="s">
        <v>2556</v>
      </c>
      <c r="Q9" s="1798" t="str">
        <f t="shared" ref="Q9:Q15" si="6">B9</f>
        <v>用途</v>
      </c>
      <c r="R9" s="770" t="s">
        <v>17</v>
      </c>
      <c r="S9" s="771">
        <f t="shared" si="0"/>
        <v>100</v>
      </c>
      <c r="T9" s="770" t="s">
        <v>17</v>
      </c>
      <c r="U9" s="771">
        <f t="shared" si="1"/>
        <v>100</v>
      </c>
      <c r="V9" s="770" t="s">
        <v>17</v>
      </c>
      <c r="W9" s="771">
        <f t="shared" si="2"/>
        <v>100</v>
      </c>
      <c r="X9" s="772"/>
      <c r="Y9" s="308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30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306"/>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30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30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306"/>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308" t="s">
        <v>2561</v>
      </c>
      <c r="Q15" s="1813" t="str">
        <f t="shared" si="6"/>
        <v>产业集聚程度</v>
      </c>
      <c r="R15" s="774" t="s">
        <v>17</v>
      </c>
      <c r="S15" s="775">
        <f t="shared" si="0"/>
        <v>100</v>
      </c>
      <c r="T15" s="774" t="s">
        <v>17</v>
      </c>
      <c r="U15" s="775">
        <f t="shared" si="1"/>
        <v>100</v>
      </c>
      <c r="V15" s="774" t="s">
        <v>17</v>
      </c>
      <c r="W15" s="775">
        <f t="shared" si="2"/>
        <v>100</v>
      </c>
      <c r="X15" s="1816"/>
      <c r="Y15" s="330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309"/>
      <c r="Q16" s="1813"/>
      <c r="R16" s="774"/>
      <c r="S16" s="775"/>
      <c r="T16" s="774"/>
      <c r="U16" s="775"/>
      <c r="V16" s="774"/>
      <c r="W16" s="775"/>
      <c r="X16" s="1816"/>
      <c r="Y16" s="3309"/>
      <c r="Z16" s="1817"/>
      <c r="AA16" s="1814">
        <v>1</v>
      </c>
      <c r="AB16" s="1814">
        <v>1</v>
      </c>
      <c r="AC16" s="1814">
        <v>1</v>
      </c>
    </row>
    <row r="17" spans="1:29" ht="85.5">
      <c r="A17" s="428"/>
      <c r="B17" s="451" t="s">
        <v>2097</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309"/>
      <c r="Q17" s="1813" t="str">
        <f>B17</f>
        <v>交通便捷度</v>
      </c>
      <c r="R17" s="774" t="s">
        <v>17</v>
      </c>
      <c r="S17" s="775">
        <f>F17</f>
        <v>100</v>
      </c>
      <c r="T17" s="774" t="s">
        <v>17</v>
      </c>
      <c r="U17" s="775">
        <f>H17</f>
        <v>100</v>
      </c>
      <c r="V17" s="774" t="s">
        <v>17</v>
      </c>
      <c r="W17" s="775">
        <f>J17</f>
        <v>100</v>
      </c>
      <c r="X17" s="1816"/>
      <c r="Y17" s="330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309"/>
      <c r="Q18" s="1813"/>
      <c r="R18" s="774"/>
      <c r="S18" s="775"/>
      <c r="T18" s="774"/>
      <c r="U18" s="775"/>
      <c r="V18" s="774"/>
      <c r="W18" s="775"/>
      <c r="X18" s="1816"/>
      <c r="Y18" s="3309"/>
      <c r="Z18" s="1817"/>
      <c r="AA18" s="1814">
        <v>1</v>
      </c>
      <c r="AB18" s="1814">
        <v>1</v>
      </c>
      <c r="AC18" s="1814">
        <v>1</v>
      </c>
    </row>
    <row r="19" spans="1:29" ht="42.75">
      <c r="A19" s="428"/>
      <c r="B19" s="451" t="s">
        <v>2689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309"/>
      <c r="Q19" s="1813" t="str">
        <f>B19</f>
        <v>公共配套设施</v>
      </c>
      <c r="R19" s="774" t="s">
        <v>17</v>
      </c>
      <c r="S19" s="775">
        <f>F19</f>
        <v>100</v>
      </c>
      <c r="T19" s="774" t="s">
        <v>17</v>
      </c>
      <c r="U19" s="775">
        <f>H19</f>
        <v>100</v>
      </c>
      <c r="V19" s="774" t="s">
        <v>17</v>
      </c>
      <c r="W19" s="775">
        <f>J19</f>
        <v>100</v>
      </c>
      <c r="X19" s="1816"/>
      <c r="Y19" s="330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309"/>
      <c r="Q20" s="1813"/>
      <c r="R20" s="774"/>
      <c r="S20" s="775"/>
      <c r="T20" s="774"/>
      <c r="U20" s="775"/>
      <c r="V20" s="774"/>
      <c r="W20" s="775"/>
      <c r="X20" s="1816"/>
      <c r="Y20" s="3309"/>
      <c r="Z20" s="1817"/>
      <c r="AA20" s="1814">
        <v>1</v>
      </c>
      <c r="AB20" s="1814">
        <v>1</v>
      </c>
      <c r="AC20" s="1814">
        <v>1</v>
      </c>
    </row>
    <row r="21" spans="1:29" ht="28.5">
      <c r="A21" s="428"/>
      <c r="B21" s="1387" t="s">
        <v>2690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309"/>
      <c r="Q21" s="1813" t="str">
        <f>B21</f>
        <v>基础设施水平</v>
      </c>
      <c r="R21" s="774" t="s">
        <v>17</v>
      </c>
      <c r="S21" s="775">
        <f>F21</f>
        <v>100</v>
      </c>
      <c r="T21" s="774" t="s">
        <v>17</v>
      </c>
      <c r="U21" s="775">
        <f>H21</f>
        <v>100</v>
      </c>
      <c r="V21" s="774" t="s">
        <v>17</v>
      </c>
      <c r="W21" s="775">
        <f>J21</f>
        <v>100</v>
      </c>
      <c r="X21" s="1816"/>
      <c r="Y21" s="330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309"/>
      <c r="Q22" s="1813"/>
      <c r="R22" s="774"/>
      <c r="S22" s="775"/>
      <c r="T22" s="774"/>
      <c r="U22" s="775"/>
      <c r="V22" s="774"/>
      <c r="W22" s="775"/>
      <c r="X22" s="1816"/>
      <c r="Y22" s="3309"/>
      <c r="Z22" s="1817"/>
      <c r="AA22" s="1814">
        <v>1</v>
      </c>
      <c r="AB22" s="1814">
        <v>1</v>
      </c>
      <c r="AC22" s="1814">
        <v>1</v>
      </c>
    </row>
    <row r="23" spans="1:29" ht="71.25">
      <c r="A23" s="428"/>
      <c r="B23" s="451" t="s">
        <v>2691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309"/>
      <c r="Q23" s="1813" t="str">
        <f>B23</f>
        <v>环境质量</v>
      </c>
      <c r="R23" s="774" t="s">
        <v>17</v>
      </c>
      <c r="S23" s="775">
        <f>F23</f>
        <v>100</v>
      </c>
      <c r="T23" s="774" t="s">
        <v>17</v>
      </c>
      <c r="U23" s="775">
        <f>H23</f>
        <v>100</v>
      </c>
      <c r="V23" s="774" t="s">
        <v>17</v>
      </c>
      <c r="W23" s="775">
        <f>J23</f>
        <v>100</v>
      </c>
      <c r="X23" s="1816"/>
      <c r="Y23" s="3309"/>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309"/>
      <c r="Q24" s="1813"/>
      <c r="R24" s="774"/>
      <c r="S24" s="775"/>
      <c r="T24" s="774"/>
      <c r="U24" s="775"/>
      <c r="V24" s="774"/>
      <c r="W24" s="775"/>
      <c r="X24" s="1816"/>
      <c r="Y24" s="330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309"/>
      <c r="Q25" s="1813">
        <f>B25</f>
        <v>111</v>
      </c>
      <c r="R25" s="774" t="s">
        <v>17</v>
      </c>
      <c r="S25" s="775">
        <f>F25</f>
        <v>100</v>
      </c>
      <c r="T25" s="774" t="s">
        <v>17</v>
      </c>
      <c r="U25" s="775">
        <f>H25</f>
        <v>100</v>
      </c>
      <c r="V25" s="774" t="s">
        <v>17</v>
      </c>
      <c r="W25" s="775">
        <f>J25</f>
        <v>100</v>
      </c>
      <c r="X25" s="1816"/>
      <c r="Y25" s="330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309"/>
      <c r="Q26" s="1813">
        <f t="shared" ref="Q26:Q40" si="11">B26</f>
        <v>111</v>
      </c>
      <c r="R26" s="774" t="s">
        <v>17</v>
      </c>
      <c r="S26" s="775">
        <f>F26</f>
        <v>100</v>
      </c>
      <c r="T26" s="774" t="s">
        <v>17</v>
      </c>
      <c r="U26" s="775">
        <f>H26</f>
        <v>100</v>
      </c>
      <c r="V26" s="774" t="s">
        <v>17</v>
      </c>
      <c r="W26" s="775">
        <f>J26</f>
        <v>100</v>
      </c>
      <c r="X26" s="1816"/>
      <c r="Y26" s="330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309"/>
      <c r="Q27" s="1798">
        <f t="shared" si="11"/>
        <v>111</v>
      </c>
      <c r="R27" s="770" t="s">
        <v>17</v>
      </c>
      <c r="S27" s="771">
        <f>F27</f>
        <v>100</v>
      </c>
      <c r="T27" s="770" t="s">
        <v>17</v>
      </c>
      <c r="U27" s="771">
        <f>H27</f>
        <v>100</v>
      </c>
      <c r="V27" s="770" t="s">
        <v>17</v>
      </c>
      <c r="W27" s="771">
        <f>J27</f>
        <v>100</v>
      </c>
      <c r="X27" s="772"/>
      <c r="Y27" s="330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309"/>
      <c r="Q28" s="1813">
        <f t="shared" si="11"/>
        <v>111</v>
      </c>
      <c r="R28" s="774" t="s">
        <v>17</v>
      </c>
      <c r="S28" s="775">
        <f t="shared" ref="S28:S40" si="12">F28</f>
        <v>100</v>
      </c>
      <c r="T28" s="774" t="s">
        <v>17</v>
      </c>
      <c r="U28" s="775">
        <f t="shared" ref="U28:U40" si="13">H28</f>
        <v>100</v>
      </c>
      <c r="V28" s="774" t="s">
        <v>17</v>
      </c>
      <c r="W28" s="775">
        <f t="shared" ref="W28:W40" si="14">J28</f>
        <v>100</v>
      </c>
      <c r="X28" s="1816"/>
      <c r="Y28" s="3309"/>
      <c r="Z28" s="1817">
        <f t="shared" ref="Z28:Z40" si="15">Q28</f>
        <v>111</v>
      </c>
      <c r="AA28" s="1814">
        <f t="shared" si="3"/>
        <v>1</v>
      </c>
      <c r="AB28" s="1814">
        <f t="shared" si="4"/>
        <v>1</v>
      </c>
      <c r="AC28" s="1814">
        <f t="shared" si="5"/>
        <v>1</v>
      </c>
    </row>
    <row r="29" spans="1:29" ht="1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32" t="s">
        <v>2566</v>
      </c>
      <c r="Q29" s="1813" t="str">
        <f t="shared" si="11"/>
        <v>建筑类型</v>
      </c>
      <c r="R29" s="774" t="s">
        <v>17</v>
      </c>
      <c r="S29" s="775">
        <f t="shared" si="12"/>
        <v>100</v>
      </c>
      <c r="T29" s="774" t="s">
        <v>17</v>
      </c>
      <c r="U29" s="775">
        <f t="shared" si="13"/>
        <v>100</v>
      </c>
      <c r="V29" s="774" t="s">
        <v>17</v>
      </c>
      <c r="W29" s="775">
        <f t="shared" si="14"/>
        <v>100</v>
      </c>
      <c r="X29" s="1816"/>
      <c r="Y29" s="3313"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13"/>
      <c r="Q30" s="776" t="str">
        <f t="shared" si="11"/>
        <v>项目建筑规模</v>
      </c>
      <c r="R30" s="777" t="s">
        <v>17</v>
      </c>
      <c r="S30" s="778" t="e">
        <f t="shared" si="12"/>
        <v>#N/A</v>
      </c>
      <c r="T30" s="777" t="s">
        <v>17</v>
      </c>
      <c r="U30" s="778" t="e">
        <f t="shared" si="13"/>
        <v>#N/A</v>
      </c>
      <c r="V30" s="777" t="s">
        <v>17</v>
      </c>
      <c r="W30" s="778" t="e">
        <f t="shared" si="14"/>
        <v>#N/A</v>
      </c>
      <c r="X30" s="779"/>
      <c r="Y30" s="3313"/>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13"/>
      <c r="Q31" s="1813" t="str">
        <f t="shared" si="11"/>
        <v>建筑结构</v>
      </c>
      <c r="R31" s="774" t="s">
        <v>17</v>
      </c>
      <c r="S31" s="775">
        <f t="shared" si="12"/>
        <v>100</v>
      </c>
      <c r="T31" s="774" t="s">
        <v>17</v>
      </c>
      <c r="U31" s="775">
        <f t="shared" si="13"/>
        <v>100</v>
      </c>
      <c r="V31" s="774" t="s">
        <v>17</v>
      </c>
      <c r="W31" s="775">
        <f t="shared" si="14"/>
        <v>100</v>
      </c>
      <c r="X31" s="1816"/>
      <c r="Y31" s="3313"/>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13"/>
      <c r="Q32" s="1813" t="str">
        <f t="shared" si="11"/>
        <v>公共部分装修</v>
      </c>
      <c r="R32" s="774" t="s">
        <v>17</v>
      </c>
      <c r="S32" s="775">
        <f t="shared" si="12"/>
        <v>100</v>
      </c>
      <c r="T32" s="774" t="s">
        <v>17</v>
      </c>
      <c r="U32" s="775">
        <f t="shared" si="13"/>
        <v>100</v>
      </c>
      <c r="V32" s="774" t="s">
        <v>17</v>
      </c>
      <c r="W32" s="775">
        <f t="shared" si="14"/>
        <v>100</v>
      </c>
      <c r="X32" s="1816"/>
      <c r="Y32" s="3313"/>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13"/>
      <c r="Q33" s="1813" t="str">
        <f t="shared" si="11"/>
        <v>成新度</v>
      </c>
      <c r="R33" s="774" t="s">
        <v>17</v>
      </c>
      <c r="S33" s="775" t="e">
        <f t="shared" si="12"/>
        <v>#N/A</v>
      </c>
      <c r="T33" s="774" t="s">
        <v>17</v>
      </c>
      <c r="U33" s="775" t="e">
        <f t="shared" si="13"/>
        <v>#N/A</v>
      </c>
      <c r="V33" s="774" t="s">
        <v>17</v>
      </c>
      <c r="W33" s="775" t="e">
        <f t="shared" si="14"/>
        <v>#N/A</v>
      </c>
      <c r="X33" s="1816"/>
      <c r="Y33" s="3313"/>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13"/>
      <c r="Q34" s="1798" t="str">
        <f t="shared" si="11"/>
        <v>物业管理</v>
      </c>
      <c r="R34" s="770" t="s">
        <v>17</v>
      </c>
      <c r="S34" s="771">
        <f t="shared" si="12"/>
        <v>100</v>
      </c>
      <c r="T34" s="770" t="s">
        <v>17</v>
      </c>
      <c r="U34" s="771">
        <f t="shared" si="13"/>
        <v>100</v>
      </c>
      <c r="V34" s="770" t="s">
        <v>17</v>
      </c>
      <c r="W34" s="771">
        <f t="shared" si="14"/>
        <v>100</v>
      </c>
      <c r="X34" s="772"/>
      <c r="Y34" s="331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13" t="s">
        <v>2566</v>
      </c>
      <c r="Q35" s="1813" t="str">
        <f t="shared" si="11"/>
        <v>市政基础设施</v>
      </c>
      <c r="R35" s="774" t="s">
        <v>17</v>
      </c>
      <c r="S35" s="775">
        <f t="shared" si="12"/>
        <v>100</v>
      </c>
      <c r="T35" s="774" t="s">
        <v>17</v>
      </c>
      <c r="U35" s="775">
        <f t="shared" si="13"/>
        <v>100</v>
      </c>
      <c r="V35" s="774" t="s">
        <v>17</v>
      </c>
      <c r="W35" s="775">
        <f t="shared" si="14"/>
        <v>100</v>
      </c>
      <c r="X35" s="1816"/>
      <c r="Y35" s="3313"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13"/>
      <c r="Q36" s="1813" t="str">
        <f t="shared" si="11"/>
        <v>内部装修</v>
      </c>
      <c r="R36" s="774" t="s">
        <v>17</v>
      </c>
      <c r="S36" s="775">
        <f t="shared" si="12"/>
        <v>100</v>
      </c>
      <c r="T36" s="774" t="s">
        <v>17</v>
      </c>
      <c r="U36" s="775">
        <f t="shared" si="13"/>
        <v>100</v>
      </c>
      <c r="V36" s="774" t="s">
        <v>17</v>
      </c>
      <c r="W36" s="775">
        <f t="shared" si="14"/>
        <v>100</v>
      </c>
      <c r="X36" s="1816"/>
      <c r="Y36" s="3313"/>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13"/>
      <c r="Q37" s="1813" t="str">
        <f t="shared" si="11"/>
        <v>内部装修状况</v>
      </c>
      <c r="R37" s="774" t="s">
        <v>17</v>
      </c>
      <c r="S37" s="775">
        <f t="shared" si="12"/>
        <v>100</v>
      </c>
      <c r="T37" s="774" t="s">
        <v>17</v>
      </c>
      <c r="U37" s="775">
        <f t="shared" si="13"/>
        <v>100</v>
      </c>
      <c r="V37" s="774" t="s">
        <v>17</v>
      </c>
      <c r="W37" s="775">
        <f t="shared" si="14"/>
        <v>100</v>
      </c>
      <c r="X37" s="1816"/>
      <c r="Y37" s="331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13"/>
      <c r="Q38" s="776">
        <f t="shared" si="11"/>
        <v>111</v>
      </c>
      <c r="R38" s="777" t="s">
        <v>17</v>
      </c>
      <c r="S38" s="778">
        <f t="shared" si="12"/>
        <v>100</v>
      </c>
      <c r="T38" s="777" t="s">
        <v>17</v>
      </c>
      <c r="U38" s="778">
        <f t="shared" si="13"/>
        <v>100</v>
      </c>
      <c r="V38" s="777" t="s">
        <v>17</v>
      </c>
      <c r="W38" s="778">
        <f t="shared" si="14"/>
        <v>100</v>
      </c>
      <c r="X38" s="779"/>
      <c r="Y38" s="331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13"/>
      <c r="Q39" s="1813">
        <f t="shared" si="11"/>
        <v>111</v>
      </c>
      <c r="R39" s="774" t="s">
        <v>17</v>
      </c>
      <c r="S39" s="775">
        <f t="shared" si="12"/>
        <v>100</v>
      </c>
      <c r="T39" s="774" t="s">
        <v>17</v>
      </c>
      <c r="U39" s="775">
        <f t="shared" si="13"/>
        <v>100</v>
      </c>
      <c r="V39" s="774" t="s">
        <v>17</v>
      </c>
      <c r="W39" s="775">
        <f t="shared" si="14"/>
        <v>100</v>
      </c>
      <c r="X39" s="1816"/>
      <c r="Y39" s="3313"/>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14"/>
      <c r="Q40" s="1813">
        <f t="shared" si="11"/>
        <v>111</v>
      </c>
      <c r="R40" s="774" t="s">
        <v>17</v>
      </c>
      <c r="S40" s="775">
        <f t="shared" si="12"/>
        <v>100</v>
      </c>
      <c r="T40" s="774" t="s">
        <v>17</v>
      </c>
      <c r="U40" s="775">
        <f t="shared" si="13"/>
        <v>100</v>
      </c>
      <c r="V40" s="774" t="s">
        <v>17</v>
      </c>
      <c r="W40" s="775">
        <f t="shared" si="14"/>
        <v>100</v>
      </c>
      <c r="X40" s="1816"/>
      <c r="Y40" s="3314"/>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306" t="str">
        <f>A41</f>
        <v>成交单价（元/平方米）</v>
      </c>
      <c r="Q41" s="3306"/>
      <c r="R41" s="3307">
        <f>E41</f>
        <v>0</v>
      </c>
      <c r="S41" s="3307"/>
      <c r="T41" s="3307">
        <f>G41</f>
        <v>0</v>
      </c>
      <c r="U41" s="3307"/>
      <c r="V41" s="3307">
        <f>I41</f>
        <v>0</v>
      </c>
      <c r="W41" s="330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303" t="str">
        <f>A43</f>
        <v>估价对象XX用房的比较价值（楼面单价，元/平方米）</v>
      </c>
      <c r="Q43" s="3304"/>
      <c r="R43" s="3305" t="e">
        <f>IF(F1="售价",ROUND(AVERAGE(R42:V42),0),ROUND(AVERAGE(R42:V42),1))</f>
        <v>#DIV/0!</v>
      </c>
      <c r="S43" s="3305"/>
      <c r="T43" s="3305"/>
      <c r="U43" s="3305"/>
      <c r="V43" s="3305"/>
      <c r="W43" s="330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J10" sqref="J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9"/>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76" t="s">
        <v>2648</v>
      </c>
      <c r="S4" s="3277"/>
      <c r="T4" s="3276" t="s">
        <v>2649</v>
      </c>
      <c r="U4" s="3277"/>
      <c r="V4" s="3301" t="s">
        <v>2650</v>
      </c>
      <c r="W4" s="3301"/>
      <c r="X4" s="1816"/>
      <c r="Y4" s="3276" t="s">
        <v>2652</v>
      </c>
      <c r="Z4" s="3277"/>
      <c r="AA4" s="3271" t="s">
        <v>2648</v>
      </c>
      <c r="AB4" s="3272" t="s">
        <v>2649</v>
      </c>
      <c r="AC4" s="3271" t="s">
        <v>2650</v>
      </c>
    </row>
    <row r="5" spans="1:29" ht="15">
      <c r="A5" s="404"/>
      <c r="B5" s="405"/>
      <c r="C5" s="3282" t="s">
        <v>2543</v>
      </c>
      <c r="D5" s="3283"/>
      <c r="E5" s="3280" t="s">
        <v>2544</v>
      </c>
      <c r="F5" s="3281"/>
      <c r="G5" s="3282" t="s">
        <v>2545</v>
      </c>
      <c r="H5" s="3283"/>
      <c r="I5" s="3282" t="s">
        <v>2546</v>
      </c>
      <c r="J5" s="3283"/>
      <c r="K5" s="610"/>
      <c r="L5" s="1133"/>
      <c r="M5" s="1134"/>
      <c r="N5" s="1134"/>
      <c r="O5" s="1134"/>
      <c r="P5" s="3295"/>
      <c r="Q5" s="3296"/>
      <c r="R5" s="3278"/>
      <c r="S5" s="3279"/>
      <c r="T5" s="3278"/>
      <c r="U5" s="3279"/>
      <c r="V5" s="3301"/>
      <c r="W5" s="3301"/>
      <c r="X5" s="1816"/>
      <c r="Y5" s="3278"/>
      <c r="Z5" s="3279"/>
      <c r="AA5" s="3272"/>
      <c r="AB5" s="3272"/>
      <c r="AC5" s="3272"/>
    </row>
    <row r="6" spans="1:29" ht="15.75" thickBot="1">
      <c r="A6" s="406"/>
      <c r="B6" s="407"/>
      <c r="C6" s="3284" t="s">
        <v>2547</v>
      </c>
      <c r="D6" s="3285"/>
      <c r="E6" s="3286" t="s">
        <v>2547</v>
      </c>
      <c r="F6" s="3287"/>
      <c r="G6" s="3284" t="s">
        <v>2547</v>
      </c>
      <c r="H6" s="3285"/>
      <c r="I6" s="3284" t="s">
        <v>2547</v>
      </c>
      <c r="J6" s="3285"/>
      <c r="K6" s="610" t="s">
        <v>2548</v>
      </c>
      <c r="L6" s="1133"/>
      <c r="M6" s="1134"/>
      <c r="N6" s="1134"/>
      <c r="O6" s="1134"/>
      <c r="P6" s="3297"/>
      <c r="Q6" s="3298"/>
      <c r="R6" s="3278"/>
      <c r="S6" s="3279"/>
      <c r="T6" s="3299"/>
      <c r="U6" s="3300"/>
      <c r="V6" s="3301"/>
      <c r="W6" s="3301"/>
      <c r="X6" s="1816"/>
      <c r="Y6" s="3299"/>
      <c r="Z6" s="3300"/>
      <c r="AA6" s="3273"/>
      <c r="AB6" s="3273"/>
      <c r="AC6" s="3273"/>
    </row>
    <row r="7" spans="1:29" s="117" customFormat="1" ht="15.75" thickBot="1">
      <c r="A7" s="408" t="s">
        <v>2549</v>
      </c>
      <c r="B7" s="409"/>
      <c r="C7" s="410">
        <f>'数据-取费表'!B2</f>
        <v>43244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74" t="s">
        <v>2550</v>
      </c>
      <c r="Q7" s="3302"/>
      <c r="R7" s="770" t="s">
        <v>17</v>
      </c>
      <c r="S7" s="771">
        <f t="shared" ref="S7:S14" si="0">F7</f>
        <v>0</v>
      </c>
      <c r="T7" s="770" t="s">
        <v>17</v>
      </c>
      <c r="U7" s="771">
        <f t="shared" ref="U7:U14" si="1">H7</f>
        <v>0</v>
      </c>
      <c r="V7" s="770" t="s">
        <v>17</v>
      </c>
      <c r="W7" s="771">
        <f t="shared" ref="W7:W14" si="2">J7</f>
        <v>0</v>
      </c>
      <c r="X7" s="772"/>
      <c r="Y7" s="3274" t="s">
        <v>2550</v>
      </c>
      <c r="Z7" s="3275"/>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74" t="s">
        <v>2553</v>
      </c>
      <c r="Q8" s="3275"/>
      <c r="R8" s="770" t="s">
        <v>17</v>
      </c>
      <c r="S8" s="771">
        <f t="shared" si="0"/>
        <v>0</v>
      </c>
      <c r="T8" s="770" t="s">
        <v>17</v>
      </c>
      <c r="U8" s="771">
        <f t="shared" si="1"/>
        <v>0</v>
      </c>
      <c r="V8" s="770" t="s">
        <v>17</v>
      </c>
      <c r="W8" s="771">
        <f t="shared" si="2"/>
        <v>0</v>
      </c>
      <c r="X8" s="772"/>
      <c r="Y8" s="3274" t="s">
        <v>2553</v>
      </c>
      <c r="Z8" s="3275"/>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306" t="s">
        <v>2556</v>
      </c>
      <c r="Q9" s="1798" t="str">
        <f t="shared" ref="Q9:Q14" si="6">B9</f>
        <v>用途</v>
      </c>
      <c r="R9" s="770" t="s">
        <v>17</v>
      </c>
      <c r="S9" s="771">
        <f t="shared" si="0"/>
        <v>100</v>
      </c>
      <c r="T9" s="770" t="s">
        <v>17</v>
      </c>
      <c r="U9" s="771">
        <f t="shared" si="1"/>
        <v>100</v>
      </c>
      <c r="V9" s="770" t="s">
        <v>17</v>
      </c>
      <c r="W9" s="771">
        <f t="shared" si="2"/>
        <v>100</v>
      </c>
      <c r="X9" s="772"/>
      <c r="Y9" s="3080"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30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306"/>
      <c r="Q11" s="1798">
        <f t="shared" si="6"/>
        <v>111</v>
      </c>
      <c r="R11" s="770" t="s">
        <v>17</v>
      </c>
      <c r="S11" s="771">
        <f t="shared" si="0"/>
        <v>100</v>
      </c>
      <c r="T11" s="770" t="s">
        <v>17</v>
      </c>
      <c r="U11" s="771">
        <f t="shared" si="1"/>
        <v>100</v>
      </c>
      <c r="V11" s="770" t="s">
        <v>17</v>
      </c>
      <c r="W11" s="771">
        <f t="shared" si="2"/>
        <v>100</v>
      </c>
      <c r="X11" s="772"/>
      <c r="Y11" s="308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30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30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308" t="s">
        <v>2561</v>
      </c>
      <c r="Q14" s="1813" t="str">
        <f t="shared" si="6"/>
        <v>交通便捷度</v>
      </c>
      <c r="R14" s="774" t="s">
        <v>17</v>
      </c>
      <c r="S14" s="775">
        <f t="shared" si="0"/>
        <v>100</v>
      </c>
      <c r="T14" s="774" t="s">
        <v>17</v>
      </c>
      <c r="U14" s="775">
        <f t="shared" si="1"/>
        <v>100</v>
      </c>
      <c r="V14" s="774" t="s">
        <v>17</v>
      </c>
      <c r="W14" s="775">
        <f t="shared" si="2"/>
        <v>100</v>
      </c>
      <c r="X14" s="1816"/>
      <c r="Y14" s="330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309"/>
      <c r="Q15" s="1813"/>
      <c r="R15" s="774"/>
      <c r="S15" s="775"/>
      <c r="T15" s="774"/>
      <c r="U15" s="775"/>
      <c r="V15" s="774"/>
      <c r="W15" s="775"/>
      <c r="X15" s="1816"/>
      <c r="Y15" s="3309"/>
      <c r="Z15" s="1817"/>
      <c r="AA15" s="1814">
        <v>1</v>
      </c>
      <c r="AB15" s="1814">
        <v>1</v>
      </c>
      <c r="AC15" s="1814">
        <v>1</v>
      </c>
    </row>
    <row r="16" spans="1:29" ht="42.75">
      <c r="A16" s="404"/>
      <c r="B16" s="631" t="s">
        <v>2689</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309"/>
      <c r="Q16" s="1813" t="str">
        <f>B16</f>
        <v>公共配套设施</v>
      </c>
      <c r="R16" s="774" t="s">
        <v>17</v>
      </c>
      <c r="S16" s="775">
        <f>F16</f>
        <v>100</v>
      </c>
      <c r="T16" s="774" t="s">
        <v>17</v>
      </c>
      <c r="U16" s="775">
        <f>H16</f>
        <v>100</v>
      </c>
      <c r="V16" s="774" t="s">
        <v>17</v>
      </c>
      <c r="W16" s="775">
        <f>J16</f>
        <v>100</v>
      </c>
      <c r="X16" s="1816"/>
      <c r="Y16" s="3309"/>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309"/>
      <c r="Q17" s="1813"/>
      <c r="R17" s="774"/>
      <c r="S17" s="775"/>
      <c r="T17" s="774"/>
      <c r="U17" s="775"/>
      <c r="V17" s="774"/>
      <c r="W17" s="775"/>
      <c r="X17" s="1816"/>
      <c r="Y17" s="3309"/>
      <c r="Z17" s="1817"/>
      <c r="AA17" s="1814">
        <v>1</v>
      </c>
      <c r="AB17" s="1814">
        <v>1</v>
      </c>
      <c r="AC17" s="1814">
        <v>1</v>
      </c>
    </row>
    <row r="18" spans="1:29" ht="28.5">
      <c r="A18" s="404"/>
      <c r="B18" s="633" t="s">
        <v>2690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309"/>
      <c r="Q18" s="1813" t="str">
        <f>B18</f>
        <v>基础设施水平</v>
      </c>
      <c r="R18" s="774" t="s">
        <v>17</v>
      </c>
      <c r="S18" s="775">
        <f>F18</f>
        <v>100</v>
      </c>
      <c r="T18" s="774" t="s">
        <v>17</v>
      </c>
      <c r="U18" s="775">
        <f>H18</f>
        <v>100</v>
      </c>
      <c r="V18" s="774" t="s">
        <v>17</v>
      </c>
      <c r="W18" s="775">
        <f>J18</f>
        <v>100</v>
      </c>
      <c r="X18" s="1816"/>
      <c r="Y18" s="3309"/>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309"/>
      <c r="Q19" s="1813"/>
      <c r="R19" s="774"/>
      <c r="S19" s="775"/>
      <c r="T19" s="774"/>
      <c r="U19" s="775"/>
      <c r="V19" s="774"/>
      <c r="W19" s="775"/>
      <c r="X19" s="1816"/>
      <c r="Y19" s="3309"/>
      <c r="Z19" s="1817"/>
      <c r="AA19" s="1814">
        <v>1</v>
      </c>
      <c r="AB19" s="1814">
        <v>1</v>
      </c>
      <c r="AC19" s="1814">
        <v>1</v>
      </c>
    </row>
    <row r="20" spans="1:29" ht="57">
      <c r="A20" s="404"/>
      <c r="B20" s="631" t="s">
        <v>2711</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309"/>
      <c r="Q20" s="1813" t="str">
        <f>B20</f>
        <v>自然及人文环境</v>
      </c>
      <c r="R20" s="774" t="s">
        <v>17</v>
      </c>
      <c r="S20" s="775">
        <f>F20</f>
        <v>100</v>
      </c>
      <c r="T20" s="774" t="s">
        <v>17</v>
      </c>
      <c r="U20" s="775">
        <f>H20</f>
        <v>100</v>
      </c>
      <c r="V20" s="774" t="s">
        <v>17</v>
      </c>
      <c r="W20" s="775">
        <f>J20</f>
        <v>100</v>
      </c>
      <c r="X20" s="1816"/>
      <c r="Y20" s="330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309"/>
      <c r="Q21" s="1813"/>
      <c r="R21" s="774"/>
      <c r="S21" s="775"/>
      <c r="T21" s="774"/>
      <c r="U21" s="775"/>
      <c r="V21" s="774"/>
      <c r="W21" s="775"/>
      <c r="X21" s="1816"/>
      <c r="Y21" s="330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309"/>
      <c r="Q22" s="1813" t="str">
        <f>B22</f>
        <v>楼层</v>
      </c>
      <c r="R22" s="774" t="s">
        <v>17</v>
      </c>
      <c r="S22" s="775">
        <f>F22</f>
        <v>100</v>
      </c>
      <c r="T22" s="774" t="s">
        <v>17</v>
      </c>
      <c r="U22" s="775">
        <f>H22</f>
        <v>100</v>
      </c>
      <c r="V22" s="774" t="s">
        <v>17</v>
      </c>
      <c r="W22" s="775">
        <f>J22</f>
        <v>100</v>
      </c>
      <c r="X22" s="1816"/>
      <c r="Y22" s="330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309"/>
      <c r="Q23" s="1813">
        <f>B23</f>
        <v>111</v>
      </c>
      <c r="R23" s="774" t="s">
        <v>17</v>
      </c>
      <c r="S23" s="775">
        <f>F23</f>
        <v>100</v>
      </c>
      <c r="T23" s="774" t="s">
        <v>17</v>
      </c>
      <c r="U23" s="775">
        <f>H23</f>
        <v>100</v>
      </c>
      <c r="V23" s="774" t="s">
        <v>17</v>
      </c>
      <c r="W23" s="775">
        <f>J23</f>
        <v>100</v>
      </c>
      <c r="X23" s="1816"/>
      <c r="Y23" s="330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309"/>
      <c r="Q24" s="1813">
        <f t="shared" ref="Q24:Q36" si="11">B24</f>
        <v>111</v>
      </c>
      <c r="R24" s="774" t="s">
        <v>17</v>
      </c>
      <c r="S24" s="775">
        <f>F24</f>
        <v>100</v>
      </c>
      <c r="T24" s="774" t="s">
        <v>17</v>
      </c>
      <c r="U24" s="775">
        <f>H24</f>
        <v>100</v>
      </c>
      <c r="V24" s="774" t="s">
        <v>17</v>
      </c>
      <c r="W24" s="775">
        <f>J24</f>
        <v>100</v>
      </c>
      <c r="X24" s="1816"/>
      <c r="Y24" s="330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309"/>
      <c r="Q25" s="1798">
        <f t="shared" si="11"/>
        <v>111</v>
      </c>
      <c r="R25" s="770" t="s">
        <v>17</v>
      </c>
      <c r="S25" s="771">
        <f>F25</f>
        <v>100</v>
      </c>
      <c r="T25" s="770" t="s">
        <v>17</v>
      </c>
      <c r="U25" s="771">
        <f>H25</f>
        <v>100</v>
      </c>
      <c r="V25" s="770" t="s">
        <v>17</v>
      </c>
      <c r="W25" s="771">
        <f>J25</f>
        <v>100</v>
      </c>
      <c r="X25" s="772"/>
      <c r="Y25" s="3309"/>
      <c r="Z25" s="55">
        <f>Q25</f>
        <v>111</v>
      </c>
      <c r="AA25" s="1814">
        <f>D25/F25</f>
        <v>1</v>
      </c>
      <c r="AB25" s="1814">
        <f>D25/H25</f>
        <v>1</v>
      </c>
      <c r="AC25" s="1814">
        <f>D25/J25</f>
        <v>1</v>
      </c>
    </row>
    <row r="26" spans="1:29" ht="1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32"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313"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13"/>
      <c r="Q27" s="776" t="str">
        <f t="shared" si="11"/>
        <v>项目停车位配比</v>
      </c>
      <c r="R27" s="777" t="s">
        <v>17</v>
      </c>
      <c r="S27" s="778">
        <f t="shared" si="12"/>
        <v>100</v>
      </c>
      <c r="T27" s="777" t="s">
        <v>17</v>
      </c>
      <c r="U27" s="778">
        <f t="shared" si="13"/>
        <v>100</v>
      </c>
      <c r="V27" s="777" t="s">
        <v>17</v>
      </c>
      <c r="W27" s="778">
        <f t="shared" si="14"/>
        <v>100</v>
      </c>
      <c r="X27" s="779"/>
      <c r="Y27" s="3313"/>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313"/>
      <c r="Q28" s="1813" t="str">
        <f t="shared" si="11"/>
        <v>公共部分装修</v>
      </c>
      <c r="R28" s="774" t="s">
        <v>17</v>
      </c>
      <c r="S28" s="775">
        <f t="shared" si="12"/>
        <v>100</v>
      </c>
      <c r="T28" s="774" t="s">
        <v>17</v>
      </c>
      <c r="U28" s="775">
        <f t="shared" si="13"/>
        <v>100</v>
      </c>
      <c r="V28" s="774" t="s">
        <v>17</v>
      </c>
      <c r="W28" s="775">
        <f t="shared" si="14"/>
        <v>100</v>
      </c>
      <c r="X28" s="1816"/>
      <c r="Y28" s="3313"/>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313"/>
      <c r="Q29" s="1813" t="str">
        <f t="shared" si="11"/>
        <v>成新率</v>
      </c>
      <c r="R29" s="774" t="s">
        <v>17</v>
      </c>
      <c r="S29" s="775" t="e">
        <f t="shared" si="12"/>
        <v>#N/A</v>
      </c>
      <c r="T29" s="774" t="s">
        <v>17</v>
      </c>
      <c r="U29" s="775" t="e">
        <f t="shared" si="13"/>
        <v>#N/A</v>
      </c>
      <c r="V29" s="774" t="s">
        <v>17</v>
      </c>
      <c r="W29" s="775" t="e">
        <f t="shared" si="14"/>
        <v>#N/A</v>
      </c>
      <c r="X29" s="1816"/>
      <c r="Y29" s="3313"/>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313"/>
      <c r="Q30" s="1813" t="str">
        <f t="shared" si="11"/>
        <v>物业等级</v>
      </c>
      <c r="R30" s="774" t="s">
        <v>17</v>
      </c>
      <c r="S30" s="775">
        <f t="shared" si="12"/>
        <v>100</v>
      </c>
      <c r="T30" s="774" t="s">
        <v>17</v>
      </c>
      <c r="U30" s="775">
        <f t="shared" si="13"/>
        <v>100</v>
      </c>
      <c r="V30" s="774" t="s">
        <v>17</v>
      </c>
      <c r="W30" s="775">
        <f t="shared" si="14"/>
        <v>100</v>
      </c>
      <c r="X30" s="1816"/>
      <c r="Y30" s="3313"/>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313"/>
      <c r="Q31" s="1798" t="str">
        <f t="shared" si="11"/>
        <v>停车位面积</v>
      </c>
      <c r="R31" s="770" t="s">
        <v>17</v>
      </c>
      <c r="S31" s="771" t="e">
        <f t="shared" si="12"/>
        <v>#N/A</v>
      </c>
      <c r="T31" s="770" t="s">
        <v>17</v>
      </c>
      <c r="U31" s="771" t="e">
        <f t="shared" si="13"/>
        <v>#N/A</v>
      </c>
      <c r="V31" s="770" t="s">
        <v>17</v>
      </c>
      <c r="W31" s="771" t="e">
        <f t="shared" si="14"/>
        <v>#N/A</v>
      </c>
      <c r="X31" s="772"/>
      <c r="Y31" s="331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313" t="s">
        <v>2566</v>
      </c>
      <c r="Q32" s="1813" t="str">
        <f t="shared" si="11"/>
        <v>车位类型</v>
      </c>
      <c r="R32" s="774" t="s">
        <v>17</v>
      </c>
      <c r="S32" s="775">
        <f t="shared" si="12"/>
        <v>100</v>
      </c>
      <c r="T32" s="774" t="s">
        <v>17</v>
      </c>
      <c r="U32" s="775">
        <f t="shared" si="13"/>
        <v>100</v>
      </c>
      <c r="V32" s="774" t="s">
        <v>17</v>
      </c>
      <c r="W32" s="775">
        <f t="shared" si="14"/>
        <v>100</v>
      </c>
      <c r="X32" s="1816"/>
      <c r="Y32" s="3313"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313"/>
      <c r="Q33" s="1813" t="str">
        <f t="shared" si="11"/>
        <v>是否直接入户</v>
      </c>
      <c r="R33" s="774" t="s">
        <v>17</v>
      </c>
      <c r="S33" s="775">
        <f t="shared" si="12"/>
        <v>100</v>
      </c>
      <c r="T33" s="774" t="s">
        <v>17</v>
      </c>
      <c r="U33" s="775">
        <f t="shared" si="13"/>
        <v>100</v>
      </c>
      <c r="V33" s="774" t="s">
        <v>17</v>
      </c>
      <c r="W33" s="775">
        <f t="shared" si="14"/>
        <v>100</v>
      </c>
      <c r="X33" s="1816"/>
      <c r="Y33" s="331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13"/>
      <c r="Q34" s="1813">
        <f t="shared" si="11"/>
        <v>111</v>
      </c>
      <c r="R34" s="774" t="s">
        <v>17</v>
      </c>
      <c r="S34" s="775">
        <f t="shared" si="12"/>
        <v>100</v>
      </c>
      <c r="T34" s="774" t="s">
        <v>17</v>
      </c>
      <c r="U34" s="775">
        <f t="shared" si="13"/>
        <v>100</v>
      </c>
      <c r="V34" s="774" t="s">
        <v>17</v>
      </c>
      <c r="W34" s="775">
        <f t="shared" si="14"/>
        <v>100</v>
      </c>
      <c r="X34" s="1816"/>
      <c r="Y34" s="331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13"/>
      <c r="Q35" s="776">
        <f t="shared" si="11"/>
        <v>111</v>
      </c>
      <c r="R35" s="777" t="s">
        <v>17</v>
      </c>
      <c r="S35" s="778">
        <f t="shared" si="12"/>
        <v>100</v>
      </c>
      <c r="T35" s="777" t="s">
        <v>17</v>
      </c>
      <c r="U35" s="778">
        <f t="shared" si="13"/>
        <v>100</v>
      </c>
      <c r="V35" s="777" t="s">
        <v>17</v>
      </c>
      <c r="W35" s="778">
        <f t="shared" si="14"/>
        <v>100</v>
      </c>
      <c r="X35" s="779"/>
      <c r="Y35" s="331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13"/>
      <c r="Q36" s="1813">
        <f t="shared" si="11"/>
        <v>111</v>
      </c>
      <c r="R36" s="774" t="s">
        <v>17</v>
      </c>
      <c r="S36" s="775">
        <f t="shared" si="12"/>
        <v>100</v>
      </c>
      <c r="T36" s="774" t="s">
        <v>17</v>
      </c>
      <c r="U36" s="775">
        <f t="shared" si="13"/>
        <v>100</v>
      </c>
      <c r="V36" s="774" t="s">
        <v>17</v>
      </c>
      <c r="W36" s="775">
        <f t="shared" si="14"/>
        <v>100</v>
      </c>
      <c r="X36" s="1816"/>
      <c r="Y36" s="3313"/>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306" t="str">
        <f>A37</f>
        <v>成交单价</v>
      </c>
      <c r="Q37" s="3306"/>
      <c r="R37" s="3307">
        <f>E37</f>
        <v>0</v>
      </c>
      <c r="S37" s="3307"/>
      <c r="T37" s="3307">
        <f>G37</f>
        <v>0</v>
      </c>
      <c r="U37" s="3307"/>
      <c r="V37" s="3307">
        <f>I37</f>
        <v>0</v>
      </c>
      <c r="W37" s="330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303" t="str">
        <f>A39</f>
        <v>估价对象XX用房的比较价值（楼面单价，元/平方米）</v>
      </c>
      <c r="Q39" s="3304"/>
      <c r="R39" s="3305" t="e">
        <f>IF(F1="售价",ROUND(AVERAGE(R38:V38),0),ROUND(AVERAGE(R38:V38),1))</f>
        <v>#DIV/0!</v>
      </c>
      <c r="S39" s="3305"/>
      <c r="T39" s="3305"/>
      <c r="U39" s="3305"/>
      <c r="V39" s="3305"/>
      <c r="W39" s="330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J10" sqref="J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9"/>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76" t="s">
        <v>2648</v>
      </c>
      <c r="S4" s="3277"/>
      <c r="T4" s="3276" t="s">
        <v>2649</v>
      </c>
      <c r="U4" s="3277"/>
      <c r="V4" s="3301" t="s">
        <v>2650</v>
      </c>
      <c r="W4" s="3301"/>
      <c r="X4" s="1816"/>
      <c r="Y4" s="3276" t="s">
        <v>2652</v>
      </c>
      <c r="Z4" s="3277"/>
      <c r="AA4" s="3271" t="s">
        <v>2648</v>
      </c>
      <c r="AB4" s="3272" t="s">
        <v>2649</v>
      </c>
      <c r="AC4" s="3271" t="s">
        <v>2650</v>
      </c>
    </row>
    <row r="5" spans="1:29" ht="15">
      <c r="A5" s="404"/>
      <c r="B5" s="405"/>
      <c r="C5" s="3282" t="s">
        <v>2543</v>
      </c>
      <c r="D5" s="3283"/>
      <c r="E5" s="3280" t="s">
        <v>2544</v>
      </c>
      <c r="F5" s="3281"/>
      <c r="G5" s="3282" t="s">
        <v>2545</v>
      </c>
      <c r="H5" s="3283"/>
      <c r="I5" s="3282" t="s">
        <v>2546</v>
      </c>
      <c r="J5" s="3283"/>
      <c r="K5" s="610"/>
      <c r="L5" s="1133"/>
      <c r="M5" s="1134"/>
      <c r="N5" s="1134"/>
      <c r="O5" s="1134"/>
      <c r="P5" s="3295"/>
      <c r="Q5" s="3296"/>
      <c r="R5" s="3278"/>
      <c r="S5" s="3279"/>
      <c r="T5" s="3278"/>
      <c r="U5" s="3279"/>
      <c r="V5" s="3301"/>
      <c r="W5" s="3301"/>
      <c r="X5" s="1816"/>
      <c r="Y5" s="3278"/>
      <c r="Z5" s="3279"/>
      <c r="AA5" s="3272"/>
      <c r="AB5" s="3272"/>
      <c r="AC5" s="3272"/>
    </row>
    <row r="6" spans="1:29" ht="15.75" thickBot="1">
      <c r="A6" s="406"/>
      <c r="B6" s="407"/>
      <c r="C6" s="3284" t="s">
        <v>2547</v>
      </c>
      <c r="D6" s="3285"/>
      <c r="E6" s="3286" t="s">
        <v>2547</v>
      </c>
      <c r="F6" s="3287"/>
      <c r="G6" s="3284" t="s">
        <v>2547</v>
      </c>
      <c r="H6" s="3285"/>
      <c r="I6" s="3284" t="s">
        <v>2547</v>
      </c>
      <c r="J6" s="3285"/>
      <c r="K6" s="610" t="s">
        <v>2548</v>
      </c>
      <c r="L6" s="1133"/>
      <c r="M6" s="1134"/>
      <c r="N6" s="1134"/>
      <c r="O6" s="1134"/>
      <c r="P6" s="3297"/>
      <c r="Q6" s="3298"/>
      <c r="R6" s="3278"/>
      <c r="S6" s="3279"/>
      <c r="T6" s="3299"/>
      <c r="U6" s="3300"/>
      <c r="V6" s="3301"/>
      <c r="W6" s="3301"/>
      <c r="X6" s="1816"/>
      <c r="Y6" s="3299"/>
      <c r="Z6" s="3300"/>
      <c r="AA6" s="3273"/>
      <c r="AB6" s="3273"/>
      <c r="AC6" s="3273"/>
    </row>
    <row r="7" spans="1:29" s="117" customFormat="1" ht="15.75" thickBot="1">
      <c r="A7" s="408" t="s">
        <v>2549</v>
      </c>
      <c r="B7" s="409"/>
      <c r="C7" s="410">
        <f>'数据-取费表'!B2</f>
        <v>43244</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74" t="s">
        <v>2550</v>
      </c>
      <c r="Q7" s="3302"/>
      <c r="R7" s="770" t="s">
        <v>17</v>
      </c>
      <c r="S7" s="771">
        <f t="shared" ref="S7:S14" si="0">F7</f>
        <v>0</v>
      </c>
      <c r="T7" s="770" t="s">
        <v>17</v>
      </c>
      <c r="U7" s="771">
        <f t="shared" ref="U7:U14" si="1">H7</f>
        <v>0</v>
      </c>
      <c r="V7" s="770" t="s">
        <v>17</v>
      </c>
      <c r="W7" s="771">
        <f t="shared" ref="W7:W14" si="2">J7</f>
        <v>0</v>
      </c>
      <c r="X7" s="772"/>
      <c r="Y7" s="3274" t="s">
        <v>2550</v>
      </c>
      <c r="Z7" s="3275"/>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74" t="s">
        <v>2553</v>
      </c>
      <c r="Q8" s="3275"/>
      <c r="R8" s="770" t="s">
        <v>17</v>
      </c>
      <c r="S8" s="771">
        <f t="shared" si="0"/>
        <v>0</v>
      </c>
      <c r="T8" s="770" t="s">
        <v>17</v>
      </c>
      <c r="U8" s="771">
        <f t="shared" si="1"/>
        <v>0</v>
      </c>
      <c r="V8" s="770" t="s">
        <v>17</v>
      </c>
      <c r="W8" s="771">
        <f t="shared" si="2"/>
        <v>0</v>
      </c>
      <c r="X8" s="772"/>
      <c r="Y8" s="3274" t="s">
        <v>2553</v>
      </c>
      <c r="Z8" s="3275"/>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306" t="s">
        <v>2556</v>
      </c>
      <c r="Q9" s="1798" t="str">
        <f t="shared" ref="Q9:Q14" si="6">B9</f>
        <v>用途</v>
      </c>
      <c r="R9" s="770" t="s">
        <v>17</v>
      </c>
      <c r="S9" s="771">
        <f t="shared" si="0"/>
        <v>100</v>
      </c>
      <c r="T9" s="770" t="s">
        <v>17</v>
      </c>
      <c r="U9" s="771">
        <f t="shared" si="1"/>
        <v>100</v>
      </c>
      <c r="V9" s="770" t="s">
        <v>17</v>
      </c>
      <c r="W9" s="771">
        <f t="shared" si="2"/>
        <v>100</v>
      </c>
      <c r="X9" s="772"/>
      <c r="Y9" s="3080"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30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306"/>
      <c r="Q11" s="1798">
        <f t="shared" si="6"/>
        <v>111</v>
      </c>
      <c r="R11" s="770" t="s">
        <v>17</v>
      </c>
      <c r="S11" s="771">
        <f t="shared" si="0"/>
        <v>100</v>
      </c>
      <c r="T11" s="770" t="s">
        <v>17</v>
      </c>
      <c r="U11" s="771">
        <f t="shared" si="1"/>
        <v>100</v>
      </c>
      <c r="V11" s="770" t="s">
        <v>17</v>
      </c>
      <c r="W11" s="771">
        <f t="shared" si="2"/>
        <v>100</v>
      </c>
      <c r="X11" s="772"/>
      <c r="Y11" s="3080"/>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30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30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308" t="s">
        <v>2561</v>
      </c>
      <c r="Q14" s="1813" t="str">
        <f t="shared" si="6"/>
        <v>交通便捷度</v>
      </c>
      <c r="R14" s="774" t="s">
        <v>17</v>
      </c>
      <c r="S14" s="775">
        <f t="shared" si="0"/>
        <v>100</v>
      </c>
      <c r="T14" s="774" t="s">
        <v>17</v>
      </c>
      <c r="U14" s="775">
        <f t="shared" si="1"/>
        <v>100</v>
      </c>
      <c r="V14" s="774" t="s">
        <v>17</v>
      </c>
      <c r="W14" s="775">
        <f t="shared" si="2"/>
        <v>100</v>
      </c>
      <c r="X14" s="1816"/>
      <c r="Y14" s="330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309"/>
      <c r="Q15" s="1813"/>
      <c r="R15" s="774"/>
      <c r="S15" s="775"/>
      <c r="T15" s="774"/>
      <c r="U15" s="775"/>
      <c r="V15" s="774"/>
      <c r="W15" s="775"/>
      <c r="X15" s="1816"/>
      <c r="Y15" s="3309"/>
      <c r="Z15" s="1817"/>
      <c r="AA15" s="1814">
        <v>1</v>
      </c>
      <c r="AB15" s="1814">
        <v>1</v>
      </c>
      <c r="AC15" s="1814">
        <v>1</v>
      </c>
    </row>
    <row r="16" spans="1:29" ht="42.75">
      <c r="A16" s="428"/>
      <c r="B16" s="451" t="s">
        <v>2689</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309"/>
      <c r="Q16" s="1813" t="str">
        <f>B16</f>
        <v>公共配套设施</v>
      </c>
      <c r="R16" s="774" t="s">
        <v>17</v>
      </c>
      <c r="S16" s="775">
        <f>F16</f>
        <v>100</v>
      </c>
      <c r="T16" s="774" t="s">
        <v>17</v>
      </c>
      <c r="U16" s="775">
        <f>H16</f>
        <v>100</v>
      </c>
      <c r="V16" s="774" t="s">
        <v>17</v>
      </c>
      <c r="W16" s="775">
        <f>J16</f>
        <v>100</v>
      </c>
      <c r="X16" s="1816"/>
      <c r="Y16" s="3309"/>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309"/>
      <c r="Q17" s="1813"/>
      <c r="R17" s="774"/>
      <c r="S17" s="775"/>
      <c r="T17" s="774"/>
      <c r="U17" s="775"/>
      <c r="V17" s="774"/>
      <c r="W17" s="775"/>
      <c r="X17" s="1816"/>
      <c r="Y17" s="3309"/>
      <c r="Z17" s="1817"/>
      <c r="AA17" s="1814">
        <v>1</v>
      </c>
      <c r="AB17" s="1814">
        <v>1</v>
      </c>
      <c r="AC17" s="1814">
        <v>1</v>
      </c>
    </row>
    <row r="18" spans="1:29" ht="28.5">
      <c r="A18" s="428"/>
      <c r="B18" s="1387" t="s">
        <v>2690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309"/>
      <c r="Q18" s="1813" t="str">
        <f>B18</f>
        <v>基础设施水平</v>
      </c>
      <c r="R18" s="774" t="s">
        <v>17</v>
      </c>
      <c r="S18" s="775">
        <f>F18</f>
        <v>100</v>
      </c>
      <c r="T18" s="774" t="s">
        <v>17</v>
      </c>
      <c r="U18" s="775">
        <f>H18</f>
        <v>100</v>
      </c>
      <c r="V18" s="774" t="s">
        <v>17</v>
      </c>
      <c r="W18" s="775">
        <f>J18</f>
        <v>100</v>
      </c>
      <c r="X18" s="1816"/>
      <c r="Y18" s="3309"/>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309"/>
      <c r="Q19" s="1813"/>
      <c r="R19" s="774"/>
      <c r="S19" s="775"/>
      <c r="T19" s="774"/>
      <c r="U19" s="775"/>
      <c r="V19" s="774"/>
      <c r="W19" s="775"/>
      <c r="X19" s="1816"/>
      <c r="Y19" s="3309"/>
      <c r="Z19" s="1817"/>
      <c r="AA19" s="1814">
        <v>1</v>
      </c>
      <c r="AB19" s="1814">
        <v>1</v>
      </c>
      <c r="AC19" s="1814">
        <v>1</v>
      </c>
    </row>
    <row r="20" spans="1:29" ht="57">
      <c r="A20" s="428"/>
      <c r="B20" s="451" t="s">
        <v>2711</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309"/>
      <c r="Q20" s="1813" t="str">
        <f>B20</f>
        <v>自然及人文环境</v>
      </c>
      <c r="R20" s="774" t="s">
        <v>17</v>
      </c>
      <c r="S20" s="775">
        <f>F20</f>
        <v>100</v>
      </c>
      <c r="T20" s="774" t="s">
        <v>17</v>
      </c>
      <c r="U20" s="775">
        <f>H20</f>
        <v>100</v>
      </c>
      <c r="V20" s="774" t="s">
        <v>17</v>
      </c>
      <c r="W20" s="775">
        <f>J20</f>
        <v>100</v>
      </c>
      <c r="X20" s="1816"/>
      <c r="Y20" s="330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309"/>
      <c r="Q21" s="1813"/>
      <c r="R21" s="774"/>
      <c r="S21" s="775"/>
      <c r="T21" s="774"/>
      <c r="U21" s="775"/>
      <c r="V21" s="774"/>
      <c r="W21" s="775"/>
      <c r="X21" s="1816"/>
      <c r="Y21" s="330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309"/>
      <c r="Q22" s="1813" t="str">
        <f>B22</f>
        <v>楼层</v>
      </c>
      <c r="R22" s="774" t="s">
        <v>17</v>
      </c>
      <c r="S22" s="775">
        <f>F22</f>
        <v>100</v>
      </c>
      <c r="T22" s="774" t="s">
        <v>17</v>
      </c>
      <c r="U22" s="775">
        <f>H22</f>
        <v>100</v>
      </c>
      <c r="V22" s="774" t="s">
        <v>17</v>
      </c>
      <c r="W22" s="775">
        <f>J22</f>
        <v>100</v>
      </c>
      <c r="X22" s="1816"/>
      <c r="Y22" s="3309"/>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309"/>
      <c r="Q23" s="1813">
        <f>B23</f>
        <v>111</v>
      </c>
      <c r="R23" s="774" t="s">
        <v>17</v>
      </c>
      <c r="S23" s="775">
        <f>F23</f>
        <v>100</v>
      </c>
      <c r="T23" s="774" t="s">
        <v>17</v>
      </c>
      <c r="U23" s="775">
        <f>H23</f>
        <v>100</v>
      </c>
      <c r="V23" s="774" t="s">
        <v>17</v>
      </c>
      <c r="W23" s="775">
        <f>J23</f>
        <v>100</v>
      </c>
      <c r="X23" s="1816"/>
      <c r="Y23" s="3309"/>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309"/>
      <c r="Q24" s="1813">
        <f t="shared" ref="Q24:Q34" si="11">B24</f>
        <v>111</v>
      </c>
      <c r="R24" s="774" t="s">
        <v>17</v>
      </c>
      <c r="S24" s="775">
        <f>F24</f>
        <v>100</v>
      </c>
      <c r="T24" s="774" t="s">
        <v>17</v>
      </c>
      <c r="U24" s="775">
        <f>H24</f>
        <v>100</v>
      </c>
      <c r="V24" s="774" t="s">
        <v>17</v>
      </c>
      <c r="W24" s="775">
        <f>J24</f>
        <v>100</v>
      </c>
      <c r="X24" s="1816"/>
      <c r="Y24" s="3309"/>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309"/>
      <c r="Q25" s="1798">
        <f t="shared" si="11"/>
        <v>111</v>
      </c>
      <c r="R25" s="770" t="s">
        <v>17</v>
      </c>
      <c r="S25" s="771">
        <f>F25</f>
        <v>100</v>
      </c>
      <c r="T25" s="770" t="s">
        <v>17</v>
      </c>
      <c r="U25" s="771">
        <f>H25</f>
        <v>100</v>
      </c>
      <c r="V25" s="770" t="s">
        <v>17</v>
      </c>
      <c r="W25" s="771">
        <f>J25</f>
        <v>100</v>
      </c>
      <c r="X25" s="772"/>
      <c r="Y25" s="3309"/>
      <c r="Z25" s="55">
        <f>Q25</f>
        <v>111</v>
      </c>
      <c r="AA25" s="1814">
        <f>D25/F25</f>
        <v>1</v>
      </c>
      <c r="AB25" s="1814">
        <f>D25/H25</f>
        <v>1</v>
      </c>
      <c r="AC25" s="1814">
        <f>D25/J25</f>
        <v>1</v>
      </c>
    </row>
    <row r="26" spans="1:29" ht="1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32"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313"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13"/>
      <c r="Q27" s="776" t="str">
        <f t="shared" si="11"/>
        <v>成新率</v>
      </c>
      <c r="R27" s="777" t="s">
        <v>17</v>
      </c>
      <c r="S27" s="778" t="e">
        <f t="shared" si="12"/>
        <v>#N/A</v>
      </c>
      <c r="T27" s="777" t="s">
        <v>17</v>
      </c>
      <c r="U27" s="778" t="e">
        <f t="shared" si="13"/>
        <v>#N/A</v>
      </c>
      <c r="V27" s="777" t="s">
        <v>17</v>
      </c>
      <c r="W27" s="778" t="e">
        <f t="shared" si="14"/>
        <v>#N/A</v>
      </c>
      <c r="X27" s="779"/>
      <c r="Y27" s="3313"/>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13"/>
      <c r="Q28" s="1813" t="str">
        <f t="shared" si="11"/>
        <v>物业等级</v>
      </c>
      <c r="R28" s="774" t="s">
        <v>17</v>
      </c>
      <c r="S28" s="775">
        <f t="shared" si="12"/>
        <v>100</v>
      </c>
      <c r="T28" s="774" t="s">
        <v>17</v>
      </c>
      <c r="U28" s="775">
        <f t="shared" si="13"/>
        <v>100</v>
      </c>
      <c r="V28" s="774" t="s">
        <v>17</v>
      </c>
      <c r="W28" s="775">
        <f t="shared" si="14"/>
        <v>100</v>
      </c>
      <c r="X28" s="1816"/>
      <c r="Y28" s="3313"/>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13"/>
      <c r="Q29" s="1813" t="str">
        <f t="shared" si="11"/>
        <v>有无电梯</v>
      </c>
      <c r="R29" s="774" t="s">
        <v>17</v>
      </c>
      <c r="S29" s="775">
        <f t="shared" si="12"/>
        <v>100</v>
      </c>
      <c r="T29" s="774" t="s">
        <v>17</v>
      </c>
      <c r="U29" s="775">
        <f t="shared" si="13"/>
        <v>100</v>
      </c>
      <c r="V29" s="774" t="s">
        <v>17</v>
      </c>
      <c r="W29" s="775">
        <f t="shared" si="14"/>
        <v>100</v>
      </c>
      <c r="X29" s="1816"/>
      <c r="Y29" s="3313"/>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13"/>
      <c r="Q30" s="1813" t="str">
        <f t="shared" si="11"/>
        <v>建筑面积</v>
      </c>
      <c r="R30" s="774" t="s">
        <v>17</v>
      </c>
      <c r="S30" s="775" t="e">
        <f t="shared" si="12"/>
        <v>#N/A</v>
      </c>
      <c r="T30" s="774" t="s">
        <v>17</v>
      </c>
      <c r="U30" s="775" t="e">
        <f t="shared" si="13"/>
        <v>#N/A</v>
      </c>
      <c r="V30" s="774" t="s">
        <v>17</v>
      </c>
      <c r="W30" s="775" t="e">
        <f t="shared" si="14"/>
        <v>#N/A</v>
      </c>
      <c r="X30" s="1816"/>
      <c r="Y30" s="3313"/>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13"/>
      <c r="Q31" s="1798" t="str">
        <f t="shared" si="11"/>
        <v>是否封闭</v>
      </c>
      <c r="R31" s="770" t="s">
        <v>17</v>
      </c>
      <c r="S31" s="771">
        <f t="shared" si="12"/>
        <v>100</v>
      </c>
      <c r="T31" s="770" t="s">
        <v>17</v>
      </c>
      <c r="U31" s="771">
        <f t="shared" si="13"/>
        <v>100</v>
      </c>
      <c r="V31" s="770" t="s">
        <v>17</v>
      </c>
      <c r="W31" s="771">
        <f t="shared" si="14"/>
        <v>100</v>
      </c>
      <c r="X31" s="772"/>
      <c r="Y31" s="331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13" t="s">
        <v>2566</v>
      </c>
      <c r="Q32" s="1813">
        <f t="shared" si="11"/>
        <v>111</v>
      </c>
      <c r="R32" s="774" t="s">
        <v>17</v>
      </c>
      <c r="S32" s="775">
        <f t="shared" si="12"/>
        <v>100</v>
      </c>
      <c r="T32" s="774" t="s">
        <v>17</v>
      </c>
      <c r="U32" s="775">
        <f t="shared" si="13"/>
        <v>100</v>
      </c>
      <c r="V32" s="774" t="s">
        <v>17</v>
      </c>
      <c r="W32" s="775">
        <f t="shared" si="14"/>
        <v>100</v>
      </c>
      <c r="X32" s="1816"/>
      <c r="Y32" s="3313" t="s">
        <v>2566</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13"/>
      <c r="Q33" s="1813">
        <f t="shared" si="11"/>
        <v>111</v>
      </c>
      <c r="R33" s="774" t="s">
        <v>17</v>
      </c>
      <c r="S33" s="775">
        <f t="shared" si="12"/>
        <v>100</v>
      </c>
      <c r="T33" s="774" t="s">
        <v>17</v>
      </c>
      <c r="U33" s="775">
        <f t="shared" si="13"/>
        <v>100</v>
      </c>
      <c r="V33" s="774" t="s">
        <v>17</v>
      </c>
      <c r="W33" s="775">
        <f t="shared" si="14"/>
        <v>100</v>
      </c>
      <c r="X33" s="1816"/>
      <c r="Y33" s="3313"/>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313"/>
      <c r="Q34" s="1813">
        <f t="shared" si="11"/>
        <v>111</v>
      </c>
      <c r="R34" s="774" t="s">
        <v>17</v>
      </c>
      <c r="S34" s="775">
        <f t="shared" si="12"/>
        <v>100</v>
      </c>
      <c r="T34" s="774" t="s">
        <v>17</v>
      </c>
      <c r="U34" s="775">
        <f t="shared" si="13"/>
        <v>100</v>
      </c>
      <c r="V34" s="774" t="s">
        <v>17</v>
      </c>
      <c r="W34" s="775">
        <f t="shared" si="14"/>
        <v>100</v>
      </c>
      <c r="X34" s="1816"/>
      <c r="Y34" s="3313"/>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306" t="str">
        <f>A35</f>
        <v>成交单价（元/平方米）</v>
      </c>
      <c r="Q35" s="3306"/>
      <c r="R35" s="3307">
        <f>E35</f>
        <v>0</v>
      </c>
      <c r="S35" s="3307"/>
      <c r="T35" s="3307">
        <f>G35</f>
        <v>0</v>
      </c>
      <c r="U35" s="3307"/>
      <c r="V35" s="3307">
        <f>I35</f>
        <v>0</v>
      </c>
      <c r="W35" s="330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303" t="str">
        <f>A37</f>
        <v>估价对象XX用房的比较价值（楼面单价，元/平方米）</v>
      </c>
      <c r="Q37" s="3304"/>
      <c r="R37" s="3305" t="e">
        <f>IF(F1="售价",ROUND(AVERAGE(R36:V36),0),ROUND(AVERAGE(R36:V36),1))</f>
        <v>#DIV/0!</v>
      </c>
      <c r="S37" s="3305"/>
      <c r="T37" s="3305"/>
      <c r="U37" s="3305"/>
      <c r="V37" s="3305"/>
      <c r="W37" s="330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J10" sqref="J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76" t="s">
        <v>2648</v>
      </c>
      <c r="S4" s="3277"/>
      <c r="T4" s="3276" t="s">
        <v>2649</v>
      </c>
      <c r="U4" s="3277"/>
      <c r="V4" s="3301" t="s">
        <v>2650</v>
      </c>
      <c r="W4" s="3301"/>
      <c r="X4" s="1816"/>
      <c r="Y4" s="3276" t="s">
        <v>2652</v>
      </c>
      <c r="Z4" s="3277"/>
      <c r="AA4" s="3271" t="s">
        <v>2648</v>
      </c>
      <c r="AB4" s="3272" t="s">
        <v>2649</v>
      </c>
      <c r="AC4" s="3271" t="s">
        <v>2650</v>
      </c>
    </row>
    <row r="5" spans="1:30" ht="15">
      <c r="A5" s="404"/>
      <c r="B5" s="405"/>
      <c r="C5" s="3282" t="s">
        <v>2543</v>
      </c>
      <c r="D5" s="3283"/>
      <c r="E5" s="3280" t="s">
        <v>2544</v>
      </c>
      <c r="F5" s="3281"/>
      <c r="G5" s="3282" t="s">
        <v>2545</v>
      </c>
      <c r="H5" s="3283"/>
      <c r="I5" s="3282" t="s">
        <v>2546</v>
      </c>
      <c r="J5" s="3283"/>
      <c r="K5" s="610"/>
      <c r="L5" s="1133"/>
      <c r="M5" s="1134"/>
      <c r="N5" s="1134"/>
      <c r="O5" s="1134"/>
      <c r="P5" s="3295"/>
      <c r="Q5" s="3296"/>
      <c r="R5" s="3278"/>
      <c r="S5" s="3279"/>
      <c r="T5" s="3278"/>
      <c r="U5" s="3279"/>
      <c r="V5" s="3301"/>
      <c r="W5" s="3301"/>
      <c r="X5" s="1816"/>
      <c r="Y5" s="3278"/>
      <c r="Z5" s="3279"/>
      <c r="AA5" s="3272"/>
      <c r="AB5" s="3272"/>
      <c r="AC5" s="3272"/>
    </row>
    <row r="6" spans="1:30" ht="15.75" thickBot="1">
      <c r="A6" s="406"/>
      <c r="B6" s="407"/>
      <c r="C6" s="3284" t="s">
        <v>2547</v>
      </c>
      <c r="D6" s="3285"/>
      <c r="E6" s="3286" t="s">
        <v>2547</v>
      </c>
      <c r="F6" s="3287"/>
      <c r="G6" s="3284" t="s">
        <v>2547</v>
      </c>
      <c r="H6" s="3285"/>
      <c r="I6" s="3284" t="s">
        <v>2547</v>
      </c>
      <c r="J6" s="3285"/>
      <c r="K6" s="610" t="s">
        <v>2548</v>
      </c>
      <c r="L6" s="1133"/>
      <c r="M6" s="1134"/>
      <c r="N6" s="1134"/>
      <c r="O6" s="1134"/>
      <c r="P6" s="3297"/>
      <c r="Q6" s="3298"/>
      <c r="R6" s="3278"/>
      <c r="S6" s="3279"/>
      <c r="T6" s="3299"/>
      <c r="U6" s="3300"/>
      <c r="V6" s="3301"/>
      <c r="W6" s="3301"/>
      <c r="X6" s="1816"/>
      <c r="Y6" s="3299"/>
      <c r="Z6" s="3300"/>
      <c r="AA6" s="3273"/>
      <c r="AB6" s="3273"/>
      <c r="AC6" s="3273"/>
    </row>
    <row r="7" spans="1:30" s="117" customFormat="1" ht="15.75" thickBot="1">
      <c r="A7" s="408" t="s">
        <v>2549</v>
      </c>
      <c r="B7" s="409"/>
      <c r="C7" s="410">
        <f>'数据-取费表'!B2</f>
        <v>43244</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74" t="s">
        <v>2550</v>
      </c>
      <c r="Q7" s="3302"/>
      <c r="R7" s="770" t="s">
        <v>17</v>
      </c>
      <c r="S7" s="771">
        <f t="shared" ref="S7:S15" si="0">F7</f>
        <v>0</v>
      </c>
      <c r="T7" s="770" t="s">
        <v>17</v>
      </c>
      <c r="U7" s="771">
        <f t="shared" ref="U7:U15" si="1">H7</f>
        <v>0</v>
      </c>
      <c r="V7" s="770" t="s">
        <v>17</v>
      </c>
      <c r="W7" s="771">
        <f t="shared" ref="W7:W15" si="2">J7</f>
        <v>0</v>
      </c>
      <c r="X7" s="772"/>
      <c r="Y7" s="3274" t="s">
        <v>2550</v>
      </c>
      <c r="Z7" s="3275"/>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74" t="s">
        <v>2553</v>
      </c>
      <c r="Q8" s="3275"/>
      <c r="R8" s="770" t="s">
        <v>17</v>
      </c>
      <c r="S8" s="771">
        <f t="shared" si="0"/>
        <v>0</v>
      </c>
      <c r="T8" s="770" t="s">
        <v>17</v>
      </c>
      <c r="U8" s="771">
        <f t="shared" si="1"/>
        <v>0</v>
      </c>
      <c r="V8" s="770" t="s">
        <v>17</v>
      </c>
      <c r="W8" s="771">
        <f t="shared" si="2"/>
        <v>0</v>
      </c>
      <c r="X8" s="772"/>
      <c r="Y8" s="3274" t="s">
        <v>2553</v>
      </c>
      <c r="Z8" s="3275"/>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306" t="s">
        <v>2556</v>
      </c>
      <c r="Q9" s="1798" t="str">
        <f t="shared" ref="Q9:Q15" si="6">B9</f>
        <v>用途</v>
      </c>
      <c r="R9" s="770" t="s">
        <v>17</v>
      </c>
      <c r="S9" s="771">
        <f t="shared" si="0"/>
        <v>100</v>
      </c>
      <c r="T9" s="770" t="s">
        <v>17</v>
      </c>
      <c r="U9" s="771">
        <f t="shared" si="1"/>
        <v>100</v>
      </c>
      <c r="V9" s="770" t="s">
        <v>17</v>
      </c>
      <c r="W9" s="771">
        <f t="shared" si="2"/>
        <v>100</v>
      </c>
      <c r="X9" s="772"/>
      <c r="Y9" s="3080"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306"/>
      <c r="Q10" s="1798" t="str">
        <f t="shared" si="6"/>
        <v>土地使用年限（年）</v>
      </c>
      <c r="R10" s="770" t="s">
        <v>17</v>
      </c>
      <c r="S10" s="771">
        <f t="shared" si="0"/>
        <v>106</v>
      </c>
      <c r="T10" s="770" t="s">
        <v>17</v>
      </c>
      <c r="U10" s="771">
        <f t="shared" si="1"/>
        <v>106</v>
      </c>
      <c r="V10" s="770" t="s">
        <v>17</v>
      </c>
      <c r="W10" s="771">
        <f t="shared" si="2"/>
        <v>106</v>
      </c>
      <c r="X10" s="772"/>
      <c r="Y10" s="3080"/>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306"/>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30" s="117" customFormat="1" ht="15">
      <c r="A12" s="431"/>
      <c r="B12" s="2605"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306"/>
      <c r="Q12" s="1798" t="str">
        <f t="shared" si="6"/>
        <v>配建</v>
      </c>
      <c r="R12" s="770" t="s">
        <v>17</v>
      </c>
      <c r="S12" s="771">
        <f t="shared" si="0"/>
        <v>100</v>
      </c>
      <c r="T12" s="770" t="s">
        <v>17</v>
      </c>
      <c r="U12" s="771">
        <f t="shared" si="1"/>
        <v>100</v>
      </c>
      <c r="V12" s="770" t="s">
        <v>17</v>
      </c>
      <c r="W12" s="771">
        <f t="shared" si="2"/>
        <v>100</v>
      </c>
      <c r="X12" s="772"/>
      <c r="Y12" s="3080"/>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306"/>
      <c r="Q13" s="1798">
        <f t="shared" si="6"/>
        <v>111</v>
      </c>
      <c r="R13" s="770" t="s">
        <v>17</v>
      </c>
      <c r="S13" s="771">
        <f t="shared" si="0"/>
        <v>100</v>
      </c>
      <c r="T13" s="770" t="s">
        <v>17</v>
      </c>
      <c r="U13" s="771">
        <f t="shared" si="1"/>
        <v>100</v>
      </c>
      <c r="V13" s="770" t="s">
        <v>17</v>
      </c>
      <c r="W13" s="771">
        <f t="shared" si="2"/>
        <v>100</v>
      </c>
      <c r="X13" s="772"/>
      <c r="Y13" s="3080"/>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306"/>
      <c r="Q14" s="1798">
        <f t="shared" si="6"/>
        <v>111</v>
      </c>
      <c r="R14" s="770" t="s">
        <v>17</v>
      </c>
      <c r="S14" s="771">
        <f t="shared" si="0"/>
        <v>100</v>
      </c>
      <c r="T14" s="770" t="s">
        <v>17</v>
      </c>
      <c r="U14" s="771">
        <f t="shared" si="1"/>
        <v>100</v>
      </c>
      <c r="V14" s="770" t="s">
        <v>17</v>
      </c>
      <c r="W14" s="771">
        <f t="shared" si="2"/>
        <v>100</v>
      </c>
      <c r="X14" s="772"/>
      <c r="Y14" s="3080"/>
      <c r="Z14" s="55">
        <f t="shared" si="7"/>
        <v>111</v>
      </c>
      <c r="AA14" s="773">
        <f>D14/F14</f>
        <v>1</v>
      </c>
      <c r="AB14" s="773">
        <f>D14/H14</f>
        <v>1</v>
      </c>
      <c r="AC14" s="773">
        <f>D14/J14</f>
        <v>1</v>
      </c>
    </row>
    <row r="15" spans="1:30" ht="99.75">
      <c r="A15" s="440" t="s">
        <v>2560</v>
      </c>
      <c r="B15" s="69" t="s">
        <v>2085</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308" t="s">
        <v>2561</v>
      </c>
      <c r="Q15" s="1813" t="str">
        <f t="shared" si="6"/>
        <v>居住社区成熟度</v>
      </c>
      <c r="R15" s="774" t="s">
        <v>17</v>
      </c>
      <c r="S15" s="775">
        <f t="shared" si="0"/>
        <v>100</v>
      </c>
      <c r="T15" s="774" t="s">
        <v>17</v>
      </c>
      <c r="U15" s="775">
        <f t="shared" si="1"/>
        <v>100</v>
      </c>
      <c r="V15" s="774" t="s">
        <v>17</v>
      </c>
      <c r="W15" s="775">
        <f t="shared" si="2"/>
        <v>100</v>
      </c>
      <c r="X15" s="1816"/>
      <c r="Y15" s="3308" t="s">
        <v>2561</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309"/>
      <c r="Q16" s="1813"/>
      <c r="R16" s="774"/>
      <c r="S16" s="775"/>
      <c r="T16" s="774"/>
      <c r="U16" s="775"/>
      <c r="V16" s="774"/>
      <c r="W16" s="775"/>
      <c r="X16" s="1816"/>
      <c r="Y16" s="3309"/>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309"/>
      <c r="Q17" s="1813" t="str">
        <f>B17</f>
        <v>商业繁华度</v>
      </c>
      <c r="R17" s="774" t="s">
        <v>17</v>
      </c>
      <c r="S17" s="775">
        <f>F17</f>
        <v>100</v>
      </c>
      <c r="T17" s="774" t="s">
        <v>17</v>
      </c>
      <c r="U17" s="775">
        <f>H17</f>
        <v>100</v>
      </c>
      <c r="V17" s="774" t="s">
        <v>17</v>
      </c>
      <c r="W17" s="775">
        <f>J17</f>
        <v>100</v>
      </c>
      <c r="X17" s="1816"/>
      <c r="Y17" s="3309"/>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309"/>
      <c r="Q18" s="1813"/>
      <c r="R18" s="774"/>
      <c r="S18" s="775"/>
      <c r="T18" s="774"/>
      <c r="U18" s="775"/>
      <c r="V18" s="774"/>
      <c r="W18" s="775"/>
      <c r="X18" s="1816"/>
      <c r="Y18" s="3309"/>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309"/>
      <c r="Q19" s="1813" t="str">
        <f>B19</f>
        <v>办公集聚程度</v>
      </c>
      <c r="R19" s="774" t="s">
        <v>17</v>
      </c>
      <c r="S19" s="775">
        <f>F19</f>
        <v>100</v>
      </c>
      <c r="T19" s="774" t="s">
        <v>17</v>
      </c>
      <c r="U19" s="775">
        <f>H19</f>
        <v>100</v>
      </c>
      <c r="V19" s="774" t="s">
        <v>17</v>
      </c>
      <c r="W19" s="775">
        <f>J19</f>
        <v>100</v>
      </c>
      <c r="X19" s="1816"/>
      <c r="Y19" s="3309"/>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309"/>
      <c r="Q20" s="1813"/>
      <c r="R20" s="774"/>
      <c r="S20" s="775"/>
      <c r="T20" s="774"/>
      <c r="U20" s="775"/>
      <c r="V20" s="774"/>
      <c r="W20" s="775"/>
      <c r="X20" s="1816"/>
      <c r="Y20" s="3309"/>
      <c r="Z20" s="1817"/>
      <c r="AA20" s="1814">
        <v>1</v>
      </c>
      <c r="AB20" s="1814">
        <v>1</v>
      </c>
      <c r="AC20" s="1814">
        <v>1</v>
      </c>
    </row>
    <row r="21" spans="1:29" ht="85.5">
      <c r="A21" s="428"/>
      <c r="B21" s="451" t="s">
        <v>2710</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309"/>
      <c r="Q21" s="1813" t="str">
        <f>B21</f>
        <v>交通便捷度</v>
      </c>
      <c r="R21" s="774" t="s">
        <v>17</v>
      </c>
      <c r="S21" s="775">
        <f>F21</f>
        <v>100</v>
      </c>
      <c r="T21" s="774" t="s">
        <v>17</v>
      </c>
      <c r="U21" s="775">
        <f>H21</f>
        <v>100</v>
      </c>
      <c r="V21" s="774" t="s">
        <v>17</v>
      </c>
      <c r="W21" s="775">
        <f>J21</f>
        <v>100</v>
      </c>
      <c r="X21" s="1816"/>
      <c r="Y21" s="3309"/>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309"/>
      <c r="Q22" s="1813"/>
      <c r="R22" s="774"/>
      <c r="S22" s="775"/>
      <c r="T22" s="774"/>
      <c r="U22" s="775"/>
      <c r="V22" s="774"/>
      <c r="W22" s="775"/>
      <c r="X22" s="1816"/>
      <c r="Y22" s="330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309"/>
      <c r="Q23" s="1813" t="str">
        <f t="shared" ref="Q23:Q37" si="8">B23</f>
        <v>区域土地利用方向</v>
      </c>
      <c r="R23" s="774" t="s">
        <v>17</v>
      </c>
      <c r="S23" s="775">
        <f>F23</f>
        <v>100</v>
      </c>
      <c r="T23" s="774" t="s">
        <v>17</v>
      </c>
      <c r="U23" s="775">
        <f>H23</f>
        <v>100</v>
      </c>
      <c r="V23" s="774" t="s">
        <v>17</v>
      </c>
      <c r="W23" s="775">
        <f>J23</f>
        <v>100</v>
      </c>
      <c r="X23" s="1816"/>
      <c r="Y23" s="3309"/>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309"/>
      <c r="Q24" s="1813"/>
      <c r="R24" s="774"/>
      <c r="S24" s="775"/>
      <c r="T24" s="774"/>
      <c r="U24" s="775"/>
      <c r="V24" s="774"/>
      <c r="W24" s="775"/>
      <c r="X24" s="1816"/>
      <c r="Y24" s="3309"/>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309"/>
      <c r="Q25" s="1813" t="str">
        <f t="shared" si="8"/>
        <v>自然及人文环境状况</v>
      </c>
      <c r="R25" s="774" t="s">
        <v>17</v>
      </c>
      <c r="S25" s="775">
        <f>F25</f>
        <v>100</v>
      </c>
      <c r="T25" s="774" t="s">
        <v>17</v>
      </c>
      <c r="U25" s="775">
        <f>H25</f>
        <v>100</v>
      </c>
      <c r="V25" s="774" t="s">
        <v>17</v>
      </c>
      <c r="W25" s="775">
        <f>J25</f>
        <v>100</v>
      </c>
      <c r="X25" s="1816"/>
      <c r="Y25" s="3309"/>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309"/>
      <c r="Q26" s="1813"/>
      <c r="R26" s="774"/>
      <c r="S26" s="775"/>
      <c r="T26" s="774"/>
      <c r="U26" s="775"/>
      <c r="V26" s="774"/>
      <c r="W26" s="775"/>
      <c r="X26" s="1816"/>
      <c r="Y26" s="3309"/>
      <c r="Z26" s="1817"/>
      <c r="AA26" s="1814">
        <v>1</v>
      </c>
      <c r="AB26" s="1814">
        <v>1</v>
      </c>
      <c r="AC26" s="1814">
        <v>1</v>
      </c>
    </row>
    <row r="27" spans="1:29" s="117" customFormat="1" ht="42.75">
      <c r="A27" s="649"/>
      <c r="B27" s="1387" t="s">
        <v>2655</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309"/>
      <c r="Q27" s="1798" t="str">
        <f t="shared" si="8"/>
        <v>公共配套设施</v>
      </c>
      <c r="R27" s="770" t="s">
        <v>17</v>
      </c>
      <c r="S27" s="771">
        <f>F27</f>
        <v>100</v>
      </c>
      <c r="T27" s="770" t="s">
        <v>17</v>
      </c>
      <c r="U27" s="771">
        <f>H27</f>
        <v>100</v>
      </c>
      <c r="V27" s="770" t="s">
        <v>17</v>
      </c>
      <c r="W27" s="771">
        <f>J27</f>
        <v>100</v>
      </c>
      <c r="X27" s="772"/>
      <c r="Y27" s="3309"/>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309"/>
      <c r="Q28" s="1798"/>
      <c r="R28" s="770"/>
      <c r="S28" s="771"/>
      <c r="T28" s="770"/>
      <c r="U28" s="771"/>
      <c r="V28" s="770"/>
      <c r="W28" s="771"/>
      <c r="X28" s="772"/>
      <c r="Y28" s="3309"/>
      <c r="Z28" s="55"/>
      <c r="AA28" s="1814">
        <v>1</v>
      </c>
      <c r="AB28" s="1814">
        <v>1</v>
      </c>
      <c r="AC28" s="1814">
        <v>1</v>
      </c>
    </row>
    <row r="29" spans="1:29" s="117" customFormat="1" ht="28.5">
      <c r="A29" s="649"/>
      <c r="B29" s="1387" t="s">
        <v>2656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309"/>
      <c r="Q29" s="1798" t="str">
        <f t="shared" ref="Q29" si="9">B29</f>
        <v>基础设施水平</v>
      </c>
      <c r="R29" s="770" t="s">
        <v>17</v>
      </c>
      <c r="S29" s="771">
        <f>F29</f>
        <v>100</v>
      </c>
      <c r="T29" s="770" t="s">
        <v>17</v>
      </c>
      <c r="U29" s="771">
        <f>H29</f>
        <v>100</v>
      </c>
      <c r="V29" s="770" t="s">
        <v>17</v>
      </c>
      <c r="W29" s="771">
        <f>J29</f>
        <v>100</v>
      </c>
      <c r="X29" s="772"/>
      <c r="Y29" s="3309"/>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309"/>
      <c r="Q30" s="1798"/>
      <c r="R30" s="770"/>
      <c r="S30" s="771"/>
      <c r="T30" s="770"/>
      <c r="U30" s="771"/>
      <c r="V30" s="770"/>
      <c r="W30" s="771"/>
      <c r="X30" s="772"/>
      <c r="Y30" s="3309"/>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30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309"/>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309"/>
      <c r="Q32" s="1813" t="str">
        <f t="shared" si="8"/>
        <v>毗邻道路的类型与等级</v>
      </c>
      <c r="R32" s="774" t="s">
        <v>17</v>
      </c>
      <c r="S32" s="775">
        <f t="shared" si="10"/>
        <v>100</v>
      </c>
      <c r="T32" s="774" t="s">
        <v>17</v>
      </c>
      <c r="U32" s="775">
        <f t="shared" si="11"/>
        <v>100</v>
      </c>
      <c r="V32" s="774" t="s">
        <v>17</v>
      </c>
      <c r="W32" s="775">
        <f t="shared" si="12"/>
        <v>100</v>
      </c>
      <c r="X32" s="1816"/>
      <c r="Y32" s="3309"/>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309"/>
      <c r="Q33" s="1813"/>
      <c r="R33" s="774"/>
      <c r="S33" s="775"/>
      <c r="T33" s="774"/>
      <c r="U33" s="775"/>
      <c r="V33" s="774"/>
      <c r="W33" s="775"/>
      <c r="X33" s="1816"/>
      <c r="Y33" s="3309"/>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309"/>
      <c r="Q34" s="1813" t="str">
        <f t="shared" si="8"/>
        <v>土地级别</v>
      </c>
      <c r="R34" s="774" t="s">
        <v>17</v>
      </c>
      <c r="S34" s="775">
        <f t="shared" si="10"/>
        <v>100</v>
      </c>
      <c r="T34" s="774" t="s">
        <v>17</v>
      </c>
      <c r="U34" s="775">
        <f t="shared" si="11"/>
        <v>100</v>
      </c>
      <c r="V34" s="774" t="s">
        <v>17</v>
      </c>
      <c r="W34" s="775">
        <f t="shared" si="12"/>
        <v>100</v>
      </c>
      <c r="X34" s="1816"/>
      <c r="Y34" s="330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309"/>
      <c r="Q35" s="1813">
        <f t="shared" si="8"/>
        <v>111</v>
      </c>
      <c r="R35" s="774" t="s">
        <v>17</v>
      </c>
      <c r="S35" s="775">
        <f t="shared" si="10"/>
        <v>100</v>
      </c>
      <c r="T35" s="774" t="s">
        <v>17</v>
      </c>
      <c r="U35" s="775">
        <f t="shared" si="11"/>
        <v>100</v>
      </c>
      <c r="V35" s="774" t="s">
        <v>17</v>
      </c>
      <c r="W35" s="775">
        <f t="shared" si="12"/>
        <v>100</v>
      </c>
      <c r="X35" s="1816"/>
      <c r="Y35" s="330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32" t="s">
        <v>2566</v>
      </c>
      <c r="Q36" s="1813">
        <f t="shared" si="8"/>
        <v>111</v>
      </c>
      <c r="R36" s="774" t="s">
        <v>17</v>
      </c>
      <c r="S36" s="775">
        <f t="shared" si="10"/>
        <v>100</v>
      </c>
      <c r="T36" s="774" t="s">
        <v>17</v>
      </c>
      <c r="U36" s="775">
        <f t="shared" si="11"/>
        <v>100</v>
      </c>
      <c r="V36" s="774" t="s">
        <v>17</v>
      </c>
      <c r="W36" s="775">
        <f t="shared" si="12"/>
        <v>100</v>
      </c>
      <c r="X36" s="1816"/>
      <c r="Y36" s="3313"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13"/>
      <c r="Q37" s="1813">
        <f t="shared" si="8"/>
        <v>111</v>
      </c>
      <c r="R37" s="777" t="s">
        <v>17</v>
      </c>
      <c r="S37" s="778">
        <f t="shared" si="10"/>
        <v>100</v>
      </c>
      <c r="T37" s="777" t="s">
        <v>17</v>
      </c>
      <c r="U37" s="778">
        <f t="shared" si="11"/>
        <v>100</v>
      </c>
      <c r="V37" s="777" t="s">
        <v>17</v>
      </c>
      <c r="W37" s="778">
        <f t="shared" si="12"/>
        <v>100</v>
      </c>
      <c r="X37" s="779"/>
      <c r="Y37" s="3313"/>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313"/>
      <c r="Q38" s="1813" t="str">
        <f>B38</f>
        <v>宗地面积</v>
      </c>
      <c r="R38" s="774" t="s">
        <v>17</v>
      </c>
      <c r="S38" s="775" t="e">
        <f t="shared" si="10"/>
        <v>#N/A</v>
      </c>
      <c r="T38" s="774" t="s">
        <v>17</v>
      </c>
      <c r="U38" s="775" t="e">
        <f t="shared" si="11"/>
        <v>#N/A</v>
      </c>
      <c r="V38" s="774" t="s">
        <v>17</v>
      </c>
      <c r="W38" s="775" t="e">
        <f t="shared" si="12"/>
        <v>#N/A</v>
      </c>
      <c r="X38" s="1816"/>
      <c r="Y38" s="3313"/>
      <c r="Z38" s="1817" t="str">
        <f t="shared" si="13"/>
        <v>宗地面积</v>
      </c>
      <c r="AA38" s="1814" t="e">
        <f t="shared" si="3"/>
        <v>#N/A</v>
      </c>
      <c r="AB38" s="1814" t="e">
        <f t="shared" si="4"/>
        <v>#N/A</v>
      </c>
      <c r="AC38" s="1814" t="e">
        <f t="shared" si="5"/>
        <v>#N/A</v>
      </c>
    </row>
    <row r="39" spans="1:29" ht="15">
      <c r="A39" s="472"/>
      <c r="B39" s="422" t="s">
        <v>2753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313"/>
      <c r="Q39" s="1813" t="str">
        <f t="shared" ref="Q39:Q45" si="14">B39</f>
        <v>宗地形状</v>
      </c>
      <c r="R39" s="774" t="s">
        <v>17</v>
      </c>
      <c r="S39" s="775">
        <f t="shared" si="10"/>
        <v>100</v>
      </c>
      <c r="T39" s="774" t="s">
        <v>17</v>
      </c>
      <c r="U39" s="775">
        <f t="shared" si="11"/>
        <v>100</v>
      </c>
      <c r="V39" s="774" t="s">
        <v>17</v>
      </c>
      <c r="W39" s="775">
        <f t="shared" si="12"/>
        <v>100</v>
      </c>
      <c r="X39" s="1816"/>
      <c r="Y39" s="3313"/>
      <c r="Z39" s="1817" t="str">
        <f t="shared" si="13"/>
        <v>宗地形状</v>
      </c>
      <c r="AA39" s="1814">
        <f t="shared" si="3"/>
        <v>1</v>
      </c>
      <c r="AB39" s="1814">
        <f t="shared" si="4"/>
        <v>1</v>
      </c>
      <c r="AC39" s="1814">
        <f t="shared" si="5"/>
        <v>1</v>
      </c>
    </row>
    <row r="40" spans="1:29" ht="15">
      <c r="A40" s="472"/>
      <c r="B40" s="422" t="s">
        <v>2754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313"/>
      <c r="Q40" s="1813" t="str">
        <f t="shared" si="14"/>
        <v>临街宽度及深度</v>
      </c>
      <c r="R40" s="774" t="s">
        <v>17</v>
      </c>
      <c r="S40" s="775">
        <f t="shared" si="10"/>
        <v>100</v>
      </c>
      <c r="T40" s="774" t="s">
        <v>17</v>
      </c>
      <c r="U40" s="775">
        <f t="shared" si="11"/>
        <v>100</v>
      </c>
      <c r="V40" s="774" t="s">
        <v>17</v>
      </c>
      <c r="W40" s="775">
        <f t="shared" si="12"/>
        <v>100</v>
      </c>
      <c r="X40" s="1816"/>
      <c r="Y40" s="3313"/>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313"/>
      <c r="Q41" s="1813" t="str">
        <f t="shared" si="14"/>
        <v>宗地开发程度</v>
      </c>
      <c r="R41" s="770" t="s">
        <v>17</v>
      </c>
      <c r="S41" s="771">
        <f t="shared" si="10"/>
        <v>100</v>
      </c>
      <c r="T41" s="770" t="s">
        <v>17</v>
      </c>
      <c r="U41" s="771">
        <f t="shared" si="11"/>
        <v>100</v>
      </c>
      <c r="V41" s="770" t="s">
        <v>17</v>
      </c>
      <c r="W41" s="771">
        <f t="shared" si="12"/>
        <v>100</v>
      </c>
      <c r="X41" s="772"/>
      <c r="Y41" s="3313"/>
      <c r="Z41" s="55" t="str">
        <f t="shared" si="13"/>
        <v>宗地开发程度</v>
      </c>
      <c r="AA41" s="773">
        <f t="shared" si="3"/>
        <v>1</v>
      </c>
      <c r="AB41" s="773">
        <f t="shared" si="4"/>
        <v>1</v>
      </c>
      <c r="AC41" s="773">
        <f t="shared" si="5"/>
        <v>1</v>
      </c>
    </row>
    <row r="42" spans="1:29" ht="15">
      <c r="A42" s="472"/>
      <c r="B42" s="422" t="s">
        <v>2756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313" t="s">
        <v>2566</v>
      </c>
      <c r="Q42" s="1813" t="str">
        <f t="shared" si="14"/>
        <v>工程地质条件</v>
      </c>
      <c r="R42" s="774" t="s">
        <v>17</v>
      </c>
      <c r="S42" s="775">
        <f t="shared" si="10"/>
        <v>100</v>
      </c>
      <c r="T42" s="774" t="s">
        <v>17</v>
      </c>
      <c r="U42" s="775">
        <f t="shared" si="11"/>
        <v>100</v>
      </c>
      <c r="V42" s="774" t="s">
        <v>17</v>
      </c>
      <c r="W42" s="775">
        <f t="shared" si="12"/>
        <v>100</v>
      </c>
      <c r="X42" s="1816"/>
      <c r="Y42" s="3313"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13"/>
      <c r="Q43" s="1813">
        <f t="shared" si="14"/>
        <v>111</v>
      </c>
      <c r="R43" s="774" t="s">
        <v>17</v>
      </c>
      <c r="S43" s="775">
        <f t="shared" si="10"/>
        <v>100</v>
      </c>
      <c r="T43" s="774" t="s">
        <v>17</v>
      </c>
      <c r="U43" s="775">
        <f t="shared" si="11"/>
        <v>100</v>
      </c>
      <c r="V43" s="774" t="s">
        <v>17</v>
      </c>
      <c r="W43" s="775">
        <f t="shared" si="12"/>
        <v>100</v>
      </c>
      <c r="X43" s="1816"/>
      <c r="Y43" s="331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13"/>
      <c r="Q44" s="1813">
        <f t="shared" si="14"/>
        <v>111</v>
      </c>
      <c r="R44" s="774" t="s">
        <v>17</v>
      </c>
      <c r="S44" s="775">
        <f t="shared" si="10"/>
        <v>100</v>
      </c>
      <c r="T44" s="774" t="s">
        <v>17</v>
      </c>
      <c r="U44" s="775">
        <f t="shared" si="11"/>
        <v>100</v>
      </c>
      <c r="V44" s="774" t="s">
        <v>17</v>
      </c>
      <c r="W44" s="775">
        <f t="shared" si="12"/>
        <v>100</v>
      </c>
      <c r="X44" s="1816"/>
      <c r="Y44" s="331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13"/>
      <c r="Q45" s="1813">
        <f t="shared" si="14"/>
        <v>111</v>
      </c>
      <c r="R45" s="777" t="s">
        <v>17</v>
      </c>
      <c r="S45" s="778">
        <f t="shared" si="10"/>
        <v>100</v>
      </c>
      <c r="T45" s="777" t="s">
        <v>17</v>
      </c>
      <c r="U45" s="778">
        <f t="shared" si="11"/>
        <v>100</v>
      </c>
      <c r="V45" s="777" t="s">
        <v>17</v>
      </c>
      <c r="W45" s="778">
        <f t="shared" si="12"/>
        <v>100</v>
      </c>
      <c r="X45" s="779"/>
      <c r="Y45" s="3313"/>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306" t="str">
        <f>A46</f>
        <v>成交单价</v>
      </c>
      <c r="Q46" s="3306"/>
      <c r="R46" s="3301">
        <f>E46</f>
        <v>0</v>
      </c>
      <c r="S46" s="3301"/>
      <c r="T46" s="3301">
        <f>G46</f>
        <v>0</v>
      </c>
      <c r="U46" s="3301"/>
      <c r="V46" s="3301">
        <f>I46</f>
        <v>0</v>
      </c>
      <c r="W46" s="330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306" t="str">
        <f>A47</f>
        <v>比较价值（元/平方米）</v>
      </c>
      <c r="Q47" s="3306"/>
      <c r="R47" s="3333" t="e">
        <f>ROUND(PRODUCT(R46,AA7:AA45),0)</f>
        <v>#DIV/0!</v>
      </c>
      <c r="S47" s="3333"/>
      <c r="T47" s="3333" t="e">
        <f>ROUND(PRODUCT(T46,AB7:AB45),0)</f>
        <v>#DIV/0!</v>
      </c>
      <c r="U47" s="3333"/>
      <c r="V47" s="3333" t="e">
        <f>ROUND(PRODUCT(V46,AC7:AC45),0)</f>
        <v>#DIV/0!</v>
      </c>
      <c r="W47" s="333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303" t="str">
        <f>A48</f>
        <v>估价对象XX用房的比较价值（楼面单价，元/平方米）</v>
      </c>
      <c r="Q48" s="3304"/>
      <c r="R48" s="3334" t="e">
        <f>ROUND(AVERAGE(R47:V47),0)</f>
        <v>#DIV/0!</v>
      </c>
      <c r="S48" s="3334"/>
      <c r="T48" s="3334"/>
      <c r="U48" s="3334"/>
      <c r="V48" s="3334"/>
      <c r="W48" s="333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289" t="s">
        <v>2765</v>
      </c>
      <c r="H55" s="3335"/>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2864.5</v>
      </c>
      <c r="F56" s="1106" t="e">
        <f t="shared" ref="F56:F65" si="15">ROUND(B56*E56/10000,0)</f>
        <v>#DIV/0!</v>
      </c>
      <c r="G56" s="3288"/>
      <c r="H56" s="3306"/>
      <c r="I56" s="1111">
        <v>1</v>
      </c>
      <c r="J56" s="1114">
        <v>1</v>
      </c>
      <c r="K56" s="1148"/>
      <c r="L56" s="944"/>
      <c r="M56" s="944"/>
      <c r="N56" s="944"/>
      <c r="O56" s="944"/>
    </row>
    <row r="57" spans="1:15" s="692" customFormat="1">
      <c r="A57" s="693" t="s">
        <v>2769</v>
      </c>
      <c r="B57" s="262" t="e">
        <f>ROUND($C$48*C57*D57,0)</f>
        <v>#DIV/0!</v>
      </c>
      <c r="C57" s="200">
        <f t="shared" ref="C57:C65" si="16">IF($C$55="北京市系数",I57,J57)</f>
        <v>0.8</v>
      </c>
      <c r="D57" s="1167">
        <v>0.25</v>
      </c>
      <c r="E57" s="694"/>
      <c r="F57" s="1106" t="e">
        <f t="shared" si="15"/>
        <v>#DIV/0!</v>
      </c>
      <c r="G57" s="3336" t="s">
        <v>2770</v>
      </c>
      <c r="H57" s="1107" t="str">
        <f>项目基本情况!B37</f>
        <v>二级</v>
      </c>
      <c r="I57" s="1111">
        <f>SUMIF(修正!A45:A56,H57,修正!B45:B56)</f>
        <v>0.8</v>
      </c>
      <c r="J57" s="1115"/>
      <c r="K57" s="1147"/>
      <c r="L57" s="944"/>
      <c r="M57" s="944"/>
      <c r="N57" s="944"/>
      <c r="O57" s="944"/>
    </row>
    <row r="58" spans="1:15" s="692" customFormat="1">
      <c r="A58" s="693" t="s">
        <v>2771</v>
      </c>
      <c r="B58" s="262" t="e">
        <f t="shared" ref="B58:B65" si="17">ROUND($C$48*C58*D58,0)</f>
        <v>#DIV/0!</v>
      </c>
      <c r="C58" s="200">
        <f t="shared" si="16"/>
        <v>0.5</v>
      </c>
      <c r="D58" s="1167">
        <v>0.25</v>
      </c>
      <c r="E58" s="694"/>
      <c r="F58" s="1106" t="e">
        <f t="shared" si="15"/>
        <v>#DIV/0!</v>
      </c>
      <c r="G58" s="3336"/>
      <c r="H58" s="1107" t="str">
        <f>项目基本情况!B37</f>
        <v>二级</v>
      </c>
      <c r="I58" s="1111">
        <f>SUMIF(修正!A45:A56,H58,修正!C45:C56)</f>
        <v>0.5</v>
      </c>
      <c r="J58" s="1115"/>
      <c r="K58" s="1148"/>
      <c r="L58" s="944"/>
      <c r="M58" s="944"/>
      <c r="N58" s="944"/>
      <c r="O58" s="944"/>
    </row>
    <row r="59" spans="1:15" s="692" customFormat="1">
      <c r="A59" s="693" t="s">
        <v>2772</v>
      </c>
      <c r="B59" s="262" t="e">
        <f t="shared" si="17"/>
        <v>#DIV/0!</v>
      </c>
      <c r="C59" s="200">
        <f t="shared" si="16"/>
        <v>0.36</v>
      </c>
      <c r="D59" s="1167">
        <v>0.25</v>
      </c>
      <c r="E59" s="694"/>
      <c r="F59" s="1106" t="e">
        <f t="shared" si="15"/>
        <v>#DIV/0!</v>
      </c>
      <c r="G59" s="3336"/>
      <c r="H59" s="1107" t="str">
        <f>项目基本情况!B37</f>
        <v>二级</v>
      </c>
      <c r="I59" s="1111">
        <f>SUMIF(修正!A45:A56,H59,修正!D45:D56)</f>
        <v>0.36</v>
      </c>
      <c r="J59" s="1115"/>
      <c r="K59" s="1147"/>
      <c r="L59" s="944"/>
      <c r="M59" s="944"/>
      <c r="N59" s="944"/>
      <c r="O59" s="944"/>
    </row>
    <row r="60" spans="1:15" s="692" customFormat="1">
      <c r="A60" s="693" t="s">
        <v>2773</v>
      </c>
      <c r="B60" s="262" t="e">
        <f t="shared" si="17"/>
        <v>#DIV/0!</v>
      </c>
      <c r="C60" s="200">
        <f t="shared" si="16"/>
        <v>0.3</v>
      </c>
      <c r="D60" s="1167">
        <v>0.25</v>
      </c>
      <c r="E60" s="694"/>
      <c r="F60" s="1106" t="e">
        <f t="shared" si="15"/>
        <v>#DIV/0!</v>
      </c>
      <c r="G60" s="3336"/>
      <c r="H60" s="1107" t="str">
        <f>项目基本情况!B37</f>
        <v>二级</v>
      </c>
      <c r="I60" s="1111">
        <f>SUMIF(修正!A45:A56,H60,修正!E45:E56)</f>
        <v>0.3</v>
      </c>
      <c r="J60" s="1115"/>
      <c r="K60" s="1148"/>
      <c r="L60" s="944"/>
      <c r="M60" s="944"/>
      <c r="N60" s="944"/>
      <c r="O60" s="944"/>
    </row>
    <row r="61" spans="1:15" s="692" customFormat="1">
      <c r="A61" s="693" t="s">
        <v>2774</v>
      </c>
      <c r="B61" s="262" t="e">
        <f t="shared" si="17"/>
        <v>#DIV/0!</v>
      </c>
      <c r="C61" s="200">
        <f t="shared" si="16"/>
        <v>0.3</v>
      </c>
      <c r="D61" s="1167">
        <v>0.25</v>
      </c>
      <c r="E61" s="261">
        <f>'数据-汇总表'!E11</f>
        <v>0</v>
      </c>
      <c r="F61" s="1106" t="e">
        <f t="shared" si="15"/>
        <v>#DIV/0!</v>
      </c>
      <c r="G61" s="2714" t="s">
        <v>2775</v>
      </c>
      <c r="H61" s="1107" t="str">
        <f>项目基本情况!C37</f>
        <v>二级</v>
      </c>
      <c r="I61" s="1111">
        <f>SUMIF(修正!A45:A56,H61,修正!F45:F56)</f>
        <v>0.3</v>
      </c>
      <c r="J61" s="1115"/>
      <c r="K61" s="1147"/>
      <c r="L61" s="944"/>
      <c r="M61" s="944"/>
      <c r="N61" s="944"/>
      <c r="O61" s="944"/>
    </row>
    <row r="62" spans="1:15" s="692" customFormat="1">
      <c r="A62" s="693" t="s">
        <v>2776</v>
      </c>
      <c r="B62" s="262" t="e">
        <f t="shared" si="17"/>
        <v>#DIV/0!</v>
      </c>
      <c r="C62" s="200">
        <f t="shared" si="16"/>
        <v>0.3</v>
      </c>
      <c r="D62" s="1167">
        <v>0.25</v>
      </c>
      <c r="E62" s="261">
        <f>'数据-汇总表'!E12</f>
        <v>0</v>
      </c>
      <c r="F62" s="1106" t="e">
        <f t="shared" si="15"/>
        <v>#DIV/0!</v>
      </c>
      <c r="G62" s="1112" t="s">
        <v>2777</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0.25</v>
      </c>
      <c r="D64" s="1167">
        <v>0.25</v>
      </c>
      <c r="E64" s="261">
        <f>'数据-汇总表'!E14</f>
        <v>0</v>
      </c>
      <c r="F64" s="1106" t="e">
        <f t="shared" si="15"/>
        <v>#DIV/0!</v>
      </c>
      <c r="G64" s="2714" t="s">
        <v>2770</v>
      </c>
      <c r="H64" s="1107" t="str">
        <f>项目基本情况!B37</f>
        <v>二级</v>
      </c>
      <c r="I64" s="1111">
        <f>SUMIF(修正!A45:A56,H64,修正!H45:H56)</f>
        <v>0.25</v>
      </c>
      <c r="J64" s="1115"/>
      <c r="K64" s="1148"/>
      <c r="L64" s="944"/>
      <c r="M64" s="944"/>
      <c r="N64" s="944"/>
      <c r="O64" s="944"/>
    </row>
    <row r="65" spans="1:17" s="692" customFormat="1" ht="15" thickBot="1">
      <c r="A65" s="693" t="s">
        <v>2781</v>
      </c>
      <c r="B65" s="262" t="e">
        <f t="shared" si="17"/>
        <v>#DIV/0!</v>
      </c>
      <c r="C65" s="200">
        <f t="shared" si="16"/>
        <v>0.25</v>
      </c>
      <c r="D65" s="1167">
        <v>0.25</v>
      </c>
      <c r="E65" s="261">
        <f>'数据-汇总表'!E15</f>
        <v>0</v>
      </c>
      <c r="F65" s="1106" t="e">
        <f t="shared" si="15"/>
        <v>#DIV/0!</v>
      </c>
      <c r="G65" s="2715" t="s">
        <v>2775</v>
      </c>
      <c r="H65" s="1117" t="str">
        <f>项目基本情况!C37</f>
        <v>二级</v>
      </c>
      <c r="I65" s="1113">
        <f>SUMIF(修正!A45:A56,H65,修正!H45:H56)</f>
        <v>0.25</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2864.5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7"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J10" sqref="J1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76" t="s">
        <v>2648</v>
      </c>
      <c r="S4" s="3277"/>
      <c r="T4" s="3276" t="s">
        <v>2649</v>
      </c>
      <c r="U4" s="3277"/>
      <c r="V4" s="3301" t="s">
        <v>2650</v>
      </c>
      <c r="W4" s="3301"/>
      <c r="X4" s="1816"/>
      <c r="Y4" s="3276" t="s">
        <v>2652</v>
      </c>
      <c r="Z4" s="3277"/>
      <c r="AA4" s="3271" t="s">
        <v>2648</v>
      </c>
      <c r="AB4" s="3272" t="s">
        <v>2649</v>
      </c>
      <c r="AC4" s="3271" t="s">
        <v>2650</v>
      </c>
    </row>
    <row r="5" spans="1:29" ht="15">
      <c r="A5" s="404"/>
      <c r="B5" s="405"/>
      <c r="C5" s="3282" t="s">
        <v>2543</v>
      </c>
      <c r="D5" s="3283"/>
      <c r="E5" s="3280" t="s">
        <v>2544</v>
      </c>
      <c r="F5" s="3281"/>
      <c r="G5" s="3282" t="s">
        <v>2545</v>
      </c>
      <c r="H5" s="3283"/>
      <c r="I5" s="3282" t="s">
        <v>2546</v>
      </c>
      <c r="J5" s="3283"/>
      <c r="K5" s="610"/>
      <c r="L5" s="1133"/>
      <c r="M5" s="1134"/>
      <c r="N5" s="1134"/>
      <c r="O5" s="1134"/>
      <c r="P5" s="3295"/>
      <c r="Q5" s="3296"/>
      <c r="R5" s="3278"/>
      <c r="S5" s="3279"/>
      <c r="T5" s="3278"/>
      <c r="U5" s="3279"/>
      <c r="V5" s="3301"/>
      <c r="W5" s="3301"/>
      <c r="X5" s="1816"/>
      <c r="Y5" s="3278"/>
      <c r="Z5" s="3279"/>
      <c r="AA5" s="3272"/>
      <c r="AB5" s="3272"/>
      <c r="AC5" s="3272"/>
    </row>
    <row r="6" spans="1:29" ht="15.75" thickBot="1">
      <c r="A6" s="406"/>
      <c r="B6" s="407"/>
      <c r="C6" s="3337" t="s">
        <v>2798</v>
      </c>
      <c r="D6" s="3338"/>
      <c r="E6" s="3339" t="s">
        <v>2798</v>
      </c>
      <c r="F6" s="3340"/>
      <c r="G6" s="3337" t="s">
        <v>2798</v>
      </c>
      <c r="H6" s="3338"/>
      <c r="I6" s="3337" t="s">
        <v>2798</v>
      </c>
      <c r="J6" s="3338"/>
      <c r="K6" s="610" t="s">
        <v>2548</v>
      </c>
      <c r="L6" s="1133"/>
      <c r="M6" s="1134"/>
      <c r="N6" s="1134"/>
      <c r="O6" s="1134"/>
      <c r="P6" s="3297"/>
      <c r="Q6" s="3298"/>
      <c r="R6" s="3278"/>
      <c r="S6" s="3279"/>
      <c r="T6" s="3299"/>
      <c r="U6" s="3300"/>
      <c r="V6" s="3301"/>
      <c r="W6" s="3301"/>
      <c r="X6" s="1816"/>
      <c r="Y6" s="3299"/>
      <c r="Z6" s="3300"/>
      <c r="AA6" s="3273"/>
      <c r="AB6" s="3273"/>
      <c r="AC6" s="3273"/>
    </row>
    <row r="7" spans="1:29" s="117" customFormat="1" ht="15.75" thickBot="1">
      <c r="A7" s="408" t="s">
        <v>2549</v>
      </c>
      <c r="B7" s="409"/>
      <c r="C7" s="410">
        <f>'数据-取费表'!B2</f>
        <v>43244</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74" t="s">
        <v>2550</v>
      </c>
      <c r="Q7" s="3302"/>
      <c r="R7" s="770" t="s">
        <v>17</v>
      </c>
      <c r="S7" s="771">
        <f t="shared" ref="S7:S15" si="0">F7</f>
        <v>0</v>
      </c>
      <c r="T7" s="770" t="s">
        <v>17</v>
      </c>
      <c r="U7" s="771">
        <f t="shared" ref="U7:U15" si="1">H7</f>
        <v>0</v>
      </c>
      <c r="V7" s="770" t="s">
        <v>17</v>
      </c>
      <c r="W7" s="771">
        <f t="shared" ref="W7:W15" si="2">J7</f>
        <v>0</v>
      </c>
      <c r="X7" s="772"/>
      <c r="Y7" s="3274" t="s">
        <v>2550</v>
      </c>
      <c r="Z7" s="3275"/>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74" t="s">
        <v>2553</v>
      </c>
      <c r="Q8" s="3275"/>
      <c r="R8" s="770" t="s">
        <v>17</v>
      </c>
      <c r="S8" s="771">
        <f t="shared" si="0"/>
        <v>0</v>
      </c>
      <c r="T8" s="770" t="s">
        <v>17</v>
      </c>
      <c r="U8" s="771">
        <f t="shared" si="1"/>
        <v>0</v>
      </c>
      <c r="V8" s="770" t="s">
        <v>17</v>
      </c>
      <c r="W8" s="771">
        <f t="shared" si="2"/>
        <v>0</v>
      </c>
      <c r="X8" s="772"/>
      <c r="Y8" s="3274" t="s">
        <v>2553</v>
      </c>
      <c r="Z8" s="3275"/>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306" t="s">
        <v>2556</v>
      </c>
      <c r="Q9" s="1798" t="str">
        <f t="shared" ref="Q9:Q15" si="6">B9</f>
        <v>用途</v>
      </c>
      <c r="R9" s="770" t="s">
        <v>17</v>
      </c>
      <c r="S9" s="771">
        <f t="shared" si="0"/>
        <v>100</v>
      </c>
      <c r="T9" s="770" t="s">
        <v>17</v>
      </c>
      <c r="U9" s="771">
        <f t="shared" si="1"/>
        <v>100</v>
      </c>
      <c r="V9" s="770" t="s">
        <v>17</v>
      </c>
      <c r="W9" s="771">
        <f t="shared" si="2"/>
        <v>100</v>
      </c>
      <c r="X9" s="772"/>
      <c r="Y9" s="3080"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306"/>
      <c r="Q10" s="1798" t="str">
        <f t="shared" si="6"/>
        <v>土地使用年限（年）</v>
      </c>
      <c r="R10" s="770" t="s">
        <v>17</v>
      </c>
      <c r="S10" s="771">
        <f t="shared" si="0"/>
        <v>106</v>
      </c>
      <c r="T10" s="770" t="s">
        <v>17</v>
      </c>
      <c r="U10" s="771">
        <f t="shared" si="1"/>
        <v>106</v>
      </c>
      <c r="V10" s="770" t="s">
        <v>17</v>
      </c>
      <c r="W10" s="771">
        <f t="shared" si="2"/>
        <v>106</v>
      </c>
      <c r="X10" s="772"/>
      <c r="Y10" s="3080"/>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306"/>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30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30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306"/>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308" t="s">
        <v>2561</v>
      </c>
      <c r="Q15" s="1813" t="str">
        <f t="shared" si="6"/>
        <v>产业集聚程度</v>
      </c>
      <c r="R15" s="774" t="s">
        <v>17</v>
      </c>
      <c r="S15" s="775">
        <f t="shared" si="0"/>
        <v>100</v>
      </c>
      <c r="T15" s="774" t="s">
        <v>17</v>
      </c>
      <c r="U15" s="775">
        <f t="shared" si="1"/>
        <v>100</v>
      </c>
      <c r="V15" s="774" t="s">
        <v>17</v>
      </c>
      <c r="W15" s="775">
        <f t="shared" si="2"/>
        <v>100</v>
      </c>
      <c r="X15" s="1816"/>
      <c r="Y15" s="3308" t="s">
        <v>2561</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309"/>
      <c r="Q16" s="1813"/>
      <c r="R16" s="774"/>
      <c r="S16" s="775"/>
      <c r="T16" s="774"/>
      <c r="U16" s="775"/>
      <c r="V16" s="774"/>
      <c r="W16" s="775"/>
      <c r="X16" s="1816"/>
      <c r="Y16" s="3309"/>
      <c r="Z16" s="1817"/>
      <c r="AA16" s="1814">
        <v>1</v>
      </c>
      <c r="AB16" s="1814">
        <v>1</v>
      </c>
      <c r="AC16" s="1814">
        <v>1</v>
      </c>
    </row>
    <row r="17" spans="1:29" ht="85.5">
      <c r="A17" s="428"/>
      <c r="B17" s="631" t="s">
        <v>2710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309"/>
      <c r="Q17" s="1813" t="str">
        <f>B17</f>
        <v>交通便捷度</v>
      </c>
      <c r="R17" s="774" t="s">
        <v>17</v>
      </c>
      <c r="S17" s="775">
        <f>F17</f>
        <v>100</v>
      </c>
      <c r="T17" s="774" t="s">
        <v>17</v>
      </c>
      <c r="U17" s="775">
        <f>H17</f>
        <v>100</v>
      </c>
      <c r="V17" s="774" t="s">
        <v>17</v>
      </c>
      <c r="W17" s="775">
        <f>J17</f>
        <v>100</v>
      </c>
      <c r="X17" s="1816"/>
      <c r="Y17" s="3309"/>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309"/>
      <c r="Q18" s="1813"/>
      <c r="R18" s="774"/>
      <c r="S18" s="775"/>
      <c r="T18" s="774"/>
      <c r="U18" s="775"/>
      <c r="V18" s="774"/>
      <c r="W18" s="775"/>
      <c r="X18" s="1816"/>
      <c r="Y18" s="3309"/>
      <c r="Z18" s="1817"/>
      <c r="AA18" s="1814">
        <v>1</v>
      </c>
      <c r="AB18" s="1814">
        <v>1</v>
      </c>
      <c r="AC18" s="1814">
        <v>1</v>
      </c>
    </row>
    <row r="19" spans="1:29" ht="15">
      <c r="A19" s="428"/>
      <c r="B19" s="631" t="s">
        <v>2749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309"/>
      <c r="Q19" s="1813" t="str">
        <f t="shared" ref="Q19:Q33" si="8">B19</f>
        <v>区域土地利用方向</v>
      </c>
      <c r="R19" s="774" t="s">
        <v>17</v>
      </c>
      <c r="S19" s="775">
        <f>F19</f>
        <v>100</v>
      </c>
      <c r="T19" s="774" t="s">
        <v>17</v>
      </c>
      <c r="U19" s="775">
        <f>H19</f>
        <v>100</v>
      </c>
      <c r="V19" s="774" t="s">
        <v>17</v>
      </c>
      <c r="W19" s="775">
        <f>J19</f>
        <v>100</v>
      </c>
      <c r="X19" s="1816"/>
      <c r="Y19" s="3309"/>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309"/>
      <c r="Q20" s="1813"/>
      <c r="R20" s="774"/>
      <c r="S20" s="775"/>
      <c r="T20" s="774"/>
      <c r="U20" s="775"/>
      <c r="V20" s="774"/>
      <c r="W20" s="775"/>
      <c r="X20" s="1816"/>
      <c r="Y20" s="3309"/>
      <c r="Z20" s="1817"/>
      <c r="AA20" s="1814"/>
      <c r="AB20" s="1814"/>
      <c r="AC20" s="1814"/>
    </row>
    <row r="21" spans="1:29" ht="71.25">
      <c r="A21" s="404"/>
      <c r="B21" s="631" t="s">
        <v>2800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309"/>
      <c r="Q21" s="1813" t="str">
        <f t="shared" si="8"/>
        <v>环境状况</v>
      </c>
      <c r="R21" s="774" t="s">
        <v>17</v>
      </c>
      <c r="S21" s="775">
        <f>F21</f>
        <v>100</v>
      </c>
      <c r="T21" s="774" t="s">
        <v>17</v>
      </c>
      <c r="U21" s="775">
        <f>H21</f>
        <v>100</v>
      </c>
      <c r="V21" s="774" t="s">
        <v>17</v>
      </c>
      <c r="W21" s="775">
        <f>J21</f>
        <v>100</v>
      </c>
      <c r="X21" s="1816"/>
      <c r="Y21" s="3309"/>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309"/>
      <c r="Q22" s="1813"/>
      <c r="R22" s="774"/>
      <c r="S22" s="775"/>
      <c r="T22" s="774"/>
      <c r="U22" s="775"/>
      <c r="V22" s="774"/>
      <c r="W22" s="775"/>
      <c r="X22" s="1816"/>
      <c r="Y22" s="3309"/>
      <c r="Z22" s="1817"/>
      <c r="AA22" s="1814">
        <v>1</v>
      </c>
      <c r="AB22" s="1814">
        <v>1</v>
      </c>
      <c r="AC22" s="1814">
        <v>1</v>
      </c>
    </row>
    <row r="23" spans="1:29" s="117" customFormat="1" ht="42.75">
      <c r="A23" s="649"/>
      <c r="B23" s="633" t="s">
        <v>2655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309"/>
      <c r="Q23" s="1798" t="str">
        <f t="shared" si="8"/>
        <v>公共配套设施</v>
      </c>
      <c r="R23" s="770" t="s">
        <v>17</v>
      </c>
      <c r="S23" s="771">
        <f>F23</f>
        <v>100</v>
      </c>
      <c r="T23" s="770" t="s">
        <v>17</v>
      </c>
      <c r="U23" s="771">
        <f>H23</f>
        <v>100</v>
      </c>
      <c r="V23" s="770" t="s">
        <v>17</v>
      </c>
      <c r="W23" s="771">
        <f>J23</f>
        <v>100</v>
      </c>
      <c r="X23" s="772"/>
      <c r="Y23" s="3309"/>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309"/>
      <c r="Q24" s="1798"/>
      <c r="R24" s="770"/>
      <c r="S24" s="771"/>
      <c r="T24" s="770"/>
      <c r="U24" s="771"/>
      <c r="V24" s="770"/>
      <c r="W24" s="771"/>
      <c r="X24" s="772"/>
      <c r="Y24" s="3309"/>
      <c r="Z24" s="55"/>
      <c r="AA24" s="773">
        <v>1</v>
      </c>
      <c r="AB24" s="773">
        <v>1</v>
      </c>
      <c r="AC24" s="773">
        <v>1</v>
      </c>
    </row>
    <row r="25" spans="1:29" s="117" customFormat="1" ht="28.5">
      <c r="A25" s="649"/>
      <c r="B25" s="633" t="s">
        <v>2656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309"/>
      <c r="Q25" s="1798" t="str">
        <f t="shared" ref="Q25" si="9">B25</f>
        <v>基础设施水平</v>
      </c>
      <c r="R25" s="770" t="s">
        <v>17</v>
      </c>
      <c r="S25" s="771">
        <f>F25</f>
        <v>100</v>
      </c>
      <c r="T25" s="770" t="s">
        <v>17</v>
      </c>
      <c r="U25" s="771">
        <f>H25</f>
        <v>100</v>
      </c>
      <c r="V25" s="770" t="s">
        <v>17</v>
      </c>
      <c r="W25" s="771">
        <f>J25</f>
        <v>100</v>
      </c>
      <c r="X25" s="772"/>
      <c r="Y25" s="330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309"/>
      <c r="Q26" s="1798"/>
      <c r="R26" s="770"/>
      <c r="S26" s="771"/>
      <c r="T26" s="770"/>
      <c r="U26" s="771"/>
      <c r="V26" s="770"/>
      <c r="W26" s="771"/>
      <c r="X26" s="772"/>
      <c r="Y26" s="330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30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309"/>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309"/>
      <c r="Q28" s="1813" t="str">
        <f t="shared" si="8"/>
        <v>毗邻道路的类型与等级</v>
      </c>
      <c r="R28" s="774" t="s">
        <v>17</v>
      </c>
      <c r="S28" s="775">
        <f t="shared" si="10"/>
        <v>100</v>
      </c>
      <c r="T28" s="774" t="s">
        <v>17</v>
      </c>
      <c r="U28" s="775">
        <f t="shared" si="11"/>
        <v>100</v>
      </c>
      <c r="V28" s="774" t="s">
        <v>17</v>
      </c>
      <c r="W28" s="775">
        <f t="shared" si="12"/>
        <v>100</v>
      </c>
      <c r="X28" s="1816"/>
      <c r="Y28" s="3309"/>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309"/>
      <c r="Q29" s="1813"/>
      <c r="R29" s="774"/>
      <c r="S29" s="775"/>
      <c r="T29" s="774"/>
      <c r="U29" s="775"/>
      <c r="V29" s="774"/>
      <c r="W29" s="775"/>
      <c r="X29" s="1816"/>
      <c r="Y29" s="330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309"/>
      <c r="Q30" s="1813" t="str">
        <f t="shared" si="8"/>
        <v>土地级别</v>
      </c>
      <c r="R30" s="774" t="s">
        <v>17</v>
      </c>
      <c r="S30" s="775">
        <f t="shared" si="10"/>
        <v>100</v>
      </c>
      <c r="T30" s="774" t="s">
        <v>17</v>
      </c>
      <c r="U30" s="775">
        <f t="shared" si="11"/>
        <v>100</v>
      </c>
      <c r="V30" s="774" t="s">
        <v>17</v>
      </c>
      <c r="W30" s="775">
        <f t="shared" si="12"/>
        <v>100</v>
      </c>
      <c r="X30" s="1816"/>
      <c r="Y30" s="330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309"/>
      <c r="Q31" s="1813">
        <f t="shared" si="8"/>
        <v>111</v>
      </c>
      <c r="R31" s="774" t="s">
        <v>17</v>
      </c>
      <c r="S31" s="775">
        <f t="shared" si="10"/>
        <v>100</v>
      </c>
      <c r="T31" s="774" t="s">
        <v>17</v>
      </c>
      <c r="U31" s="775">
        <f t="shared" si="11"/>
        <v>100</v>
      </c>
      <c r="V31" s="774" t="s">
        <v>17</v>
      </c>
      <c r="W31" s="775">
        <f t="shared" si="12"/>
        <v>100</v>
      </c>
      <c r="X31" s="1816"/>
      <c r="Y31" s="330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32" t="s">
        <v>2566</v>
      </c>
      <c r="Q32" s="1813">
        <f t="shared" si="8"/>
        <v>111</v>
      </c>
      <c r="R32" s="774" t="s">
        <v>17</v>
      </c>
      <c r="S32" s="775">
        <f t="shared" si="10"/>
        <v>100</v>
      </c>
      <c r="T32" s="774" t="s">
        <v>17</v>
      </c>
      <c r="U32" s="775">
        <f t="shared" si="11"/>
        <v>100</v>
      </c>
      <c r="V32" s="774" t="s">
        <v>17</v>
      </c>
      <c r="W32" s="775">
        <f t="shared" si="12"/>
        <v>100</v>
      </c>
      <c r="X32" s="1816"/>
      <c r="Y32" s="3313"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13"/>
      <c r="Q33" s="1813">
        <f t="shared" si="8"/>
        <v>111</v>
      </c>
      <c r="R33" s="777" t="s">
        <v>17</v>
      </c>
      <c r="S33" s="778">
        <f t="shared" si="10"/>
        <v>100</v>
      </c>
      <c r="T33" s="777" t="s">
        <v>17</v>
      </c>
      <c r="U33" s="778">
        <f t="shared" si="11"/>
        <v>100</v>
      </c>
      <c r="V33" s="777" t="s">
        <v>17</v>
      </c>
      <c r="W33" s="778">
        <f t="shared" si="12"/>
        <v>100</v>
      </c>
      <c r="X33" s="779"/>
      <c r="Y33" s="3313"/>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13"/>
      <c r="Q34" s="1813" t="str">
        <f>B34</f>
        <v>宗地面积</v>
      </c>
      <c r="R34" s="774" t="s">
        <v>17</v>
      </c>
      <c r="S34" s="775" t="e">
        <f t="shared" si="10"/>
        <v>#N/A</v>
      </c>
      <c r="T34" s="774" t="s">
        <v>17</v>
      </c>
      <c r="U34" s="775" t="e">
        <f t="shared" si="11"/>
        <v>#N/A</v>
      </c>
      <c r="V34" s="774" t="s">
        <v>17</v>
      </c>
      <c r="W34" s="775" t="e">
        <f t="shared" si="12"/>
        <v>#N/A</v>
      </c>
      <c r="X34" s="1816"/>
      <c r="Y34" s="3313"/>
      <c r="Z34" s="1817" t="str">
        <f t="shared" si="13"/>
        <v>宗地面积</v>
      </c>
      <c r="AA34" s="1814" t="e">
        <f t="shared" si="3"/>
        <v>#N/A</v>
      </c>
      <c r="AB34" s="1814" t="e">
        <f t="shared" si="4"/>
        <v>#N/A</v>
      </c>
      <c r="AC34" s="1814" t="e">
        <f t="shared" si="5"/>
        <v>#N/A</v>
      </c>
    </row>
    <row r="35" spans="1:29" ht="15">
      <c r="A35" s="472"/>
      <c r="B35" s="422" t="s">
        <v>2753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313"/>
      <c r="Q35" s="1813" t="str">
        <f t="shared" ref="Q35:Q40" si="14">B35</f>
        <v>宗地形状</v>
      </c>
      <c r="R35" s="774" t="s">
        <v>17</v>
      </c>
      <c r="S35" s="775">
        <f t="shared" si="10"/>
        <v>100</v>
      </c>
      <c r="T35" s="774" t="s">
        <v>17</v>
      </c>
      <c r="U35" s="775">
        <f t="shared" si="11"/>
        <v>100</v>
      </c>
      <c r="V35" s="774" t="s">
        <v>17</v>
      </c>
      <c r="W35" s="775">
        <f t="shared" si="12"/>
        <v>100</v>
      </c>
      <c r="X35" s="1816"/>
      <c r="Y35" s="3313"/>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313"/>
      <c r="Q36" s="1813" t="str">
        <f t="shared" si="14"/>
        <v>宗地开发程度</v>
      </c>
      <c r="R36" s="770" t="s">
        <v>17</v>
      </c>
      <c r="S36" s="771">
        <f t="shared" si="10"/>
        <v>100</v>
      </c>
      <c r="T36" s="770" t="s">
        <v>17</v>
      </c>
      <c r="U36" s="771">
        <f t="shared" si="11"/>
        <v>100</v>
      </c>
      <c r="V36" s="770" t="s">
        <v>17</v>
      </c>
      <c r="W36" s="771">
        <f t="shared" si="12"/>
        <v>100</v>
      </c>
      <c r="X36" s="772"/>
      <c r="Y36" s="3313"/>
      <c r="Z36" s="55" t="str">
        <f t="shared" si="13"/>
        <v>宗地开发程度</v>
      </c>
      <c r="AA36" s="773">
        <f t="shared" si="3"/>
        <v>1</v>
      </c>
      <c r="AB36" s="773">
        <f t="shared" si="4"/>
        <v>1</v>
      </c>
      <c r="AC36" s="773">
        <f t="shared" si="5"/>
        <v>1</v>
      </c>
    </row>
    <row r="37" spans="1:29" ht="15">
      <c r="A37" s="472"/>
      <c r="B37" s="422" t="s">
        <v>2756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313" t="s">
        <v>2566</v>
      </c>
      <c r="Q37" s="1813" t="str">
        <f t="shared" si="14"/>
        <v>工程地质条件</v>
      </c>
      <c r="R37" s="774" t="s">
        <v>17</v>
      </c>
      <c r="S37" s="775">
        <f t="shared" si="10"/>
        <v>100</v>
      </c>
      <c r="T37" s="774" t="s">
        <v>17</v>
      </c>
      <c r="U37" s="775">
        <f t="shared" si="11"/>
        <v>100</v>
      </c>
      <c r="V37" s="774" t="s">
        <v>17</v>
      </c>
      <c r="W37" s="775">
        <f t="shared" si="12"/>
        <v>100</v>
      </c>
      <c r="X37" s="1816"/>
      <c r="Y37" s="3313"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13"/>
      <c r="Q38" s="1813">
        <f t="shared" si="14"/>
        <v>111</v>
      </c>
      <c r="R38" s="774" t="s">
        <v>17</v>
      </c>
      <c r="S38" s="775">
        <f t="shared" si="10"/>
        <v>100</v>
      </c>
      <c r="T38" s="774" t="s">
        <v>17</v>
      </c>
      <c r="U38" s="775">
        <f t="shared" si="11"/>
        <v>100</v>
      </c>
      <c r="V38" s="774" t="s">
        <v>17</v>
      </c>
      <c r="W38" s="775">
        <f t="shared" si="12"/>
        <v>100</v>
      </c>
      <c r="X38" s="1816"/>
      <c r="Y38" s="331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13"/>
      <c r="Q39" s="1813">
        <f t="shared" si="14"/>
        <v>111</v>
      </c>
      <c r="R39" s="774" t="s">
        <v>17</v>
      </c>
      <c r="S39" s="775">
        <f t="shared" si="10"/>
        <v>100</v>
      </c>
      <c r="T39" s="774" t="s">
        <v>17</v>
      </c>
      <c r="U39" s="775">
        <f t="shared" si="11"/>
        <v>100</v>
      </c>
      <c r="V39" s="774" t="s">
        <v>17</v>
      </c>
      <c r="W39" s="775">
        <f t="shared" si="12"/>
        <v>100</v>
      </c>
      <c r="X39" s="1816"/>
      <c r="Y39" s="331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13"/>
      <c r="Q40" s="1813">
        <f t="shared" si="14"/>
        <v>111</v>
      </c>
      <c r="R40" s="777" t="s">
        <v>17</v>
      </c>
      <c r="S40" s="778">
        <f t="shared" si="10"/>
        <v>100</v>
      </c>
      <c r="T40" s="777" t="s">
        <v>17</v>
      </c>
      <c r="U40" s="778">
        <f t="shared" si="11"/>
        <v>100</v>
      </c>
      <c r="V40" s="777" t="s">
        <v>17</v>
      </c>
      <c r="W40" s="778">
        <f t="shared" si="12"/>
        <v>100</v>
      </c>
      <c r="X40" s="779"/>
      <c r="Y40" s="3313"/>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306" t="str">
        <f>A41</f>
        <v>成交单价</v>
      </c>
      <c r="Q41" s="3306"/>
      <c r="R41" s="3301">
        <f>E41</f>
        <v>0</v>
      </c>
      <c r="S41" s="3301"/>
      <c r="T41" s="3301">
        <f>G41</f>
        <v>0</v>
      </c>
      <c r="U41" s="3301"/>
      <c r="V41" s="3301">
        <f>I41</f>
        <v>0</v>
      </c>
      <c r="W41" s="330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306" t="str">
        <f>A42</f>
        <v>比较价值（元/平方米）</v>
      </c>
      <c r="Q42" s="3306"/>
      <c r="R42" s="3333" t="e">
        <f>ROUND(PRODUCT(R41,AA7:AA40),0)</f>
        <v>#DIV/0!</v>
      </c>
      <c r="S42" s="3333"/>
      <c r="T42" s="3333" t="e">
        <f>ROUND(PRODUCT(T41,AB7:AB40),0)</f>
        <v>#DIV/0!</v>
      </c>
      <c r="U42" s="3333"/>
      <c r="V42" s="3333" t="e">
        <f>ROUND(PRODUCT(V41,AC7:AC40),0)</f>
        <v>#DIV/0!</v>
      </c>
      <c r="W42" s="333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303" t="str">
        <f>A43</f>
        <v>估价对象XX用房的比较价值（楼面单价，元/平方米）</v>
      </c>
      <c r="Q43" s="3304"/>
      <c r="R43" s="3334" t="e">
        <f>ROUND(AVERAGE(R42:V42),0)</f>
        <v>#DIV/0!</v>
      </c>
      <c r="S43" s="3334"/>
      <c r="T43" s="3334"/>
      <c r="U43" s="3334"/>
      <c r="V43" s="3334"/>
      <c r="W43" s="333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289" t="s">
        <v>2765</v>
      </c>
      <c r="H50" s="3335"/>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2864.5</v>
      </c>
      <c r="F51" s="691" t="e">
        <f t="shared" ref="F51:F60" si="15">ROUND(B51*E51/10000,0)</f>
        <v>#DIV/0!</v>
      </c>
      <c r="G51" s="3288"/>
      <c r="H51" s="3306"/>
      <c r="I51" s="945">
        <v>1</v>
      </c>
      <c r="J51" s="945">
        <v>1</v>
      </c>
      <c r="K51" s="1148"/>
      <c r="L51" s="944"/>
      <c r="M51" s="944"/>
      <c r="N51" s="944"/>
      <c r="O51" s="944"/>
    </row>
    <row r="52" spans="1:17" s="692" customFormat="1">
      <c r="A52" s="693" t="s">
        <v>2769</v>
      </c>
      <c r="B52" s="262" t="e">
        <f>ROUND($C$43*C52*D52,0)</f>
        <v>#DIV/0!</v>
      </c>
      <c r="C52" s="200">
        <f t="shared" ref="C52:C60" si="16">IF($C$50="北京市系数",I52,J52)</f>
        <v>0.8</v>
      </c>
      <c r="D52" s="1167">
        <v>0.25</v>
      </c>
      <c r="E52" s="694"/>
      <c r="F52" s="691" t="e">
        <f t="shared" si="15"/>
        <v>#DIV/0!</v>
      </c>
      <c r="G52" s="3336" t="s">
        <v>2770</v>
      </c>
      <c r="H52" s="1107" t="str">
        <f>项目基本情况!B37</f>
        <v>二级</v>
      </c>
      <c r="I52" s="945">
        <f>SUMIF(修正!A45:A56,H52,修正!B45:B56)</f>
        <v>0.8</v>
      </c>
      <c r="J52" s="946"/>
      <c r="K52" s="1147"/>
      <c r="L52" s="944"/>
      <c r="M52" s="944"/>
      <c r="N52" s="944"/>
      <c r="O52" s="944"/>
    </row>
    <row r="53" spans="1:17" s="692" customFormat="1">
      <c r="A53" s="693" t="s">
        <v>2771</v>
      </c>
      <c r="B53" s="262" t="e">
        <f t="shared" ref="B53:B60" si="17">ROUND($C$43*C53*D53,0)</f>
        <v>#DIV/0!</v>
      </c>
      <c r="C53" s="200">
        <f t="shared" si="16"/>
        <v>0.5</v>
      </c>
      <c r="D53" s="1167">
        <v>0.25</v>
      </c>
      <c r="E53" s="694"/>
      <c r="F53" s="691" t="e">
        <f t="shared" si="15"/>
        <v>#DIV/0!</v>
      </c>
      <c r="G53" s="3336"/>
      <c r="H53" s="1107" t="str">
        <f>项目基本情况!B37</f>
        <v>二级</v>
      </c>
      <c r="I53" s="945">
        <f>SUMIF(修正!A45:A56,H53,修正!C45:C56)</f>
        <v>0.5</v>
      </c>
      <c r="J53" s="946"/>
      <c r="K53" s="1148"/>
      <c r="L53" s="944"/>
      <c r="M53" s="944"/>
      <c r="N53" s="944"/>
      <c r="O53" s="944"/>
    </row>
    <row r="54" spans="1:17" s="692" customFormat="1">
      <c r="A54" s="693" t="s">
        <v>2772</v>
      </c>
      <c r="B54" s="262" t="e">
        <f t="shared" si="17"/>
        <v>#DIV/0!</v>
      </c>
      <c r="C54" s="200">
        <f t="shared" si="16"/>
        <v>0.36</v>
      </c>
      <c r="D54" s="1167">
        <v>0.25</v>
      </c>
      <c r="E54" s="694"/>
      <c r="F54" s="691" t="e">
        <f t="shared" si="15"/>
        <v>#DIV/0!</v>
      </c>
      <c r="G54" s="3336"/>
      <c r="H54" s="1107" t="str">
        <f>项目基本情况!B37</f>
        <v>二级</v>
      </c>
      <c r="I54" s="945">
        <f>SUMIF(修正!A45:A56,H54,修正!D45:D56)</f>
        <v>0.36</v>
      </c>
      <c r="J54" s="946"/>
      <c r="K54" s="1147"/>
      <c r="L54" s="944"/>
      <c r="M54" s="944"/>
      <c r="N54" s="944"/>
      <c r="O54" s="944"/>
    </row>
    <row r="55" spans="1:17" s="692" customFormat="1">
      <c r="A55" s="693" t="s">
        <v>2773</v>
      </c>
      <c r="B55" s="262" t="e">
        <f t="shared" si="17"/>
        <v>#DIV/0!</v>
      </c>
      <c r="C55" s="200">
        <f t="shared" si="16"/>
        <v>0.3</v>
      </c>
      <c r="D55" s="1167">
        <v>0.25</v>
      </c>
      <c r="E55" s="694"/>
      <c r="F55" s="691" t="e">
        <f t="shared" si="15"/>
        <v>#DIV/0!</v>
      </c>
      <c r="G55" s="3336"/>
      <c r="H55" s="1107" t="str">
        <f>项目基本情况!B37</f>
        <v>二级</v>
      </c>
      <c r="I55" s="945">
        <f>SUMIF(修正!A45:A56,H55,修正!E45:E56)</f>
        <v>0.3</v>
      </c>
      <c r="J55" s="946"/>
      <c r="K55" s="1148"/>
      <c r="L55" s="944"/>
      <c r="M55" s="944"/>
      <c r="N55" s="944"/>
      <c r="O55" s="944"/>
    </row>
    <row r="56" spans="1:17" s="692" customFormat="1">
      <c r="A56" s="693" t="s">
        <v>2774</v>
      </c>
      <c r="B56" s="262" t="e">
        <f t="shared" si="17"/>
        <v>#DIV/0!</v>
      </c>
      <c r="C56" s="200">
        <f t="shared" si="16"/>
        <v>0.3</v>
      </c>
      <c r="D56" s="1167">
        <v>0.25</v>
      </c>
      <c r="E56" s="261">
        <f>'数据-汇总表'!E11</f>
        <v>0</v>
      </c>
      <c r="F56" s="691" t="e">
        <f t="shared" si="15"/>
        <v>#DIV/0!</v>
      </c>
      <c r="G56" s="2714" t="s">
        <v>2775</v>
      </c>
      <c r="H56" s="1107" t="str">
        <f>项目基本情况!C37</f>
        <v>二级</v>
      </c>
      <c r="I56" s="945">
        <f>SUMIF(修正!A45:A56,H56,修正!F45:F56)</f>
        <v>0.3</v>
      </c>
      <c r="J56" s="946"/>
      <c r="K56" s="1147"/>
      <c r="L56" s="944"/>
      <c r="M56" s="944"/>
      <c r="N56" s="944"/>
      <c r="O56" s="944"/>
    </row>
    <row r="57" spans="1:17" s="692" customFormat="1">
      <c r="A57" s="693" t="s">
        <v>2776</v>
      </c>
      <c r="B57" s="262" t="e">
        <f t="shared" si="17"/>
        <v>#DIV/0!</v>
      </c>
      <c r="C57" s="200">
        <f t="shared" si="16"/>
        <v>0.3</v>
      </c>
      <c r="D57" s="1167">
        <v>0.25</v>
      </c>
      <c r="E57" s="261">
        <f>'数据-汇总表'!E12</f>
        <v>0</v>
      </c>
      <c r="F57" s="691" t="e">
        <f t="shared" si="15"/>
        <v>#DIV/0!</v>
      </c>
      <c r="G57" s="1112" t="s">
        <v>2777</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0.25</v>
      </c>
      <c r="D59" s="1167">
        <v>0.25</v>
      </c>
      <c r="E59" s="261">
        <f>'数据-汇总表'!E14</f>
        <v>0</v>
      </c>
      <c r="F59" s="691" t="e">
        <f t="shared" si="15"/>
        <v>#DIV/0!</v>
      </c>
      <c r="G59" s="2714" t="s">
        <v>2770</v>
      </c>
      <c r="H59" s="1107" t="str">
        <f>项目基本情况!B37</f>
        <v>二级</v>
      </c>
      <c r="I59" s="945">
        <f>SUMIF(修正!A45:A56,H59,修正!H45:H56)</f>
        <v>0.25</v>
      </c>
      <c r="J59" s="946"/>
      <c r="K59" s="1148"/>
      <c r="L59" s="944"/>
      <c r="M59" s="944"/>
      <c r="N59" s="944"/>
      <c r="O59" s="944"/>
    </row>
    <row r="60" spans="1:17" s="692" customFormat="1" ht="15" thickBot="1">
      <c r="A60" s="693" t="s">
        <v>2781</v>
      </c>
      <c r="B60" s="262" t="e">
        <f t="shared" si="17"/>
        <v>#DIV/0!</v>
      </c>
      <c r="C60" s="200">
        <f t="shared" si="16"/>
        <v>0.25</v>
      </c>
      <c r="D60" s="1167">
        <v>0.25</v>
      </c>
      <c r="E60" s="261">
        <f>'数据-汇总表'!E15</f>
        <v>0</v>
      </c>
      <c r="F60" s="691" t="e">
        <f t="shared" si="15"/>
        <v>#DIV/0!</v>
      </c>
      <c r="G60" s="2715" t="s">
        <v>2775</v>
      </c>
      <c r="H60" s="1117" t="str">
        <f>项目基本情况!C37</f>
        <v>二级</v>
      </c>
      <c r="I60" s="945">
        <f>SUMIF(修正!A45:A56,H60,修正!H45:H56)</f>
        <v>0.25</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4638.1000000000004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1" t="s">
        <v>2803</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1" t="s">
        <v>183</v>
      </c>
      <c r="B18" s="882" t="s">
        <v>560</v>
      </c>
      <c r="C18" s="883" t="s">
        <v>561</v>
      </c>
      <c r="D18" s="884"/>
      <c r="E18" s="882">
        <v>1</v>
      </c>
      <c r="F18" s="885" t="s">
        <v>562</v>
      </c>
      <c r="G18" s="886"/>
      <c r="H18" s="878"/>
      <c r="I18" s="878"/>
    </row>
    <row r="19" spans="1:9" s="887" customFormat="1" ht="19.5" customHeight="1">
      <c r="A19" s="3341"/>
      <c r="B19" s="3341" t="s">
        <v>563</v>
      </c>
      <c r="C19" s="883" t="s">
        <v>564</v>
      </c>
      <c r="D19" s="884"/>
      <c r="E19" s="882">
        <v>0.9</v>
      </c>
      <c r="F19" s="885" t="s">
        <v>565</v>
      </c>
      <c r="G19" s="886"/>
      <c r="H19" s="878"/>
      <c r="I19" s="878"/>
    </row>
    <row r="20" spans="1:9" s="887" customFormat="1" ht="19.5" customHeight="1">
      <c r="A20" s="3341"/>
      <c r="B20" s="3341"/>
      <c r="C20" s="883" t="s">
        <v>566</v>
      </c>
      <c r="D20" s="884"/>
      <c r="E20" s="882">
        <v>1.1000000000000001</v>
      </c>
      <c r="F20" s="885" t="s">
        <v>567</v>
      </c>
      <c r="G20" s="886"/>
      <c r="H20" s="878"/>
      <c r="I20" s="878"/>
    </row>
    <row r="21" spans="1:9" s="887" customFormat="1" ht="19.5" customHeight="1">
      <c r="A21" s="3341"/>
      <c r="B21" s="3341"/>
      <c r="C21" s="883" t="s">
        <v>568</v>
      </c>
      <c r="D21" s="884"/>
      <c r="E21" s="882">
        <v>0.8</v>
      </c>
      <c r="F21" s="885" t="s">
        <v>569</v>
      </c>
      <c r="G21" s="886"/>
      <c r="H21" s="878"/>
      <c r="I21" s="878"/>
    </row>
    <row r="22" spans="1:9" s="887" customFormat="1" ht="19.5" customHeight="1">
      <c r="A22" s="3341"/>
      <c r="B22" s="3341"/>
      <c r="C22" s="883" t="s">
        <v>570</v>
      </c>
      <c r="D22" s="884"/>
      <c r="E22" s="882">
        <v>0.5</v>
      </c>
      <c r="F22" s="885"/>
      <c r="G22" s="886"/>
      <c r="H22" s="878"/>
      <c r="I22" s="878"/>
    </row>
    <row r="23" spans="1:9" s="887" customFormat="1" ht="19.5" customHeight="1">
      <c r="A23" s="3341" t="s">
        <v>184</v>
      </c>
      <c r="B23" s="882" t="s">
        <v>560</v>
      </c>
      <c r="C23" s="883" t="s">
        <v>571</v>
      </c>
      <c r="D23" s="884"/>
      <c r="E23" s="882">
        <v>1</v>
      </c>
      <c r="F23" s="885" t="s">
        <v>572</v>
      </c>
      <c r="G23" s="886"/>
      <c r="H23" s="878"/>
      <c r="I23" s="878"/>
    </row>
    <row r="24" spans="1:9" s="887" customFormat="1" ht="19.5" customHeight="1">
      <c r="A24" s="3341"/>
      <c r="B24" s="3341" t="s">
        <v>563</v>
      </c>
      <c r="C24" s="883" t="s">
        <v>573</v>
      </c>
      <c r="D24" s="884"/>
      <c r="E24" s="882">
        <v>0.5</v>
      </c>
      <c r="F24" s="885"/>
      <c r="G24" s="886"/>
      <c r="H24" s="878"/>
      <c r="I24" s="878"/>
    </row>
    <row r="25" spans="1:9" s="887" customFormat="1" ht="19.5" customHeight="1">
      <c r="A25" s="3341"/>
      <c r="B25" s="3341"/>
      <c r="C25" s="883" t="s">
        <v>574</v>
      </c>
      <c r="D25" s="884"/>
      <c r="E25" s="882">
        <v>1.1000000000000001</v>
      </c>
      <c r="F25" s="885"/>
      <c r="G25" s="886"/>
      <c r="H25" s="878"/>
      <c r="I25" s="878"/>
    </row>
    <row r="26" spans="1:9" s="887" customFormat="1" ht="19.5" customHeight="1">
      <c r="A26" s="3341"/>
      <c r="B26" s="3341"/>
      <c r="C26" s="883" t="s">
        <v>575</v>
      </c>
      <c r="D26" s="884"/>
      <c r="E26" s="882">
        <v>1.1000000000000001</v>
      </c>
      <c r="F26" s="885"/>
      <c r="G26" s="886"/>
      <c r="H26" s="878"/>
      <c r="I26" s="878"/>
    </row>
    <row r="27" spans="1:9" s="887" customFormat="1" ht="19.5" customHeight="1">
      <c r="A27" s="3341"/>
      <c r="B27" s="3341"/>
      <c r="C27" s="883" t="s">
        <v>576</v>
      </c>
      <c r="D27" s="884"/>
      <c r="E27" s="882">
        <v>0.9</v>
      </c>
      <c r="F27" s="885" t="s">
        <v>577</v>
      </c>
      <c r="G27" s="886"/>
      <c r="H27" s="878"/>
      <c r="I27" s="878"/>
    </row>
    <row r="28" spans="1:9" s="887" customFormat="1" ht="19.5" customHeight="1">
      <c r="A28" s="3341"/>
      <c r="B28" s="3341"/>
      <c r="C28" s="883" t="s">
        <v>578</v>
      </c>
      <c r="D28" s="884"/>
      <c r="E28" s="882">
        <v>0.9</v>
      </c>
      <c r="F28" s="885" t="s">
        <v>579</v>
      </c>
      <c r="G28" s="886"/>
      <c r="H28" s="878"/>
      <c r="I28" s="878"/>
    </row>
    <row r="29" spans="1:9" s="887" customFormat="1" ht="19.5" customHeight="1">
      <c r="A29" s="3341"/>
      <c r="B29" s="3341"/>
      <c r="C29" s="883" t="s">
        <v>580</v>
      </c>
      <c r="D29" s="884"/>
      <c r="E29" s="882">
        <v>0.9</v>
      </c>
      <c r="F29" s="885" t="s">
        <v>581</v>
      </c>
      <c r="G29" s="886"/>
      <c r="H29" s="878"/>
      <c r="I29" s="878"/>
    </row>
    <row r="30" spans="1:9" s="887" customFormat="1" ht="19.5" customHeight="1">
      <c r="A30" s="3341"/>
      <c r="B30" s="3341"/>
      <c r="C30" s="883" t="s">
        <v>582</v>
      </c>
      <c r="D30" s="884"/>
      <c r="E30" s="882">
        <v>0.9</v>
      </c>
      <c r="F30" s="885" t="s">
        <v>583</v>
      </c>
      <c r="G30" s="886"/>
      <c r="H30" s="878"/>
      <c r="I30" s="878"/>
    </row>
    <row r="31" spans="1:9" s="887" customFormat="1" ht="19.5" customHeight="1">
      <c r="A31" s="3341"/>
      <c r="B31" s="3341"/>
      <c r="C31" s="883" t="s">
        <v>584</v>
      </c>
      <c r="D31" s="884"/>
      <c r="E31" s="882">
        <v>0.8</v>
      </c>
      <c r="F31" s="885" t="s">
        <v>585</v>
      </c>
      <c r="G31" s="886"/>
      <c r="H31" s="878"/>
      <c r="I31" s="878"/>
    </row>
    <row r="32" spans="1:9" s="887" customFormat="1" ht="19.5" customHeight="1">
      <c r="A32" s="3341"/>
      <c r="B32" s="3341"/>
      <c r="C32" s="883" t="s">
        <v>586</v>
      </c>
      <c r="D32" s="884"/>
      <c r="E32" s="882">
        <v>0.8</v>
      </c>
      <c r="F32" s="885" t="s">
        <v>587</v>
      </c>
      <c r="G32" s="886"/>
      <c r="H32" s="878"/>
      <c r="I32" s="878"/>
    </row>
    <row r="33" spans="1:9" s="887" customFormat="1" ht="19.5" customHeight="1">
      <c r="A33" s="3341" t="s">
        <v>185</v>
      </c>
      <c r="B33" s="882" t="s">
        <v>560</v>
      </c>
      <c r="C33" s="883" t="s">
        <v>588</v>
      </c>
      <c r="D33" s="884"/>
      <c r="E33" s="882">
        <v>1</v>
      </c>
      <c r="F33" s="885" t="s">
        <v>589</v>
      </c>
      <c r="G33" s="886"/>
      <c r="H33" s="878"/>
      <c r="I33" s="878"/>
    </row>
    <row r="34" spans="1:9" s="887" customFormat="1" ht="19.5" customHeight="1">
      <c r="A34" s="3341"/>
      <c r="B34" s="882" t="s">
        <v>563</v>
      </c>
      <c r="C34" s="883" t="s">
        <v>590</v>
      </c>
      <c r="D34" s="884"/>
      <c r="E34" s="882">
        <v>1.5</v>
      </c>
      <c r="F34" s="885" t="s">
        <v>591</v>
      </c>
      <c r="G34" s="886"/>
      <c r="H34" s="878"/>
      <c r="I34" s="878"/>
    </row>
    <row r="35" spans="1:9" s="887" customFormat="1" ht="19.5" customHeight="1">
      <c r="A35" s="3341" t="s">
        <v>186</v>
      </c>
      <c r="B35" s="882" t="s">
        <v>560</v>
      </c>
      <c r="C35" s="883" t="s">
        <v>592</v>
      </c>
      <c r="D35" s="884"/>
      <c r="E35" s="882">
        <v>1</v>
      </c>
      <c r="F35" s="885" t="s">
        <v>593</v>
      </c>
      <c r="G35" s="886"/>
      <c r="H35" s="878"/>
      <c r="I35" s="878"/>
    </row>
    <row r="36" spans="1:9" s="887" customFormat="1" ht="19.5" customHeight="1">
      <c r="A36" s="3341"/>
      <c r="B36" s="3341" t="s">
        <v>563</v>
      </c>
      <c r="C36" s="883" t="s">
        <v>594</v>
      </c>
      <c r="D36" s="884"/>
      <c r="E36" s="882">
        <v>1</v>
      </c>
      <c r="F36" s="885" t="s">
        <v>595</v>
      </c>
      <c r="G36" s="886"/>
      <c r="H36" s="878"/>
      <c r="I36" s="878"/>
    </row>
    <row r="37" spans="1:9" s="887" customFormat="1" ht="19.5" customHeight="1">
      <c r="A37" s="3341"/>
      <c r="B37" s="3341"/>
      <c r="C37" s="883" t="s">
        <v>596</v>
      </c>
      <c r="D37" s="884"/>
      <c r="E37" s="882">
        <v>1.5</v>
      </c>
      <c r="F37" s="885" t="s">
        <v>597</v>
      </c>
      <c r="G37" s="886"/>
      <c r="H37" s="878"/>
      <c r="I37" s="878"/>
    </row>
    <row r="38" spans="1:9" s="887" customFormat="1" ht="19.5" customHeight="1">
      <c r="A38" s="3341"/>
      <c r="B38" s="3341"/>
      <c r="C38" s="883" t="s">
        <v>598</v>
      </c>
      <c r="D38" s="884"/>
      <c r="E38" s="882">
        <v>1</v>
      </c>
      <c r="F38" s="885" t="s">
        <v>599</v>
      </c>
      <c r="G38" s="886"/>
      <c r="H38" s="878"/>
      <c r="I38" s="878"/>
    </row>
    <row r="39" spans="1:9" s="887" customFormat="1" ht="19.5" customHeight="1">
      <c r="A39" s="3341"/>
      <c r="B39" s="334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1" t="s">
        <v>614</v>
      </c>
      <c r="C61" s="818" t="s">
        <v>615</v>
      </c>
      <c r="D61" s="818" t="s">
        <v>616</v>
      </c>
      <c r="E61" s="895">
        <v>0.5</v>
      </c>
      <c r="F61" s="882">
        <v>80</v>
      </c>
    </row>
    <row r="62" spans="1:8" s="878" customFormat="1" ht="24">
      <c r="A62" s="882">
        <v>2</v>
      </c>
      <c r="B62" s="3341"/>
      <c r="C62" s="818" t="s">
        <v>617</v>
      </c>
      <c r="D62" s="818" t="s">
        <v>618</v>
      </c>
      <c r="E62" s="895">
        <v>0.5</v>
      </c>
      <c r="F62" s="882">
        <v>80</v>
      </c>
    </row>
    <row r="63" spans="1:8" s="878" customFormat="1" ht="36">
      <c r="A63" s="882">
        <v>3</v>
      </c>
      <c r="B63" s="3341"/>
      <c r="C63" s="818" t="s">
        <v>619</v>
      </c>
      <c r="D63" s="818" t="s">
        <v>620</v>
      </c>
      <c r="E63" s="895">
        <v>0.5</v>
      </c>
      <c r="F63" s="882">
        <v>80</v>
      </c>
    </row>
    <row r="64" spans="1:8" s="878" customFormat="1" ht="36">
      <c r="A64" s="882">
        <v>4</v>
      </c>
      <c r="B64" s="3341"/>
      <c r="C64" s="818" t="s">
        <v>621</v>
      </c>
      <c r="D64" s="818" t="s">
        <v>622</v>
      </c>
      <c r="E64" s="895">
        <v>0.4</v>
      </c>
      <c r="F64" s="882">
        <v>60</v>
      </c>
    </row>
    <row r="65" spans="1:6" s="878" customFormat="1" ht="36">
      <c r="A65" s="882">
        <v>5</v>
      </c>
      <c r="B65" s="3341"/>
      <c r="C65" s="818" t="s">
        <v>623</v>
      </c>
      <c r="D65" s="818" t="s">
        <v>624</v>
      </c>
      <c r="E65" s="895">
        <v>0.2</v>
      </c>
      <c r="F65" s="882">
        <v>30</v>
      </c>
    </row>
    <row r="66" spans="1:6" s="878" customFormat="1" ht="36">
      <c r="A66" s="882">
        <v>6</v>
      </c>
      <c r="B66" s="3341"/>
      <c r="C66" s="818" t="s">
        <v>625</v>
      </c>
      <c r="D66" s="818" t="s">
        <v>626</v>
      </c>
      <c r="E66" s="895">
        <v>0.3</v>
      </c>
      <c r="F66" s="882">
        <v>50</v>
      </c>
    </row>
    <row r="67" spans="1:6" s="878" customFormat="1" ht="36">
      <c r="A67" s="882">
        <v>7</v>
      </c>
      <c r="B67" s="3341"/>
      <c r="C67" s="818" t="s">
        <v>627</v>
      </c>
      <c r="D67" s="818" t="s">
        <v>628</v>
      </c>
      <c r="E67" s="895">
        <v>0.2</v>
      </c>
      <c r="F67" s="882">
        <v>30</v>
      </c>
    </row>
    <row r="68" spans="1:6" s="878" customFormat="1" ht="36">
      <c r="A68" s="882">
        <v>8</v>
      </c>
      <c r="B68" s="3341"/>
      <c r="C68" s="818" t="s">
        <v>629</v>
      </c>
      <c r="D68" s="818" t="s">
        <v>630</v>
      </c>
      <c r="E68" s="895">
        <v>0.2</v>
      </c>
      <c r="F68" s="882">
        <v>30</v>
      </c>
    </row>
    <row r="69" spans="1:6" s="878" customFormat="1" ht="36">
      <c r="A69" s="882">
        <v>9</v>
      </c>
      <c r="B69" s="3341"/>
      <c r="C69" s="818" t="s">
        <v>631</v>
      </c>
      <c r="D69" s="818" t="s">
        <v>632</v>
      </c>
      <c r="E69" s="895">
        <v>0.2</v>
      </c>
      <c r="F69" s="882">
        <v>30</v>
      </c>
    </row>
    <row r="70" spans="1:6" s="878" customFormat="1" ht="48">
      <c r="A70" s="882">
        <v>10</v>
      </c>
      <c r="B70" s="3341"/>
      <c r="C70" s="818" t="s">
        <v>633</v>
      </c>
      <c r="D70" s="818" t="s">
        <v>634</v>
      </c>
      <c r="E70" s="895">
        <v>0.2</v>
      </c>
      <c r="F70" s="882">
        <v>30</v>
      </c>
    </row>
    <row r="71" spans="1:6" s="878" customFormat="1" ht="48">
      <c r="A71" s="882">
        <v>11</v>
      </c>
      <c r="B71" s="3341"/>
      <c r="C71" s="818" t="s">
        <v>635</v>
      </c>
      <c r="D71" s="818" t="s">
        <v>636</v>
      </c>
      <c r="E71" s="895">
        <v>0.2</v>
      </c>
      <c r="F71" s="882">
        <v>30</v>
      </c>
    </row>
    <row r="72" spans="1:6" s="878" customFormat="1" ht="36">
      <c r="A72" s="882">
        <v>12</v>
      </c>
      <c r="B72" s="3341"/>
      <c r="C72" s="818" t="s">
        <v>637</v>
      </c>
      <c r="D72" s="818" t="s">
        <v>638</v>
      </c>
      <c r="E72" s="895">
        <v>0.5</v>
      </c>
      <c r="F72" s="882">
        <v>80</v>
      </c>
    </row>
    <row r="73" spans="1:6" s="878" customFormat="1" ht="24">
      <c r="A73" s="882">
        <v>13</v>
      </c>
      <c r="B73" s="3341"/>
      <c r="C73" s="818" t="s">
        <v>639</v>
      </c>
      <c r="D73" s="818" t="s">
        <v>640</v>
      </c>
      <c r="E73" s="895">
        <v>0.4</v>
      </c>
      <c r="F73" s="882">
        <v>60</v>
      </c>
    </row>
    <row r="74" spans="1:6" s="878" customFormat="1" ht="24">
      <c r="A74" s="882">
        <v>14</v>
      </c>
      <c r="B74" s="3341"/>
      <c r="C74" s="818" t="s">
        <v>641</v>
      </c>
      <c r="D74" s="818" t="s">
        <v>642</v>
      </c>
      <c r="E74" s="895">
        <v>0.2</v>
      </c>
      <c r="F74" s="882">
        <v>30</v>
      </c>
    </row>
    <row r="75" spans="1:6" s="878" customFormat="1" ht="24">
      <c r="A75" s="882">
        <v>15</v>
      </c>
      <c r="B75" s="3341"/>
      <c r="C75" s="818" t="s">
        <v>643</v>
      </c>
      <c r="D75" s="818" t="s">
        <v>644</v>
      </c>
      <c r="E75" s="895">
        <v>0.2</v>
      </c>
      <c r="F75" s="882">
        <v>30</v>
      </c>
    </row>
    <row r="76" spans="1:6" s="878" customFormat="1" ht="24">
      <c r="A76" s="882">
        <v>16</v>
      </c>
      <c r="B76" s="3341" t="s">
        <v>645</v>
      </c>
      <c r="C76" s="818" t="s">
        <v>646</v>
      </c>
      <c r="D76" s="818" t="s">
        <v>647</v>
      </c>
      <c r="E76" s="895">
        <v>0.5</v>
      </c>
      <c r="F76" s="882">
        <v>80</v>
      </c>
    </row>
    <row r="77" spans="1:6" s="878" customFormat="1" ht="24">
      <c r="A77" s="882">
        <v>17</v>
      </c>
      <c r="B77" s="3341"/>
      <c r="C77" s="818" t="s">
        <v>648</v>
      </c>
      <c r="D77" s="818" t="s">
        <v>649</v>
      </c>
      <c r="E77" s="895">
        <v>0.5</v>
      </c>
      <c r="F77" s="882">
        <v>80</v>
      </c>
    </row>
    <row r="78" spans="1:6" s="878" customFormat="1" ht="24">
      <c r="A78" s="882">
        <v>18</v>
      </c>
      <c r="B78" s="3341"/>
      <c r="C78" s="818" t="s">
        <v>650</v>
      </c>
      <c r="D78" s="818" t="s">
        <v>651</v>
      </c>
      <c r="E78" s="895">
        <v>0.2</v>
      </c>
      <c r="F78" s="882">
        <v>30</v>
      </c>
    </row>
    <row r="79" spans="1:6" s="878" customFormat="1" ht="24">
      <c r="A79" s="882">
        <v>19</v>
      </c>
      <c r="B79" s="3341"/>
      <c r="C79" s="818" t="s">
        <v>652</v>
      </c>
      <c r="D79" s="818" t="s">
        <v>653</v>
      </c>
      <c r="E79" s="895">
        <v>0.5</v>
      </c>
      <c r="F79" s="882">
        <v>80</v>
      </c>
    </row>
    <row r="80" spans="1:6" s="878" customFormat="1" ht="36">
      <c r="A80" s="882">
        <v>20</v>
      </c>
      <c r="B80" s="3341"/>
      <c r="C80" s="818" t="s">
        <v>654</v>
      </c>
      <c r="D80" s="818" t="s">
        <v>655</v>
      </c>
      <c r="E80" s="895">
        <v>0.2</v>
      </c>
      <c r="F80" s="882">
        <v>30</v>
      </c>
    </row>
    <row r="81" spans="1:6" s="878" customFormat="1" ht="36">
      <c r="A81" s="882">
        <v>21</v>
      </c>
      <c r="B81" s="3341"/>
      <c r="C81" s="818" t="s">
        <v>656</v>
      </c>
      <c r="D81" s="818" t="s">
        <v>657</v>
      </c>
      <c r="E81" s="895">
        <v>0.2</v>
      </c>
      <c r="F81" s="882">
        <v>30</v>
      </c>
    </row>
    <row r="82" spans="1:6" s="878" customFormat="1" ht="48">
      <c r="A82" s="882">
        <v>22</v>
      </c>
      <c r="B82" s="3341"/>
      <c r="C82" s="818" t="s">
        <v>658</v>
      </c>
      <c r="D82" s="818" t="s">
        <v>659</v>
      </c>
      <c r="E82" s="895">
        <v>0.2</v>
      </c>
      <c r="F82" s="882">
        <v>30</v>
      </c>
    </row>
    <row r="83" spans="1:6" s="878" customFormat="1" ht="48">
      <c r="A83" s="882">
        <v>23</v>
      </c>
      <c r="B83" s="3341"/>
      <c r="C83" s="818" t="s">
        <v>660</v>
      </c>
      <c r="D83" s="818" t="s">
        <v>661</v>
      </c>
      <c r="E83" s="895">
        <v>0.2</v>
      </c>
      <c r="F83" s="882">
        <v>30</v>
      </c>
    </row>
    <row r="84" spans="1:6" s="878" customFormat="1" ht="36">
      <c r="A84" s="882">
        <v>24</v>
      </c>
      <c r="B84" s="3341"/>
      <c r="C84" s="818" t="s">
        <v>662</v>
      </c>
      <c r="D84" s="818" t="s">
        <v>663</v>
      </c>
      <c r="E84" s="895">
        <v>0.2</v>
      </c>
      <c r="F84" s="882">
        <v>30</v>
      </c>
    </row>
    <row r="85" spans="1:6" s="878" customFormat="1" ht="36">
      <c r="A85" s="882">
        <v>25</v>
      </c>
      <c r="B85" s="3341"/>
      <c r="C85" s="818" t="s">
        <v>664</v>
      </c>
      <c r="D85" s="818" t="s">
        <v>665</v>
      </c>
      <c r="E85" s="895">
        <v>0.5</v>
      </c>
      <c r="F85" s="882">
        <v>80</v>
      </c>
    </row>
    <row r="86" spans="1:6" s="878" customFormat="1" ht="36">
      <c r="A86" s="882">
        <v>26</v>
      </c>
      <c r="B86" s="3341"/>
      <c r="C86" s="818" t="s">
        <v>666</v>
      </c>
      <c r="D86" s="818" t="s">
        <v>667</v>
      </c>
      <c r="E86" s="895">
        <v>0.2</v>
      </c>
      <c r="F86" s="882">
        <v>30</v>
      </c>
    </row>
    <row r="87" spans="1:6" s="878" customFormat="1" ht="36">
      <c r="A87" s="882">
        <v>27</v>
      </c>
      <c r="B87" s="3341"/>
      <c r="C87" s="818" t="s">
        <v>668</v>
      </c>
      <c r="D87" s="818" t="s">
        <v>669</v>
      </c>
      <c r="E87" s="895">
        <v>0.2</v>
      </c>
      <c r="F87" s="882">
        <v>30</v>
      </c>
    </row>
    <row r="88" spans="1:6" s="878" customFormat="1" ht="36">
      <c r="A88" s="882">
        <v>28</v>
      </c>
      <c r="B88" s="3341"/>
      <c r="C88" s="818" t="s">
        <v>670</v>
      </c>
      <c r="D88" s="818" t="s">
        <v>671</v>
      </c>
      <c r="E88" s="895">
        <v>0.2</v>
      </c>
      <c r="F88" s="882">
        <v>30</v>
      </c>
    </row>
    <row r="89" spans="1:6" s="878" customFormat="1" ht="24">
      <c r="A89" s="882">
        <v>29</v>
      </c>
      <c r="B89" s="3341"/>
      <c r="C89" s="818" t="s">
        <v>672</v>
      </c>
      <c r="D89" s="818" t="s">
        <v>673</v>
      </c>
      <c r="E89" s="895">
        <v>0.2</v>
      </c>
      <c r="F89" s="882">
        <v>30</v>
      </c>
    </row>
    <row r="90" spans="1:6" s="878" customFormat="1" ht="24">
      <c r="A90" s="882">
        <v>30</v>
      </c>
      <c r="B90" s="3341"/>
      <c r="C90" s="818" t="s">
        <v>674</v>
      </c>
      <c r="D90" s="818" t="s">
        <v>675</v>
      </c>
      <c r="E90" s="895">
        <v>0.2</v>
      </c>
      <c r="F90" s="882">
        <v>30</v>
      </c>
    </row>
    <row r="91" spans="1:6" s="878" customFormat="1" ht="36">
      <c r="A91" s="882">
        <v>31</v>
      </c>
      <c r="B91" s="3341"/>
      <c r="C91" s="818" t="s">
        <v>676</v>
      </c>
      <c r="D91" s="818" t="s">
        <v>677</v>
      </c>
      <c r="E91" s="895">
        <v>0.2</v>
      </c>
      <c r="F91" s="882">
        <v>30</v>
      </c>
    </row>
    <row r="92" spans="1:6" s="878" customFormat="1" ht="24">
      <c r="A92" s="882">
        <v>32</v>
      </c>
      <c r="B92" s="3341" t="s">
        <v>678</v>
      </c>
      <c r="C92" s="882" t="s">
        <v>679</v>
      </c>
      <c r="D92" s="818" t="s">
        <v>680</v>
      </c>
      <c r="E92" s="895">
        <v>0.2</v>
      </c>
      <c r="F92" s="882">
        <v>30</v>
      </c>
    </row>
    <row r="93" spans="1:6" s="878" customFormat="1" ht="36">
      <c r="A93" s="882">
        <v>33</v>
      </c>
      <c r="B93" s="3341"/>
      <c r="C93" s="882" t="s">
        <v>681</v>
      </c>
      <c r="D93" s="818" t="s">
        <v>682</v>
      </c>
      <c r="E93" s="895">
        <v>0.2</v>
      </c>
      <c r="F93" s="882">
        <v>30</v>
      </c>
    </row>
    <row r="94" spans="1:6" s="878" customFormat="1" ht="48">
      <c r="A94" s="882">
        <v>34</v>
      </c>
      <c r="B94" s="3341"/>
      <c r="C94" s="882" t="s">
        <v>683</v>
      </c>
      <c r="D94" s="818" t="s">
        <v>684</v>
      </c>
      <c r="E94" s="895">
        <v>0.2</v>
      </c>
      <c r="F94" s="882">
        <v>30</v>
      </c>
    </row>
    <row r="95" spans="1:6" s="878" customFormat="1" ht="36">
      <c r="A95" s="882">
        <v>35</v>
      </c>
      <c r="B95" s="3341"/>
      <c r="C95" s="882" t="s">
        <v>685</v>
      </c>
      <c r="D95" s="818" t="s">
        <v>686</v>
      </c>
      <c r="E95" s="895">
        <v>0.2</v>
      </c>
      <c r="F95" s="882">
        <v>30</v>
      </c>
    </row>
    <row r="96" spans="1:6" s="878" customFormat="1" ht="48">
      <c r="A96" s="882">
        <v>36</v>
      </c>
      <c r="B96" s="3341"/>
      <c r="C96" s="818" t="s">
        <v>687</v>
      </c>
      <c r="D96" s="818" t="s">
        <v>688</v>
      </c>
      <c r="E96" s="895">
        <v>0.2</v>
      </c>
      <c r="F96" s="882">
        <v>30</v>
      </c>
    </row>
    <row r="97" spans="1:6" s="878" customFormat="1" ht="36">
      <c r="A97" s="882">
        <v>37</v>
      </c>
      <c r="B97" s="3341"/>
      <c r="C97" s="882" t="s">
        <v>689</v>
      </c>
      <c r="D97" s="818" t="s">
        <v>690</v>
      </c>
      <c r="E97" s="895">
        <v>0.2</v>
      </c>
      <c r="F97" s="882">
        <v>30</v>
      </c>
    </row>
    <row r="98" spans="1:6" s="878" customFormat="1" ht="36">
      <c r="A98" s="882">
        <v>38</v>
      </c>
      <c r="B98" s="3341"/>
      <c r="C98" s="882" t="s">
        <v>691</v>
      </c>
      <c r="D98" s="818" t="s">
        <v>692</v>
      </c>
      <c r="E98" s="895">
        <v>0.2</v>
      </c>
      <c r="F98" s="882">
        <v>30</v>
      </c>
    </row>
    <row r="99" spans="1:6" s="878" customFormat="1" ht="36">
      <c r="A99" s="882">
        <v>39</v>
      </c>
      <c r="B99" s="3341" t="s">
        <v>693</v>
      </c>
      <c r="C99" s="882" t="s">
        <v>694</v>
      </c>
      <c r="D99" s="818" t="s">
        <v>695</v>
      </c>
      <c r="E99" s="895">
        <v>0.3</v>
      </c>
      <c r="F99" s="882">
        <v>50</v>
      </c>
    </row>
    <row r="100" spans="1:6" s="878" customFormat="1" ht="24">
      <c r="A100" s="882">
        <v>40</v>
      </c>
      <c r="B100" s="3341"/>
      <c r="C100" s="882" t="s">
        <v>696</v>
      </c>
      <c r="D100" s="818" t="s">
        <v>697</v>
      </c>
      <c r="E100" s="895">
        <v>0.2</v>
      </c>
      <c r="F100" s="882">
        <v>30</v>
      </c>
    </row>
    <row r="101" spans="1:6" s="878" customFormat="1" ht="36">
      <c r="A101" s="882">
        <v>41</v>
      </c>
      <c r="B101" s="334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1" t="s">
        <v>708</v>
      </c>
      <c r="C105" s="882" t="s">
        <v>709</v>
      </c>
      <c r="D105" s="818" t="s">
        <v>710</v>
      </c>
      <c r="E105" s="895">
        <v>0.2</v>
      </c>
      <c r="F105" s="882">
        <v>30</v>
      </c>
    </row>
    <row r="106" spans="1:6" s="878" customFormat="1" ht="36">
      <c r="A106" s="882">
        <v>46</v>
      </c>
      <c r="B106" s="3341"/>
      <c r="C106" s="882" t="s">
        <v>711</v>
      </c>
      <c r="D106" s="818" t="s">
        <v>712</v>
      </c>
      <c r="E106" s="895">
        <v>0.2</v>
      </c>
      <c r="F106" s="882">
        <v>30</v>
      </c>
    </row>
    <row r="107" spans="1:6" s="878" customFormat="1" ht="36">
      <c r="A107" s="882">
        <v>47</v>
      </c>
      <c r="B107" s="3341" t="s">
        <v>713</v>
      </c>
      <c r="C107" s="882" t="s">
        <v>714</v>
      </c>
      <c r="D107" s="818" t="s">
        <v>715</v>
      </c>
      <c r="E107" s="895">
        <v>0.3</v>
      </c>
      <c r="F107" s="882">
        <v>50</v>
      </c>
    </row>
    <row r="108" spans="1:6" s="878" customFormat="1" ht="36">
      <c r="A108" s="882">
        <v>48</v>
      </c>
      <c r="B108" s="334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1" t="s">
        <v>724</v>
      </c>
      <c r="C111" s="882" t="s">
        <v>725</v>
      </c>
      <c r="D111" s="818" t="s">
        <v>726</v>
      </c>
      <c r="E111" s="895">
        <v>0.2</v>
      </c>
      <c r="F111" s="882">
        <v>30</v>
      </c>
    </row>
    <row r="112" spans="1:6" s="878" customFormat="1" ht="24">
      <c r="A112" s="882">
        <v>52</v>
      </c>
      <c r="B112" s="3341"/>
      <c r="C112" s="882" t="s">
        <v>727</v>
      </c>
      <c r="D112" s="818" t="s">
        <v>728</v>
      </c>
      <c r="E112" s="895">
        <v>0.2</v>
      </c>
      <c r="F112" s="882">
        <v>30</v>
      </c>
    </row>
    <row r="113" spans="1:6" s="878" customFormat="1" ht="24">
      <c r="A113" s="882">
        <v>53</v>
      </c>
      <c r="B113" s="334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1" t="s">
        <v>737</v>
      </c>
      <c r="C116" s="882" t="s">
        <v>738</v>
      </c>
      <c r="D116" s="818" t="s">
        <v>739</v>
      </c>
      <c r="E116" s="895">
        <v>0.2</v>
      </c>
      <c r="F116" s="882">
        <v>30</v>
      </c>
    </row>
    <row r="117" spans="1:6" ht="36">
      <c r="A117" s="882">
        <v>57</v>
      </c>
      <c r="B117" s="334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2.1312000000000002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4" t="s">
        <v>2995</v>
      </c>
      <c r="B2" s="2915">
        <f ca="1">SUMIF(B6:B13,"&lt;&gt;#ref!",B6:B13)</f>
        <v>4362</v>
      </c>
      <c r="C2" s="2914" t="s">
        <v>2996</v>
      </c>
      <c r="D2" s="2914" t="s">
        <v>2997</v>
      </c>
      <c r="E2" s="2915">
        <f ca="1">SUMIF(E6:E13,"&lt;&gt;#ref!",E6:E13)</f>
        <v>2864.5</v>
      </c>
    </row>
    <row r="3" spans="1:5" ht="15.75">
      <c r="A3" s="2914" t="s">
        <v>2998</v>
      </c>
      <c r="B3" s="2915">
        <f ca="1">ROUND(B2*10000/E2,0)</f>
        <v>15228</v>
      </c>
      <c r="C3" s="2914" t="s">
        <v>3004</v>
      </c>
      <c r="D3" s="2916"/>
      <c r="E3" s="2916"/>
    </row>
    <row r="4" spans="1:5" ht="15.75">
      <c r="A4" s="2917"/>
      <c r="B4" s="2916"/>
      <c r="C4" s="2916"/>
      <c r="D4" s="2916"/>
      <c r="E4" s="2916"/>
    </row>
    <row r="5" spans="1:5" ht="28.5">
      <c r="A5" s="2918" t="s">
        <v>2999</v>
      </c>
      <c r="B5" s="2914" t="s">
        <v>3000</v>
      </c>
      <c r="C5" s="2915"/>
      <c r="D5" s="2916"/>
      <c r="E5" s="2914" t="s">
        <v>3001</v>
      </c>
    </row>
    <row r="6" spans="1:5" ht="15.75">
      <c r="A6" s="2919" t="s">
        <v>3002</v>
      </c>
      <c r="B6" s="2915">
        <f ca="1">SUMIF(INDIRECT("'"&amp;A6&amp;"'"&amp;"!A:A"),"总价",INDIRECT("'"&amp;A6&amp;"'"&amp;"!B:B"))</f>
        <v>4362</v>
      </c>
      <c r="C6" s="2914" t="s">
        <v>2996</v>
      </c>
      <c r="D6" s="2916"/>
      <c r="E6" s="2580">
        <f ca="1">SUMIF(INDIRECT("'"&amp;A6&amp;"'"&amp;"!C:C"),"建筑面积",INDIRECT("'"&amp;A6&amp;"'"&amp;"!D:D"))</f>
        <v>2864.5</v>
      </c>
    </row>
    <row r="7" spans="1:5" ht="15.75">
      <c r="A7" s="2919"/>
      <c r="B7" s="2915" t="e">
        <f ca="1">SUMIF(INDIRECT("'"&amp;A7&amp;"'"&amp;"!A:A"),"总价",INDIRECT("'"&amp;A7&amp;"'"&amp;"!B:B"))</f>
        <v>#REF!</v>
      </c>
      <c r="C7" s="2914" t="s">
        <v>2996</v>
      </c>
      <c r="D7" s="2916"/>
      <c r="E7" s="2580" t="e">
        <f t="shared" ref="E7:E13" ca="1" si="0">SUMIF(INDIRECT("'"&amp;A7&amp;"'"&amp;"!C:C"),"建筑面积",INDIRECT("'"&amp;A7&amp;"'"&amp;"!D:D"))</f>
        <v>#REF!</v>
      </c>
    </row>
    <row r="8" spans="1:5" ht="15.75">
      <c r="A8" s="2919"/>
      <c r="B8" s="2915" t="e">
        <f t="shared" ref="B8:B13" ca="1" si="1">SUMIF(INDIRECT("'"&amp;A8&amp;"'"&amp;"!A:A"),"总价",INDIRECT("'"&amp;A8&amp;"'"&amp;"!B:B"))</f>
        <v>#REF!</v>
      </c>
      <c r="C8" s="2914" t="s">
        <v>2996</v>
      </c>
      <c r="D8" s="2916"/>
      <c r="E8" s="2580" t="e">
        <f t="shared" ca="1" si="0"/>
        <v>#REF!</v>
      </c>
    </row>
    <row r="9" spans="1:5" ht="15.75">
      <c r="A9" s="2919"/>
      <c r="B9" s="2915" t="e">
        <f t="shared" ca="1" si="1"/>
        <v>#REF!</v>
      </c>
      <c r="C9" s="2914" t="s">
        <v>2996</v>
      </c>
      <c r="D9" s="2916"/>
      <c r="E9" s="2580" t="e">
        <f t="shared" ca="1" si="0"/>
        <v>#REF!</v>
      </c>
    </row>
    <row r="10" spans="1:5" ht="15.75">
      <c r="A10" s="2919"/>
      <c r="B10" s="2915" t="e">
        <f t="shared" ca="1" si="1"/>
        <v>#REF!</v>
      </c>
      <c r="C10" s="2914" t="s">
        <v>2996</v>
      </c>
      <c r="D10" s="2916"/>
      <c r="E10" s="2580" t="e">
        <f t="shared" ca="1" si="0"/>
        <v>#REF!</v>
      </c>
    </row>
    <row r="11" spans="1:5" ht="15.75">
      <c r="A11" s="2919"/>
      <c r="B11" s="2915" t="e">
        <f t="shared" ca="1" si="1"/>
        <v>#REF!</v>
      </c>
      <c r="C11" s="2914" t="s">
        <v>2996</v>
      </c>
      <c r="D11" s="2916"/>
      <c r="E11" s="2580" t="e">
        <f t="shared" ca="1" si="0"/>
        <v>#REF!</v>
      </c>
    </row>
    <row r="12" spans="1:5" ht="15.75">
      <c r="A12" s="2919"/>
      <c r="B12" s="2915" t="e">
        <f t="shared" ca="1" si="1"/>
        <v>#REF!</v>
      </c>
      <c r="C12" s="2914" t="s">
        <v>2996</v>
      </c>
      <c r="D12" s="2916"/>
      <c r="E12" s="2580" t="e">
        <f t="shared" ca="1" si="0"/>
        <v>#REF!</v>
      </c>
    </row>
    <row r="13" spans="1:5" ht="15.75">
      <c r="A13" s="2919"/>
      <c r="B13" s="2915" t="e">
        <f t="shared" ca="1" si="1"/>
        <v>#REF!</v>
      </c>
      <c r="C13" s="2914" t="s">
        <v>2996</v>
      </c>
      <c r="D13" s="2916"/>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9.5" thickBot="1">
      <c r="A4" s="1964"/>
      <c r="B4" s="3018" t="s">
        <v>1630</v>
      </c>
      <c r="C4" s="3018"/>
      <c r="D4" s="3018"/>
      <c r="E4" s="1964"/>
    </row>
    <row r="5" spans="1:5" ht="16.5" thickTop="1">
      <c r="A5" s="1962"/>
      <c r="B5" s="3016" t="s">
        <v>1622</v>
      </c>
      <c r="C5" s="1965" t="s">
        <v>1623</v>
      </c>
      <c r="D5" s="1043">
        <f ca="1">结果表!H101</f>
        <v>10349</v>
      </c>
      <c r="E5" s="1962"/>
    </row>
    <row r="6" spans="1:5" ht="15.75">
      <c r="A6" s="1962"/>
      <c r="B6" s="3016"/>
      <c r="C6" s="1965" t="s">
        <v>1624</v>
      </c>
      <c r="D6" s="1043" t="str">
        <f ca="1">NUMBERSTRING(INT(D5*10000),2)&amp;"元整"</f>
        <v>壹亿零叁佰肆拾玖万元整</v>
      </c>
      <c r="E6" s="1962"/>
    </row>
    <row r="7" spans="1:5" ht="15.75">
      <c r="A7" s="1962"/>
      <c r="B7" s="3021"/>
      <c r="C7" s="1966" t="s">
        <v>1625</v>
      </c>
      <c r="D7" s="1044">
        <f ca="1">结果表!H102</f>
        <v>36128</v>
      </c>
      <c r="E7" s="1962"/>
    </row>
    <row r="8" spans="1:5" ht="15.75">
      <c r="A8" s="1962"/>
      <c r="B8" s="3022" t="str">
        <f>结果表!E103</f>
        <v>2.估价师知悉的法定优先受偿款</v>
      </c>
      <c r="C8" s="1967" t="s">
        <v>1626</v>
      </c>
      <c r="D8" s="1044">
        <f>结果表!H103</f>
        <v>0</v>
      </c>
      <c r="E8" s="1962"/>
    </row>
    <row r="9" spans="1:5" ht="15.75">
      <c r="A9" s="1962"/>
      <c r="B9" s="302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15" t="str">
        <f>结果表!E107</f>
        <v>3.房地产抵押价值</v>
      </c>
      <c r="C13" s="1970" t="s">
        <v>1623</v>
      </c>
      <c r="D13" s="1046">
        <f ca="1">结果表!H107</f>
        <v>10349</v>
      </c>
      <c r="E13" s="1962"/>
    </row>
    <row r="14" spans="1:5" ht="15.75">
      <c r="A14" s="1962"/>
      <c r="B14" s="3016"/>
      <c r="C14" s="1965" t="s">
        <v>1624</v>
      </c>
      <c r="D14" s="1043" t="str">
        <f ca="1">NUMBERSTRING(INT(D13*10000),2)&amp;"元整"</f>
        <v>壹亿零叁佰肆拾玖万元整</v>
      </c>
      <c r="E14" s="1962"/>
    </row>
    <row r="15" spans="1:5" ht="15">
      <c r="A15" s="1962"/>
      <c r="B15" s="3021"/>
      <c r="C15" s="1966" t="s">
        <v>1634</v>
      </c>
      <c r="D15" s="1055">
        <f ca="1">结果表!H108</f>
        <v>36128</v>
      </c>
      <c r="E15" s="1962"/>
    </row>
    <row r="16" spans="1:5" ht="15">
      <c r="A16" s="1962"/>
      <c r="B16" s="3022" t="str">
        <f>结果表!E109</f>
        <v>——</v>
      </c>
      <c r="C16" s="1970" t="s">
        <v>1635</v>
      </c>
      <c r="D16" s="1971" t="str">
        <f>结果表!H109</f>
        <v>——</v>
      </c>
      <c r="E16" s="1962"/>
    </row>
    <row r="17" spans="1:5" ht="15.75">
      <c r="A17" s="1962"/>
      <c r="B17" s="3023"/>
      <c r="C17" s="1965" t="s">
        <v>1636</v>
      </c>
      <c r="D17" s="1043" t="e">
        <f>NUMBERSTRING(INT(D16*10000),2)&amp;"元整"</f>
        <v>#VALUE!</v>
      </c>
      <c r="E17" s="1962"/>
    </row>
    <row r="18" spans="1:5" ht="15">
      <c r="A18" s="1962"/>
      <c r="B18" s="3024"/>
      <c r="C18" s="1966" t="s">
        <v>1625</v>
      </c>
      <c r="D18" s="1055" t="str">
        <f>结果表!H110</f>
        <v>——</v>
      </c>
      <c r="E18" s="1962"/>
    </row>
    <row r="19" spans="1:5" ht="15.75">
      <c r="A19" s="1962"/>
      <c r="B19" s="3015" t="str">
        <f>结果表!E111</f>
        <v>——</v>
      </c>
      <c r="C19" s="1970" t="s">
        <v>1623</v>
      </c>
      <c r="D19" s="1044" t="str">
        <f>结果表!H111</f>
        <v>——</v>
      </c>
      <c r="E19" s="1962"/>
    </row>
    <row r="20" spans="1:5" ht="15.75">
      <c r="A20" s="1962"/>
      <c r="B20" s="3016"/>
      <c r="C20" s="1965" t="s">
        <v>1636</v>
      </c>
      <c r="D20" s="1043" t="e">
        <f>NUMBERSTRING(INT(D19*10000),2)&amp;"元整"</f>
        <v>#VALUE!</v>
      </c>
      <c r="E20" s="1962"/>
    </row>
    <row r="21" spans="1:5" ht="15.75" thickBot="1">
      <c r="A21" s="1962"/>
      <c r="B21" s="301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7" t="s">
        <v>1150</v>
      </c>
      <c r="C1" s="3347"/>
      <c r="D1" s="3347"/>
      <c r="E1" s="3347"/>
      <c r="F1" s="3347"/>
      <c r="G1" s="3343" t="s">
        <v>1151</v>
      </c>
      <c r="H1" s="3343"/>
      <c r="I1" s="3343"/>
      <c r="J1" s="3343"/>
      <c r="K1" s="3343"/>
      <c r="L1" s="3343"/>
      <c r="N1" s="3343" t="s">
        <v>1152</v>
      </c>
      <c r="O1" s="3343"/>
      <c r="P1" s="3343"/>
      <c r="Q1" s="3343"/>
      <c r="R1" s="1449"/>
      <c r="S1" s="3343" t="s">
        <v>1153</v>
      </c>
      <c r="T1" s="3343"/>
      <c r="U1" s="3343"/>
      <c r="V1" s="3343"/>
      <c r="X1" s="3342" t="s">
        <v>1154</v>
      </c>
      <c r="Y1" s="3343"/>
      <c r="Z1" s="3343"/>
      <c r="AA1" s="3343"/>
      <c r="AB1" s="3343"/>
      <c r="AD1" s="3342" t="s">
        <v>1155</v>
      </c>
      <c r="AE1" s="3343"/>
      <c r="AF1" s="3343"/>
      <c r="AG1" s="3343"/>
      <c r="AH1" s="334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3038</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3">
        <v>2018</v>
      </c>
      <c r="H5" s="1733">
        <v>2</v>
      </c>
      <c r="I5" s="2928">
        <v>0</v>
      </c>
      <c r="J5" s="2928">
        <v>0</v>
      </c>
      <c r="K5" s="2928">
        <v>0</v>
      </c>
      <c r="L5" s="2928">
        <v>0</v>
      </c>
      <c r="N5" s="1470">
        <f t="shared" ref="N5" si="7">I5/100</f>
        <v>0</v>
      </c>
      <c r="O5" s="1470">
        <f t="shared" ref="O5" si="8">J5/100</f>
        <v>0</v>
      </c>
      <c r="P5" s="1470">
        <f t="shared" ref="P5" si="9">K5/100</f>
        <v>0</v>
      </c>
      <c r="Q5" s="1470">
        <f t="shared" ref="Q5" si="10">L5/100</f>
        <v>0</v>
      </c>
      <c r="R5" s="1735"/>
      <c r="S5" s="1736"/>
      <c r="T5" s="1735"/>
      <c r="U5" s="1735"/>
      <c r="V5" s="1735"/>
      <c r="W5" s="2932" t="s">
        <v>3039</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3037</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4">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3034</v>
      </c>
      <c r="B7" s="1472">
        <v>439</v>
      </c>
      <c r="C7" s="1472">
        <v>327</v>
      </c>
      <c r="D7" s="1472">
        <f>C7</f>
        <v>327</v>
      </c>
      <c r="E7" s="1472">
        <v>627</v>
      </c>
      <c r="F7" s="1473">
        <v>283</v>
      </c>
      <c r="G7" s="2930">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3035</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6"/>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5"/>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6"/>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48">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45"/>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45"/>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46"/>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44">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45"/>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45"/>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46"/>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44">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45"/>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45"/>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46"/>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49">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50"/>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50"/>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51"/>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44">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45"/>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45"/>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46"/>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44">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45">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45">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46">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44">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45">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45">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46">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44">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45">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45">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46">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44">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45">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45">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46">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44">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45">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45">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46">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44">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45">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45">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46">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44">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45">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45">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46">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44">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45">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45">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46">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44">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45">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45">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46">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44">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45">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45">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46">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53" t="s">
        <v>3006</v>
      </c>
      <c r="D1" s="3354"/>
      <c r="E1" s="3354"/>
      <c r="F1" s="3354"/>
      <c r="G1" s="3354"/>
      <c r="H1" s="3354"/>
      <c r="I1" s="3354"/>
      <c r="J1" s="3354"/>
      <c r="K1" s="3354"/>
      <c r="L1" s="3354"/>
      <c r="M1" s="3354"/>
      <c r="N1" s="3354"/>
      <c r="O1" s="3354"/>
      <c r="P1" s="3354"/>
      <c r="Q1" s="3354"/>
      <c r="R1" s="3354"/>
      <c r="S1" s="3355"/>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3015</v>
      </c>
      <c r="B17" s="2921"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3" t="s">
        <v>3019</v>
      </c>
      <c r="E20" s="1796"/>
      <c r="F20" s="1207" t="e">
        <f ca="1">SUMIF(INDIRECT("'"&amp;H20&amp;"'"&amp;"!A:A"),"承租人权益价值",INDIRECT("'"&amp;H20&amp;"'"&amp;"!c:c"))</f>
        <v>#REF!</v>
      </c>
      <c r="G20" s="1207" t="s">
        <v>3020</v>
      </c>
      <c r="H20" s="2924"/>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6" t="s">
        <v>33</v>
      </c>
      <c r="D22" s="3137"/>
      <c r="E22" s="3137"/>
      <c r="F22" s="3137"/>
      <c r="G22" s="3137"/>
      <c r="H22" s="3137"/>
      <c r="I22" s="3137"/>
      <c r="J22" s="3137"/>
      <c r="K22" s="3137"/>
      <c r="L22" s="3137"/>
      <c r="M22" s="3137"/>
      <c r="N22" s="3137"/>
      <c r="O22" s="3137"/>
      <c r="P22" s="3137"/>
      <c r="Q22" s="335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31641</v>
      </c>
      <c r="C2" s="2" t="s">
        <v>133</v>
      </c>
      <c r="D2" s="243"/>
      <c r="E2" s="243"/>
      <c r="F2" s="243"/>
      <c r="G2" s="243"/>
    </row>
    <row r="3" spans="1:7" s="244" customFormat="1" ht="18" customHeight="1" thickBot="1">
      <c r="A3" s="247" t="s">
        <v>85</v>
      </c>
      <c r="B3" s="248">
        <f ca="1">ROUND(B2*10000/'数据-汇总表'!E3,0)</f>
        <v>110459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57</v>
      </c>
      <c r="D10" s="1035">
        <f>'数据-汇总表'!E6</f>
        <v>2864.5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57</v>
      </c>
      <c r="D19" s="1039">
        <f>'数据-汇总表'!E3</f>
        <v>2864.5</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1505</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5270</v>
      </c>
      <c r="D27" s="279">
        <f>C29</f>
        <v>7.4999999999999997E-3</v>
      </c>
      <c r="E27" s="280" t="s">
        <v>126</v>
      </c>
      <c r="F27" s="290">
        <f>'数据-取费表'!Q16</f>
        <v>0.25</v>
      </c>
      <c r="G27" s="291" t="s">
        <v>1069</v>
      </c>
    </row>
    <row r="28" spans="1:7" s="258" customFormat="1" ht="13.5" customHeight="1">
      <c r="A28" s="954" t="s">
        <v>794</v>
      </c>
      <c r="B28" s="292" t="s">
        <v>1062</v>
      </c>
      <c r="C28" s="293">
        <f>ROUND((C5+C19+C20)*F27*'数据-取费表'!B21/'数据-取费表'!B20,0)</f>
        <v>5270</v>
      </c>
      <c r="D28" s="279"/>
      <c r="E28" s="280"/>
      <c r="F28" s="290"/>
      <c r="G28" s="291"/>
    </row>
    <row r="29" spans="1:7" s="258" customFormat="1" ht="13.5" customHeight="1">
      <c r="A29" s="954" t="s">
        <v>792</v>
      </c>
      <c r="B29" s="292" t="s">
        <v>1063</v>
      </c>
      <c r="C29" s="282">
        <f>ROUND(C21*F27*'数据-取费表'!B21/'数据-取费表'!B20,4)</f>
        <v>7.4999999999999997E-3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30675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955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859</v>
      </c>
      <c r="D34" s="261"/>
      <c r="E34" s="264"/>
      <c r="F34" s="301">
        <f>IF('数据-取费表'!B24=0,1,'数据-取费表'!N16)</f>
        <v>1</v>
      </c>
      <c r="G34" s="263" t="s">
        <v>116</v>
      </c>
    </row>
    <row r="35" spans="1:7" ht="13.5" customHeight="1">
      <c r="A35" s="954" t="s">
        <v>796</v>
      </c>
      <c r="B35" s="259" t="s">
        <v>60</v>
      </c>
      <c r="C35" s="264">
        <f>ROUND(C34*F35,0)</f>
        <v>26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57</v>
      </c>
      <c r="D37" s="261">
        <f>'数据-汇总表'!E3</f>
        <v>2864.5</v>
      </c>
      <c r="E37" s="293">
        <f>'数据-取费表'!B35</f>
        <v>200</v>
      </c>
      <c r="F37" s="303"/>
      <c r="G37" s="305" t="s">
        <v>119</v>
      </c>
    </row>
    <row r="38" spans="1:7" ht="13.5" customHeight="1">
      <c r="A38" s="954" t="s">
        <v>799</v>
      </c>
      <c r="B38" s="259" t="s">
        <v>63</v>
      </c>
      <c r="C38" s="264">
        <f>ROUND(C34*F38,0)</f>
        <v>13</v>
      </c>
      <c r="D38" s="264"/>
      <c r="E38" s="264"/>
      <c r="F38" s="303">
        <f>'数据-取费表'!B36</f>
        <v>1.4999999999999999E-2</v>
      </c>
      <c r="G38" s="263" t="s">
        <v>117</v>
      </c>
    </row>
    <row r="39" spans="1:7" s="258" customFormat="1" ht="13.5" customHeight="1">
      <c r="A39" s="951" t="s">
        <v>783</v>
      </c>
      <c r="B39" s="254" t="s">
        <v>104</v>
      </c>
      <c r="C39" s="276">
        <f>ROUND(C33*F20,0)</f>
        <v>19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35</v>
      </c>
      <c r="D41" s="279">
        <f ca="1">C44</f>
        <v>1.1000000000000001E-3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34</v>
      </c>
      <c r="D42" s="282"/>
      <c r="E42" s="282"/>
      <c r="F42" s="283"/>
      <c r="G42" s="3221" t="s">
        <v>121</v>
      </c>
    </row>
    <row r="43" spans="1:7" ht="13.5" customHeight="1">
      <c r="A43" s="954" t="s">
        <v>792</v>
      </c>
      <c r="B43" s="259" t="s">
        <v>1064</v>
      </c>
      <c r="C43" s="282">
        <f ca="1">ROUND(IF('数据-取费表'!B22&lt;=1,C39*F22*'数据-取费表'!B21/2,C39*(POWER((1+F22),'数据-取费表'!B21/2)-1)),0)</f>
        <v>1</v>
      </c>
      <c r="D43" s="282"/>
      <c r="E43" s="282"/>
      <c r="F43" s="283"/>
      <c r="G43" s="3222"/>
    </row>
    <row r="44" spans="1:7" ht="13.5" customHeight="1">
      <c r="A44" s="954" t="s">
        <v>793</v>
      </c>
      <c r="B44" s="259" t="s">
        <v>1066</v>
      </c>
      <c r="C44" s="282">
        <f ca="1">ROUND(IF('数据-取费表'!B22&lt;=1,C40*F22*'数据-取费表'!B21/2,C40*(POWER((1+F22),'数据-取费表'!B21/2)-1)),4)</f>
        <v>1.1000000000000001E-3</v>
      </c>
      <c r="D44" s="282"/>
      <c r="E44" s="282"/>
      <c r="F44" s="283"/>
      <c r="G44" s="3223"/>
    </row>
    <row r="45" spans="1:7" s="258" customFormat="1" ht="13.5" customHeight="1">
      <c r="A45" s="951" t="s">
        <v>786</v>
      </c>
      <c r="B45" s="288" t="s">
        <v>112</v>
      </c>
      <c r="C45" s="289">
        <f>C46</f>
        <v>244</v>
      </c>
      <c r="D45" s="279">
        <f>C47</f>
        <v>7.4999999999999997E-3</v>
      </c>
      <c r="E45" s="280" t="s">
        <v>129</v>
      </c>
      <c r="F45" s="290"/>
      <c r="G45" s="291" t="s">
        <v>1072</v>
      </c>
    </row>
    <row r="46" spans="1:7" s="258" customFormat="1" ht="13.5" customHeight="1">
      <c r="A46" s="954" t="s">
        <v>794</v>
      </c>
      <c r="B46" s="292" t="s">
        <v>1065</v>
      </c>
      <c r="C46" s="293">
        <f>ROUND((C33+C39)*F27,0)</f>
        <v>244</v>
      </c>
      <c r="D46" s="307"/>
      <c r="E46" s="280"/>
      <c r="F46" s="290"/>
      <c r="G46" s="291"/>
    </row>
    <row r="47" spans="1:7" s="258" customFormat="1" ht="13.5" customHeight="1">
      <c r="A47" s="954" t="s">
        <v>792</v>
      </c>
      <c r="B47" s="292" t="s">
        <v>1067</v>
      </c>
      <c r="C47" s="282">
        <f>ROUND(C40*F27,4)</f>
        <v>7.4999999999999997E-3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1380</v>
      </c>
      <c r="D49" s="276"/>
      <c r="E49" s="276"/>
      <c r="F49" s="308"/>
      <c r="G49" s="278" t="s">
        <v>1073</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966</v>
      </c>
      <c r="D51" s="276"/>
      <c r="E51" s="276"/>
      <c r="F51" s="308"/>
      <c r="G51" s="278" t="s">
        <v>64</v>
      </c>
    </row>
    <row r="52" spans="1:7" s="252" customFormat="1" ht="16.5" thickBot="1">
      <c r="A52" s="309" t="s">
        <v>65</v>
      </c>
      <c r="B52" s="310"/>
      <c r="C52" s="311">
        <f ca="1">C31+C51</f>
        <v>31641</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6" t="s">
        <v>156</v>
      </c>
      <c r="B1" s="3356"/>
      <c r="C1" s="3356"/>
      <c r="D1" s="3356"/>
      <c r="E1" s="3356"/>
      <c r="F1" s="335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7" t="s">
        <v>169</v>
      </c>
      <c r="B2" s="3357"/>
      <c r="C2" s="3357"/>
      <c r="D2" s="3357"/>
      <c r="E2" s="3357"/>
      <c r="F2" s="335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6" t="s">
        <v>871</v>
      </c>
      <c r="B1" s="335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43244</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1641</v>
      </c>
      <c r="B2" s="3026" t="s">
        <v>1642</v>
      </c>
      <c r="C2" s="3026" t="s">
        <v>1643</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7"/>
      <c r="B3" s="3027"/>
      <c r="C3" s="3027"/>
      <c r="D3" s="1047" t="s">
        <v>1638</v>
      </c>
      <c r="E3" s="1047" t="s">
        <v>1644</v>
      </c>
      <c r="F3" s="1047" t="s">
        <v>1638</v>
      </c>
      <c r="G3" s="1047" t="s">
        <v>1639</v>
      </c>
      <c r="H3" s="1047" t="s">
        <v>1638</v>
      </c>
      <c r="I3" s="1047" t="s">
        <v>1639</v>
      </c>
    </row>
    <row r="4" spans="1:9" ht="30">
      <c r="A4" s="1976" t="str">
        <f>项目基本情况!S2</f>
        <v>北京市朝阳区郎家园6号[3-2]1幢等7幢房地产</v>
      </c>
      <c r="B4" s="1047">
        <f>项目基本情况!C17</f>
        <v>2864.5</v>
      </c>
      <c r="C4" s="1047">
        <f>项目基本情况!C18</f>
        <v>4638.1000000000004</v>
      </c>
      <c r="D4" s="1047">
        <f ca="1">结果表!D118</f>
        <v>9055</v>
      </c>
      <c r="E4" s="1047">
        <f ca="1">结果表!E118</f>
        <v>31611</v>
      </c>
      <c r="F4" s="1047">
        <f ca="1">结果表!F118</f>
        <v>1294</v>
      </c>
      <c r="G4" s="1047">
        <f ca="1">结果表!G118</f>
        <v>4517</v>
      </c>
      <c r="H4" s="1047">
        <f ca="1">结果表!H118</f>
        <v>10349</v>
      </c>
      <c r="I4" s="1047">
        <f ca="1">结果表!I118</f>
        <v>36128</v>
      </c>
    </row>
    <row r="5" spans="1:9" ht="30" customHeight="1">
      <c r="A5" s="3027" t="s">
        <v>1640</v>
      </c>
      <c r="B5" s="3027"/>
      <c r="C5" s="3027"/>
      <c r="D5" s="3028" t="str">
        <f ca="1">结果表!D119</f>
        <v>玖仟零伍拾伍万元整</v>
      </c>
      <c r="E5" s="3028"/>
      <c r="F5" s="3028" t="str">
        <f ca="1">结果表!F119</f>
        <v>壹仟贰佰玖拾肆万元整</v>
      </c>
      <c r="G5" s="3028"/>
      <c r="H5" s="3028" t="str">
        <f ca="1">结果表!H119</f>
        <v>壹亿零叁佰肆拾玖万元整</v>
      </c>
      <c r="I5" s="3028"/>
    </row>
    <row r="6" spans="1:9" ht="15.75">
      <c r="A6" s="3029" t="str">
        <f>结果表!A120</f>
        <v>估价师知悉的法定优先受偿款</v>
      </c>
      <c r="B6" s="3029"/>
      <c r="C6" s="3029"/>
      <c r="D6" s="3029">
        <f>结果表!D120</f>
        <v>0</v>
      </c>
      <c r="E6" s="3029"/>
      <c r="F6" s="3029"/>
      <c r="G6" s="3029"/>
      <c r="H6" s="3029"/>
      <c r="I6" s="3029"/>
    </row>
    <row r="7" spans="1:9" ht="15">
      <c r="A7" s="3027" t="s">
        <v>1640</v>
      </c>
      <c r="B7" s="3027"/>
      <c r="C7" s="3027"/>
      <c r="D7" s="3030" t="str">
        <f>结果表!D121</f>
        <v>零元整</v>
      </c>
      <c r="E7" s="3031"/>
      <c r="F7" s="3031"/>
      <c r="G7" s="3031"/>
      <c r="H7" s="3031"/>
      <c r="I7" s="3032"/>
    </row>
    <row r="8" spans="1:9" ht="15.75">
      <c r="A8" s="3029" t="str">
        <f>结果表!A122</f>
        <v>房地产抵押价值</v>
      </c>
      <c r="B8" s="3029"/>
      <c r="C8" s="3029"/>
      <c r="D8" s="3029">
        <f ca="1">结果表!D122</f>
        <v>10349</v>
      </c>
      <c r="E8" s="3029"/>
      <c r="F8" s="3029"/>
      <c r="G8" s="3029"/>
      <c r="H8" s="3029"/>
      <c r="I8" s="3029"/>
    </row>
    <row r="9" spans="1:9" ht="15">
      <c r="A9" s="3027" t="s">
        <v>1640</v>
      </c>
      <c r="B9" s="3027"/>
      <c r="C9" s="3027"/>
      <c r="D9" s="3028" t="str">
        <f ca="1">结果表!D123</f>
        <v>壹亿零叁佰肆拾玖万元整</v>
      </c>
      <c r="E9" s="3028"/>
      <c r="F9" s="3028"/>
      <c r="G9" s="3028"/>
      <c r="H9" s="3028"/>
      <c r="I9" s="3028"/>
    </row>
    <row r="10" spans="1:9" ht="15.75">
      <c r="A10" s="3029" t="str">
        <f>结果表!A124</f>
        <v/>
      </c>
      <c r="B10" s="3029"/>
      <c r="C10" s="3029"/>
      <c r="D10" s="3029" t="str">
        <f>结果表!D124</f>
        <v>——</v>
      </c>
      <c r="E10" s="3029"/>
      <c r="F10" s="3029"/>
      <c r="G10" s="3029"/>
      <c r="H10" s="3029"/>
      <c r="I10" s="3029"/>
    </row>
    <row r="11" spans="1:9" ht="15">
      <c r="A11" s="3027" t="s">
        <v>1640</v>
      </c>
      <c r="B11" s="3027"/>
      <c r="C11" s="3027"/>
      <c r="D11" s="3028" t="e">
        <f>结果表!D125</f>
        <v>#VALUE!</v>
      </c>
      <c r="E11" s="3028"/>
      <c r="F11" s="3028"/>
      <c r="G11" s="3028"/>
      <c r="H11" s="3028"/>
      <c r="I11" s="3028"/>
    </row>
    <row r="12" spans="1:9" ht="15.75">
      <c r="A12" s="3029" t="str">
        <f>结果表!A126</f>
        <v/>
      </c>
      <c r="B12" s="3029"/>
      <c r="C12" s="3029"/>
      <c r="D12" s="3029" t="str">
        <f>结果表!D126</f>
        <v>——</v>
      </c>
      <c r="E12" s="3029"/>
      <c r="F12" s="3029"/>
      <c r="G12" s="3029"/>
      <c r="H12" s="3029"/>
      <c r="I12" s="3029"/>
    </row>
    <row r="13" spans="1:9" ht="15.75" thickBot="1">
      <c r="A13" s="3033" t="s">
        <v>1640</v>
      </c>
      <c r="B13" s="3033"/>
      <c r="C13" s="3033"/>
      <c r="D13" s="3034" t="e">
        <f>结果表!D127</f>
        <v>#VALUE!</v>
      </c>
      <c r="E13" s="3034"/>
      <c r="F13" s="3034"/>
      <c r="G13" s="3034"/>
      <c r="H13" s="3034"/>
      <c r="I13" s="3034"/>
    </row>
    <row r="14" spans="1:9" ht="15" thickTop="1">
      <c r="A14" s="3035" t="s">
        <v>1645</v>
      </c>
      <c r="B14" s="3035"/>
      <c r="C14" s="3035"/>
      <c r="D14" s="3035"/>
      <c r="E14" s="3035"/>
      <c r="F14" s="3035"/>
      <c r="G14" s="3035"/>
      <c r="H14" s="3035"/>
      <c r="I14" s="303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6" t="s">
        <v>1662</v>
      </c>
      <c r="B1" s="3036"/>
      <c r="C1" s="3036"/>
      <c r="D1" s="3036"/>
    </row>
    <row r="2" spans="1:4" ht="18">
      <c r="A2" s="3037" t="s">
        <v>1646</v>
      </c>
      <c r="B2" s="3037"/>
      <c r="C2" s="3037"/>
      <c r="D2" s="3037"/>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37" t="s">
        <v>1652</v>
      </c>
      <c r="B6" s="3037"/>
      <c r="C6" s="3037"/>
      <c r="D6" s="303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8" t="s">
        <v>1655</v>
      </c>
      <c r="B11" s="3039"/>
      <c r="C11" s="3039"/>
      <c r="D11" s="3039"/>
    </row>
    <row r="12" spans="1:4" ht="15.75">
      <c r="A12" s="3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9" t="str">
        <f>IF(项目基本情况!B8="抵押","4.本次评估估价师所知悉的法定优先受偿款情况说明如下：","——")</f>
        <v>4.本次评估估价师所知悉的法定优先受偿款情况说明如下：</v>
      </c>
      <c r="B14" s="3040"/>
      <c r="C14" s="3040"/>
      <c r="D14" s="3040"/>
    </row>
    <row r="15" spans="1:4" ht="42" customHeight="1">
      <c r="A15" s="3039"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9"/>
      <c r="C15" s="3039"/>
      <c r="D15" s="3039"/>
    </row>
    <row r="16" spans="1:4" ht="30" customHeight="1">
      <c r="A16" s="3042" t="s">
        <v>1656</v>
      </c>
      <c r="B16" s="3042"/>
      <c r="C16" s="3042"/>
      <c r="D16" s="3042"/>
    </row>
    <row r="17" spans="1:4" ht="144" customHeight="1">
      <c r="A17" s="3042" t="s">
        <v>1657</v>
      </c>
      <c r="B17" s="3042"/>
      <c r="C17" s="3042"/>
      <c r="D17" s="3042"/>
    </row>
    <row r="18" spans="1:4" ht="15.75" customHeight="1">
      <c r="A18" s="3039" t="str">
        <f>IF(项目基本情况!B8="抵押",结果表!K120,"——")</f>
        <v>故，本次评估不存在估价师知悉的法定优先受偿款</v>
      </c>
      <c r="B18" s="3039"/>
      <c r="C18" s="3039"/>
      <c r="D18" s="3039"/>
    </row>
    <row r="19" spans="1:4" ht="46.5" customHeight="1">
      <c r="A19" s="3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9"/>
      <c r="C19" s="3039"/>
      <c r="D19" s="3039"/>
    </row>
    <row r="20" spans="1:4" ht="57.75" customHeight="1">
      <c r="A20" s="3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9"/>
      <c r="C20" s="3039"/>
      <c r="D20" s="3039"/>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1658</v>
      </c>
      <c r="B22" s="3044"/>
      <c r="C22" s="3044"/>
      <c r="D22" s="304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41">
        <v>42551</v>
      </c>
      <c r="D31" s="30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50" t="s">
        <v>1669</v>
      </c>
      <c r="B15" s="3045" t="s">
        <v>136</v>
      </c>
      <c r="C15" s="3046"/>
    </row>
    <row r="16" spans="1:7" ht="13.5">
      <c r="A16" s="3051"/>
      <c r="B16" s="3045" t="s">
        <v>69</v>
      </c>
      <c r="C16" s="3046"/>
    </row>
    <row r="17" spans="1:3" ht="13.5">
      <c r="A17" s="3051"/>
      <c r="B17" s="3048" t="s">
        <v>1670</v>
      </c>
      <c r="C17" s="2003" t="s">
        <v>1669</v>
      </c>
    </row>
    <row r="18" spans="1:3" ht="13.5">
      <c r="A18" s="3051"/>
      <c r="B18" s="3048"/>
      <c r="C18" s="2003" t="s">
        <v>1671</v>
      </c>
    </row>
    <row r="19" spans="1:3" ht="13.5">
      <c r="A19" s="3051"/>
      <c r="B19" s="3048"/>
      <c r="C19" s="2003" t="s">
        <v>1672</v>
      </c>
    </row>
    <row r="20" spans="1:3" ht="13.5">
      <c r="A20" s="3052"/>
      <c r="B20" s="3047" t="s">
        <v>1673</v>
      </c>
      <c r="C20" s="3046"/>
    </row>
    <row r="21" spans="1:3" ht="13.5">
      <c r="A21" s="2004" t="s">
        <v>1674</v>
      </c>
      <c r="B21" s="2005"/>
      <c r="C21" s="2006"/>
    </row>
    <row r="22" spans="1:3" ht="13.5">
      <c r="A22" s="3049" t="s">
        <v>1675</v>
      </c>
      <c r="B22" s="3047" t="s">
        <v>1676</v>
      </c>
      <c r="C22" s="3046"/>
    </row>
    <row r="23" spans="1:3" ht="13.5">
      <c r="A23" s="3049"/>
      <c r="B23" s="3047" t="s">
        <v>1677</v>
      </c>
      <c r="C23" s="3046"/>
    </row>
    <row r="24" spans="1:3" ht="13.5">
      <c r="A24" s="3049"/>
      <c r="B24" s="3047" t="s">
        <v>1678</v>
      </c>
      <c r="C24" s="3046"/>
    </row>
    <row r="25" spans="1:3" ht="13.5">
      <c r="A25" s="3049"/>
      <c r="B25" s="3048" t="s">
        <v>1679</v>
      </c>
      <c r="C25" s="2003" t="s">
        <v>1680</v>
      </c>
    </row>
    <row r="26" spans="1:3" ht="13.5">
      <c r="A26" s="3049"/>
      <c r="B26" s="3048"/>
      <c r="C26" s="2003" t="s">
        <v>1681</v>
      </c>
    </row>
    <row r="27" spans="1:3" ht="13.5">
      <c r="A27" s="3049"/>
      <c r="B27" s="3048"/>
      <c r="C27" s="2003" t="s">
        <v>1682</v>
      </c>
    </row>
    <row r="28" spans="1:3" ht="13.5">
      <c r="A28" s="3049"/>
      <c r="B28" s="3048"/>
      <c r="C28" s="2003" t="s">
        <v>1683</v>
      </c>
    </row>
    <row r="29" spans="1:3" ht="13.5">
      <c r="A29" s="3049"/>
      <c r="B29" s="3048"/>
      <c r="C29" s="2003" t="s">
        <v>1684</v>
      </c>
    </row>
    <row r="30" spans="1:3" ht="13.5">
      <c r="A30" s="3049"/>
      <c r="B30" s="3048"/>
      <c r="C30" s="2003" t="s">
        <v>1685</v>
      </c>
    </row>
    <row r="31" spans="1:3" ht="13.5">
      <c r="A31" s="3049"/>
      <c r="B31" s="3048"/>
      <c r="C31" s="2003" t="s">
        <v>1686</v>
      </c>
    </row>
    <row r="32" spans="1:3" ht="13.5">
      <c r="A32" s="3049"/>
      <c r="B32" s="3048"/>
      <c r="C32" s="2003" t="s">
        <v>1687</v>
      </c>
    </row>
    <row r="33" spans="1:3" ht="13.5">
      <c r="A33" s="3049"/>
      <c r="B33" s="304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43250</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3045</v>
      </c>
      <c r="B12" s="1025">
        <v>1120110054</v>
      </c>
      <c r="C12" s="2945">
        <v>43937</v>
      </c>
      <c r="D12" s="1705" t="s">
        <v>3045</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53" t="s">
        <v>846</v>
      </c>
      <c r="B25" s="3053"/>
      <c r="C25" s="3053"/>
      <c r="D25" s="3053"/>
      <c r="E25" s="3053"/>
      <c r="F25" s="3053"/>
      <c r="G25" s="3053"/>
    </row>
    <row r="26" spans="1:7" s="1028" customFormat="1" ht="24" customHeight="1">
      <c r="A26" s="3054" t="s">
        <v>847</v>
      </c>
      <c r="B26" s="3054"/>
      <c r="C26" s="3055"/>
      <c r="D26" s="3056" t="s">
        <v>848</v>
      </c>
      <c r="E26" s="3054"/>
      <c r="F26" s="3054"/>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西</vt:lpstr>
      <vt:lpstr>数据-汇总表</vt:lpstr>
      <vt:lpstr>数据-取费表</vt:lpstr>
      <vt:lpstr>租约</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888</cp:lastModifiedBy>
  <cp:lastPrinted>2017-03-01T09:15:43Z</cp:lastPrinted>
  <dcterms:created xsi:type="dcterms:W3CDTF">2015-07-13T07:17:23Z</dcterms:created>
  <dcterms:modified xsi:type="dcterms:W3CDTF">2018-05-30T15:53:03Z</dcterms:modified>
</cp:coreProperties>
</file>