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海口询价\"/>
    </mc:Choice>
  </mc:AlternateContent>
  <xr:revisionPtr revIDLastSave="0" documentId="13_ncr:1_{E3F2F983-A81F-49ED-98C3-E6E831FA883F}" xr6:coauthVersionLast="45" xr6:coauthVersionMax="45" xr10:uidLastSave="{00000000-0000-0000-0000-000000000000}"/>
  <bookViews>
    <workbookView xWindow="-120" yWindow="-120" windowWidth="19440" windowHeight="15000" tabRatio="899" firstSheet="13"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面积表" sheetId="77" r:id="rId17"/>
    <sheet name="11期具体面积表" sheetId="78" r:id="rId18"/>
    <sheet name="系统读取表" sheetId="74" r:id="rId19"/>
    <sheet name="结果表" sheetId="9" r:id="rId20"/>
    <sheet name="成本法" sheetId="68" r:id="rId21"/>
    <sheet name="成本法 (元)" sheetId="69" state="hidden" r:id="rId22"/>
    <sheet name="土地比较法-住宅、综合" sheetId="39" state="hidden" r:id="rId23"/>
    <sheet name="土地案例" sheetId="79" r:id="rId24"/>
    <sheet name="假设开发法" sheetId="12"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11">'数据-基础表'!$A$1:$I$13</definedName>
    <definedName name="_xlnm.Print_Area" localSheetId="35">'土地比较法-工业'!$A$1:$K$61,'土地比较法-工业'!$A$64:$M$121</definedName>
    <definedName name="_xlnm.Print_Area" localSheetId="22">'土地比较法-住宅、综合'!$A$1:$K$66,'土地比较法-住宅、综合'!$A$69:$M$132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 i="78" l="1"/>
  <c r="G15" i="74" l="1"/>
  <c r="L6" i="1"/>
  <c r="F24" i="77" l="1"/>
  <c r="B23" i="77"/>
  <c r="B24" i="77"/>
  <c r="B8" i="77"/>
  <c r="B22" i="77"/>
  <c r="B21" i="77"/>
  <c r="B18" i="77"/>
  <c r="C19" i="77"/>
  <c r="B9" i="77"/>
  <c r="D9" i="77"/>
  <c r="E9" i="77"/>
  <c r="C9" i="77"/>
  <c r="F23" i="77"/>
  <c r="F22" i="77"/>
  <c r="F21" i="77"/>
  <c r="I13" i="3" l="1"/>
  <c r="F19" i="6" s="1"/>
  <c r="K9" i="78"/>
  <c r="A3" i="3" s="1"/>
  <c r="J483" i="78"/>
  <c r="D3" i="4"/>
  <c r="K7" i="78"/>
  <c r="K6" i="78"/>
  <c r="K500" i="78"/>
  <c r="H5" i="78"/>
  <c r="K513" i="78"/>
  <c r="L512" i="78"/>
  <c r="G513" i="78"/>
  <c r="C14" i="77"/>
  <c r="H512" i="78"/>
  <c r="H511" i="78"/>
  <c r="H510" i="78"/>
  <c r="H509" i="78"/>
  <c r="H508" i="78"/>
  <c r="H507" i="78"/>
  <c r="H506" i="78"/>
  <c r="H505" i="78"/>
  <c r="H504" i="78"/>
  <c r="H503" i="78"/>
  <c r="H502" i="78"/>
  <c r="H501" i="78"/>
  <c r="H500" i="78"/>
  <c r="H499" i="78"/>
  <c r="H498" i="78"/>
  <c r="H497" i="78"/>
  <c r="H496" i="78"/>
  <c r="H495" i="78"/>
  <c r="H494" i="78"/>
  <c r="H493" i="78"/>
  <c r="H492" i="78"/>
  <c r="H491" i="78"/>
  <c r="H490" i="78"/>
  <c r="H489" i="78"/>
  <c r="H488" i="78"/>
  <c r="H487" i="78"/>
  <c r="H486" i="78"/>
  <c r="H485" i="78"/>
  <c r="E485" i="78"/>
  <c r="E486" i="78" s="1"/>
  <c r="E487" i="78" s="1"/>
  <c r="E488" i="78" s="1"/>
  <c r="E489" i="78" s="1"/>
  <c r="E490" i="78" s="1"/>
  <c r="E491" i="78" s="1"/>
  <c r="E492" i="78" s="1"/>
  <c r="E493" i="78" s="1"/>
  <c r="E494" i="78" s="1"/>
  <c r="E495" i="78" s="1"/>
  <c r="E496" i="78" s="1"/>
  <c r="E497" i="78" s="1"/>
  <c r="E498" i="78" s="1"/>
  <c r="E499" i="78" s="1"/>
  <c r="E500" i="78" s="1"/>
  <c r="E501" i="78" s="1"/>
  <c r="E502" i="78" s="1"/>
  <c r="E503" i="78" s="1"/>
  <c r="E504" i="78" s="1"/>
  <c r="E505" i="78" s="1"/>
  <c r="E506" i="78" s="1"/>
  <c r="E507" i="78" s="1"/>
  <c r="E508" i="78" s="1"/>
  <c r="E509" i="78" s="1"/>
  <c r="E510" i="78" s="1"/>
  <c r="E511" i="78" s="1"/>
  <c r="E512" i="78" s="1"/>
  <c r="H484" i="78"/>
  <c r="H21" i="78"/>
  <c r="H23" i="78" s="1"/>
  <c r="H25" i="78" s="1"/>
  <c r="H27" i="78" s="1"/>
  <c r="H29" i="78" s="1"/>
  <c r="H31" i="78" s="1"/>
  <c r="H33" i="78" s="1"/>
  <c r="H35" i="78" s="1"/>
  <c r="H37" i="78" s="1"/>
  <c r="H39" i="78" s="1"/>
  <c r="H41" i="78" s="1"/>
  <c r="H43" i="78" s="1"/>
  <c r="H45" i="78" s="1"/>
  <c r="H19" i="78"/>
  <c r="H7" i="78"/>
  <c r="H9" i="78" s="1"/>
  <c r="F4" i="78"/>
  <c r="F5" i="78" s="1"/>
  <c r="F6" i="78" s="1"/>
  <c r="F7" i="78" s="1"/>
  <c r="F8" i="78" s="1"/>
  <c r="F9" i="78" s="1"/>
  <c r="F10" i="78" s="1"/>
  <c r="F11" i="78" s="1"/>
  <c r="F12" i="78" s="1"/>
  <c r="F13" i="78" s="1"/>
  <c r="F14" i="78" s="1"/>
  <c r="F15" i="78" s="1"/>
  <c r="F16" i="78" s="1"/>
  <c r="F17" i="78" s="1"/>
  <c r="F18" i="78" s="1"/>
  <c r="F19" i="78" s="1"/>
  <c r="F20" i="78" s="1"/>
  <c r="F21" i="78" s="1"/>
  <c r="F22" i="78" s="1"/>
  <c r="F23" i="78" s="1"/>
  <c r="F24" i="78" s="1"/>
  <c r="F25" i="78" s="1"/>
  <c r="F26" i="78" s="1"/>
  <c r="F27" i="78" s="1"/>
  <c r="F28" i="78" s="1"/>
  <c r="F29" i="78" s="1"/>
  <c r="F30" i="78" s="1"/>
  <c r="F31" i="78" s="1"/>
  <c r="F32" i="78" s="1"/>
  <c r="F33" i="78" s="1"/>
  <c r="F34" i="78" s="1"/>
  <c r="F35" i="78" s="1"/>
  <c r="F36" i="78" s="1"/>
  <c r="F37" i="78" s="1"/>
  <c r="F38" i="78" s="1"/>
  <c r="F39" i="78" s="1"/>
  <c r="F40" i="78" s="1"/>
  <c r="F41" i="78" s="1"/>
  <c r="F42" i="78" s="1"/>
  <c r="F43" i="78" s="1"/>
  <c r="F44" i="78" s="1"/>
  <c r="F45" i="78" s="1"/>
  <c r="F46" i="78" s="1"/>
  <c r="F47" i="78" s="1"/>
  <c r="F48" i="78" s="1"/>
  <c r="F49" i="78" s="1"/>
  <c r="F50" i="78" s="1"/>
  <c r="F51" i="78" s="1"/>
  <c r="F52" i="78" s="1"/>
  <c r="F53" i="78" s="1"/>
  <c r="F54" i="78" s="1"/>
  <c r="F55" i="78" s="1"/>
  <c r="F56" i="78" s="1"/>
  <c r="F57" i="78" s="1"/>
  <c r="F58" i="78" s="1"/>
  <c r="F59" i="78" s="1"/>
  <c r="F60" i="78" s="1"/>
  <c r="F61" i="78" s="1"/>
  <c r="F62" i="78" s="1"/>
  <c r="F63" i="78" s="1"/>
  <c r="F64" i="78" s="1"/>
  <c r="F65" i="78" s="1"/>
  <c r="F66" i="78" s="1"/>
  <c r="F67" i="78" s="1"/>
  <c r="F68" i="78" s="1"/>
  <c r="F69" i="78" s="1"/>
  <c r="F70" i="78" s="1"/>
  <c r="F71" i="78" s="1"/>
  <c r="F72" i="78" s="1"/>
  <c r="F73" i="78" s="1"/>
  <c r="F74" i="78" s="1"/>
  <c r="F75" i="78" s="1"/>
  <c r="F76" i="78" s="1"/>
  <c r="F77" i="78" s="1"/>
  <c r="F78" i="78" s="1"/>
  <c r="F79" i="78" s="1"/>
  <c r="F80" i="78" s="1"/>
  <c r="F81" i="78" s="1"/>
  <c r="F82" i="78" s="1"/>
  <c r="F83" i="78" s="1"/>
  <c r="F84" i="78" s="1"/>
  <c r="F85" i="78" s="1"/>
  <c r="F86" i="78" s="1"/>
  <c r="F87" i="78" s="1"/>
  <c r="F88" i="78" s="1"/>
  <c r="F89" i="78" s="1"/>
  <c r="F90" i="78" s="1"/>
  <c r="F91" i="78" s="1"/>
  <c r="F92" i="78" s="1"/>
  <c r="F93" i="78" s="1"/>
  <c r="F94" i="78" s="1"/>
  <c r="F95" i="78" s="1"/>
  <c r="F96" i="78" s="1"/>
  <c r="F97" i="78" s="1"/>
  <c r="F98" i="78" s="1"/>
  <c r="F99" i="78" s="1"/>
  <c r="F100" i="78" s="1"/>
  <c r="F101" i="78" s="1"/>
  <c r="F102" i="78" s="1"/>
  <c r="F103" i="78" s="1"/>
  <c r="F104" i="78" s="1"/>
  <c r="F105" i="78" s="1"/>
  <c r="F106" i="78" s="1"/>
  <c r="F107" i="78" s="1"/>
  <c r="F108" i="78" s="1"/>
  <c r="F109" i="78" s="1"/>
  <c r="F110" i="78" s="1"/>
  <c r="F111" i="78" s="1"/>
  <c r="F112" i="78" s="1"/>
  <c r="F113" i="78" s="1"/>
  <c r="F114" i="78" s="1"/>
  <c r="F115" i="78" s="1"/>
  <c r="F116" i="78" s="1"/>
  <c r="F117" i="78" s="1"/>
  <c r="F118" i="78" s="1"/>
  <c r="F119" i="78" s="1"/>
  <c r="F120" i="78" s="1"/>
  <c r="F121" i="78" s="1"/>
  <c r="F122" i="78" s="1"/>
  <c r="F123" i="78" s="1"/>
  <c r="F124" i="78" s="1"/>
  <c r="F125" i="78" s="1"/>
  <c r="F126" i="78" s="1"/>
  <c r="F127" i="78" s="1"/>
  <c r="F128" i="78" s="1"/>
  <c r="F129" i="78" s="1"/>
  <c r="F130" i="78" s="1"/>
  <c r="F131" i="78" s="1"/>
  <c r="F132" i="78" s="1"/>
  <c r="F133" i="78" s="1"/>
  <c r="F134" i="78" s="1"/>
  <c r="F135" i="78" s="1"/>
  <c r="F136" i="78" s="1"/>
  <c r="F137" i="78" s="1"/>
  <c r="F138" i="78" s="1"/>
  <c r="F139" i="78" s="1"/>
  <c r="F140" i="78" s="1"/>
  <c r="F141" i="78" s="1"/>
  <c r="F142" i="78" s="1"/>
  <c r="F143" i="78" s="1"/>
  <c r="F144" i="78" s="1"/>
  <c r="F145" i="78" s="1"/>
  <c r="F146" i="78" s="1"/>
  <c r="F147" i="78" s="1"/>
  <c r="F148" i="78" s="1"/>
  <c r="F149" i="78" s="1"/>
  <c r="F150" i="78" s="1"/>
  <c r="F151" i="78" s="1"/>
  <c r="F152" i="78" s="1"/>
  <c r="F153" i="78" s="1"/>
  <c r="F154" i="78" s="1"/>
  <c r="F155" i="78" s="1"/>
  <c r="F156" i="78" s="1"/>
  <c r="F157" i="78" s="1"/>
  <c r="F158" i="78" s="1"/>
  <c r="F159" i="78" s="1"/>
  <c r="F160" i="78" s="1"/>
  <c r="F161" i="78" s="1"/>
  <c r="F162" i="78" s="1"/>
  <c r="F163" i="78" s="1"/>
  <c r="F164" i="78" s="1"/>
  <c r="F165" i="78" s="1"/>
  <c r="F166" i="78" s="1"/>
  <c r="F167" i="78" s="1"/>
  <c r="F168" i="78" s="1"/>
  <c r="F169" i="78" s="1"/>
  <c r="F170" i="78" s="1"/>
  <c r="F171" i="78" s="1"/>
  <c r="F172" i="78" s="1"/>
  <c r="F173" i="78" s="1"/>
  <c r="F174" i="78" s="1"/>
  <c r="F175" i="78" s="1"/>
  <c r="F176" i="78" s="1"/>
  <c r="F177" i="78" s="1"/>
  <c r="F178" i="78" s="1"/>
  <c r="F179" i="78" s="1"/>
  <c r="F180" i="78" s="1"/>
  <c r="F181" i="78" s="1"/>
  <c r="F182" i="78" s="1"/>
  <c r="F183" i="78" s="1"/>
  <c r="F184" i="78" s="1"/>
  <c r="F185" i="78" s="1"/>
  <c r="F186" i="78" s="1"/>
  <c r="F187" i="78" s="1"/>
  <c r="F188" i="78" s="1"/>
  <c r="F189" i="78" s="1"/>
  <c r="F190" i="78" s="1"/>
  <c r="F191" i="78" s="1"/>
  <c r="F192" i="78" s="1"/>
  <c r="F193" i="78" s="1"/>
  <c r="F194" i="78" s="1"/>
  <c r="F195" i="78" s="1"/>
  <c r="F196" i="78" s="1"/>
  <c r="F197" i="78" s="1"/>
  <c r="F198" i="78" s="1"/>
  <c r="F199" i="78" s="1"/>
  <c r="F200" i="78" s="1"/>
  <c r="F201" i="78" s="1"/>
  <c r="F202" i="78" s="1"/>
  <c r="F203" i="78" s="1"/>
  <c r="F204" i="78" s="1"/>
  <c r="F205" i="78" s="1"/>
  <c r="F206" i="78" s="1"/>
  <c r="F207" i="78" s="1"/>
  <c r="F208" i="78" s="1"/>
  <c r="F209" i="78" s="1"/>
  <c r="F210" i="78" s="1"/>
  <c r="F211" i="78" s="1"/>
  <c r="F212" i="78" s="1"/>
  <c r="F213" i="78" s="1"/>
  <c r="F214" i="78" s="1"/>
  <c r="F215" i="78" s="1"/>
  <c r="F216" i="78" s="1"/>
  <c r="F217" i="78" s="1"/>
  <c r="F218" i="78" s="1"/>
  <c r="F219" i="78" s="1"/>
  <c r="F220" i="78" s="1"/>
  <c r="F221" i="78" s="1"/>
  <c r="F222" i="78" s="1"/>
  <c r="F223" i="78" s="1"/>
  <c r="F224" i="78" s="1"/>
  <c r="F225" i="78" s="1"/>
  <c r="F226" i="78" s="1"/>
  <c r="F227" i="78" s="1"/>
  <c r="F228" i="78" s="1"/>
  <c r="F229" i="78" s="1"/>
  <c r="F230" i="78" s="1"/>
  <c r="F231" i="78" s="1"/>
  <c r="F232" i="78" s="1"/>
  <c r="F233" i="78" s="1"/>
  <c r="F234" i="78" s="1"/>
  <c r="F235" i="78" s="1"/>
  <c r="F236" i="78" s="1"/>
  <c r="F237" i="78" s="1"/>
  <c r="F238" i="78" s="1"/>
  <c r="F239" i="78" s="1"/>
  <c r="F240" i="78" s="1"/>
  <c r="F241" i="78" s="1"/>
  <c r="F242" i="78" s="1"/>
  <c r="F243" i="78" s="1"/>
  <c r="F244" i="78" s="1"/>
  <c r="F245" i="78" s="1"/>
  <c r="F246" i="78" s="1"/>
  <c r="F247" i="78" s="1"/>
  <c r="F248" i="78" s="1"/>
  <c r="F249" i="78" s="1"/>
  <c r="F250" i="78" s="1"/>
  <c r="F251" i="78" s="1"/>
  <c r="F252" i="78" s="1"/>
  <c r="F253" i="78" s="1"/>
  <c r="F254" i="78" s="1"/>
  <c r="F255" i="78" s="1"/>
  <c r="F256" i="78" s="1"/>
  <c r="F257" i="78" s="1"/>
  <c r="F258" i="78" s="1"/>
  <c r="F259" i="78" s="1"/>
  <c r="F260" i="78" s="1"/>
  <c r="F261" i="78" s="1"/>
  <c r="F262" i="78" s="1"/>
  <c r="F263" i="78" s="1"/>
  <c r="F264" i="78" s="1"/>
  <c r="F265" i="78" s="1"/>
  <c r="F266" i="78" s="1"/>
  <c r="F267" i="78" s="1"/>
  <c r="F268" i="78" s="1"/>
  <c r="F269" i="78" s="1"/>
  <c r="F270" i="78" s="1"/>
  <c r="F271" i="78" s="1"/>
  <c r="F272" i="78" s="1"/>
  <c r="F273" i="78" s="1"/>
  <c r="F274" i="78" s="1"/>
  <c r="F275" i="78" s="1"/>
  <c r="F276" i="78" s="1"/>
  <c r="F277" i="78" s="1"/>
  <c r="F278" i="78" s="1"/>
  <c r="F279" i="78" s="1"/>
  <c r="F280" i="78" s="1"/>
  <c r="F281" i="78" s="1"/>
  <c r="F282" i="78" s="1"/>
  <c r="F283" i="78" s="1"/>
  <c r="F284" i="78" s="1"/>
  <c r="F285" i="78" s="1"/>
  <c r="F286" i="78" s="1"/>
  <c r="F287" i="78" s="1"/>
  <c r="F288" i="78" s="1"/>
  <c r="F289" i="78" s="1"/>
  <c r="F290" i="78" s="1"/>
  <c r="F291" i="78" s="1"/>
  <c r="F292" i="78" s="1"/>
  <c r="F293" i="78" s="1"/>
  <c r="F294" i="78" s="1"/>
  <c r="F295" i="78" s="1"/>
  <c r="F296" i="78" s="1"/>
  <c r="F297" i="78" s="1"/>
  <c r="F298" i="78" s="1"/>
  <c r="F299" i="78" s="1"/>
  <c r="F300" i="78" s="1"/>
  <c r="F301" i="78" s="1"/>
  <c r="F302" i="78" s="1"/>
  <c r="F303" i="78" s="1"/>
  <c r="F304" i="78" s="1"/>
  <c r="F305" i="78" s="1"/>
  <c r="F306" i="78" s="1"/>
  <c r="F307" i="78" s="1"/>
  <c r="F308" i="78" s="1"/>
  <c r="F309" i="78" s="1"/>
  <c r="F310" i="78" s="1"/>
  <c r="F311" i="78" s="1"/>
  <c r="F312" i="78" s="1"/>
  <c r="F313" i="78" s="1"/>
  <c r="F314" i="78" s="1"/>
  <c r="F315" i="78" s="1"/>
  <c r="F316" i="78" s="1"/>
  <c r="F317" i="78" s="1"/>
  <c r="F318" i="78" s="1"/>
  <c r="F319" i="78" s="1"/>
  <c r="F320" i="78" s="1"/>
  <c r="F321" i="78" s="1"/>
  <c r="F322" i="78" s="1"/>
  <c r="F323" i="78" s="1"/>
  <c r="F324" i="78" s="1"/>
  <c r="F325" i="78" s="1"/>
  <c r="F326" i="78" s="1"/>
  <c r="F327" i="78" s="1"/>
  <c r="F328" i="78" s="1"/>
  <c r="F329" i="78" s="1"/>
  <c r="F330" i="78" s="1"/>
  <c r="F331" i="78" s="1"/>
  <c r="F332" i="78" s="1"/>
  <c r="F333" i="78" s="1"/>
  <c r="F334" i="78" s="1"/>
  <c r="F335" i="78" s="1"/>
  <c r="F336" i="78" s="1"/>
  <c r="F337" i="78" s="1"/>
  <c r="F338" i="78" s="1"/>
  <c r="F339" i="78" s="1"/>
  <c r="F340" i="78" s="1"/>
  <c r="F341" i="78" s="1"/>
  <c r="F342" i="78" s="1"/>
  <c r="F343" i="78" s="1"/>
  <c r="F344" i="78" s="1"/>
  <c r="F345" i="78" s="1"/>
  <c r="F346" i="78" s="1"/>
  <c r="F347" i="78" s="1"/>
  <c r="F348" i="78" s="1"/>
  <c r="F349" i="78" s="1"/>
  <c r="F350" i="78" s="1"/>
  <c r="F351" i="78" s="1"/>
  <c r="F352" i="78" s="1"/>
  <c r="F353" i="78" s="1"/>
  <c r="F354" i="78" s="1"/>
  <c r="F355" i="78" s="1"/>
  <c r="F356" i="78" s="1"/>
  <c r="F357" i="78" s="1"/>
  <c r="F358" i="78" s="1"/>
  <c r="F359" i="78" s="1"/>
  <c r="F360" i="78" s="1"/>
  <c r="F361" i="78" s="1"/>
  <c r="F362" i="78" s="1"/>
  <c r="F363" i="78" s="1"/>
  <c r="F364" i="78" s="1"/>
  <c r="F365" i="78" s="1"/>
  <c r="F366" i="78" s="1"/>
  <c r="F367" i="78" s="1"/>
  <c r="F368" i="78" s="1"/>
  <c r="F369" i="78" s="1"/>
  <c r="F370" i="78" s="1"/>
  <c r="F371" i="78" s="1"/>
  <c r="F372" i="78" s="1"/>
  <c r="F373" i="78" s="1"/>
  <c r="F374" i="78" s="1"/>
  <c r="F375" i="78" s="1"/>
  <c r="F376" i="78" s="1"/>
  <c r="F377" i="78" s="1"/>
  <c r="F378" i="78" s="1"/>
  <c r="F379" i="78" s="1"/>
  <c r="F380" i="78" s="1"/>
  <c r="F381" i="78" s="1"/>
  <c r="F382" i="78" s="1"/>
  <c r="F383" i="78" s="1"/>
  <c r="F384" i="78" s="1"/>
  <c r="F385" i="78" s="1"/>
  <c r="F386" i="78" s="1"/>
  <c r="F387" i="78" s="1"/>
  <c r="F388" i="78" s="1"/>
  <c r="F389" i="78" s="1"/>
  <c r="F390" i="78" s="1"/>
  <c r="F391" i="78" s="1"/>
  <c r="F392" i="78" s="1"/>
  <c r="F393" i="78" s="1"/>
  <c r="F394" i="78" s="1"/>
  <c r="F395" i="78" s="1"/>
  <c r="F396" i="78" s="1"/>
  <c r="F397" i="78" s="1"/>
  <c r="F398" i="78" s="1"/>
  <c r="F399" i="78" s="1"/>
  <c r="F400" i="78" s="1"/>
  <c r="F401" i="78" s="1"/>
  <c r="F402" i="78" s="1"/>
  <c r="F403" i="78" s="1"/>
  <c r="F404" i="78" s="1"/>
  <c r="F405" i="78" s="1"/>
  <c r="F406" i="78" s="1"/>
  <c r="F407" i="78" s="1"/>
  <c r="F408" i="78" s="1"/>
  <c r="F409" i="78" s="1"/>
  <c r="F410" i="78" s="1"/>
  <c r="F411" i="78" s="1"/>
  <c r="F412" i="78" s="1"/>
  <c r="F413" i="78" s="1"/>
  <c r="F414" i="78" s="1"/>
  <c r="F415" i="78" s="1"/>
  <c r="F416" i="78" s="1"/>
  <c r="F417" i="78" s="1"/>
  <c r="F418" i="78" s="1"/>
  <c r="F419" i="78" s="1"/>
  <c r="F420" i="78" s="1"/>
  <c r="F421" i="78" s="1"/>
  <c r="F422" i="78" s="1"/>
  <c r="F423" i="78" s="1"/>
  <c r="F424" i="78" s="1"/>
  <c r="F425" i="78" s="1"/>
  <c r="F426" i="78" s="1"/>
  <c r="F427" i="78" s="1"/>
  <c r="F428" i="78" s="1"/>
  <c r="F429" i="78" s="1"/>
  <c r="F430" i="78" s="1"/>
  <c r="F431" i="78" s="1"/>
  <c r="F432" i="78" s="1"/>
  <c r="F433" i="78" s="1"/>
  <c r="F434" i="78" s="1"/>
  <c r="F435" i="78" s="1"/>
  <c r="F436" i="78" s="1"/>
  <c r="F437" i="78" s="1"/>
  <c r="F438" i="78" s="1"/>
  <c r="F439" i="78" s="1"/>
  <c r="F440" i="78" s="1"/>
  <c r="F441" i="78" s="1"/>
  <c r="F442" i="78" s="1"/>
  <c r="F443" i="78" s="1"/>
  <c r="F444" i="78" s="1"/>
  <c r="F445" i="78" s="1"/>
  <c r="F446" i="78" s="1"/>
  <c r="F447" i="78" s="1"/>
  <c r="F448" i="78" s="1"/>
  <c r="F449" i="78" s="1"/>
  <c r="F450" i="78" s="1"/>
  <c r="F451" i="78" s="1"/>
  <c r="F452" i="78" s="1"/>
  <c r="F453" i="78" s="1"/>
  <c r="F454" i="78" s="1"/>
  <c r="F455" i="78" s="1"/>
  <c r="F456" i="78" s="1"/>
  <c r="F457" i="78" s="1"/>
  <c r="F458" i="78" s="1"/>
  <c r="F459" i="78" s="1"/>
  <c r="F460" i="78" s="1"/>
  <c r="F461" i="78" s="1"/>
  <c r="F462" i="78" s="1"/>
  <c r="F463" i="78" s="1"/>
  <c r="F464" i="78" s="1"/>
  <c r="F465" i="78" s="1"/>
  <c r="F466" i="78" s="1"/>
  <c r="F467" i="78" s="1"/>
  <c r="F468" i="78" s="1"/>
  <c r="F469" i="78" s="1"/>
  <c r="F470" i="78" s="1"/>
  <c r="F471" i="78" s="1"/>
  <c r="F472" i="78" s="1"/>
  <c r="F473" i="78" s="1"/>
  <c r="F474" i="78" s="1"/>
  <c r="F475" i="78" s="1"/>
  <c r="F476" i="78" s="1"/>
  <c r="F477" i="78" s="1"/>
  <c r="F478" i="78" s="1"/>
  <c r="F479" i="78" s="1"/>
  <c r="F480" i="78" s="1"/>
  <c r="F481" i="78" s="1"/>
  <c r="F482" i="78" s="1"/>
  <c r="F483" i="78" s="1"/>
  <c r="F484" i="78" s="1"/>
  <c r="F485" i="78" s="1"/>
  <c r="F486" i="78" s="1"/>
  <c r="F487" i="78" s="1"/>
  <c r="F488" i="78" s="1"/>
  <c r="F489" i="78" s="1"/>
  <c r="F490" i="78" s="1"/>
  <c r="F491" i="78" s="1"/>
  <c r="F492" i="78" s="1"/>
  <c r="F493" i="78" s="1"/>
  <c r="F494" i="78" s="1"/>
  <c r="F495" i="78" s="1"/>
  <c r="F496" i="78" s="1"/>
  <c r="F497" i="78" s="1"/>
  <c r="F498" i="78" s="1"/>
  <c r="F499" i="78" s="1"/>
  <c r="F500" i="78" s="1"/>
  <c r="F501" i="78" s="1"/>
  <c r="F502" i="78" s="1"/>
  <c r="F503" i="78" s="1"/>
  <c r="F504" i="78" s="1"/>
  <c r="F505" i="78" s="1"/>
  <c r="F506" i="78" s="1"/>
  <c r="F507" i="78" s="1"/>
  <c r="F508" i="78" s="1"/>
  <c r="F509" i="78" s="1"/>
  <c r="F510" i="78" s="1"/>
  <c r="F511" i="78" s="1"/>
  <c r="F512" i="78" s="1"/>
  <c r="E4" i="78"/>
  <c r="E5" i="78" s="1"/>
  <c r="E6" i="78" s="1"/>
  <c r="E7" i="78" s="1"/>
  <c r="E8" i="78" s="1"/>
  <c r="E9" i="78" s="1"/>
  <c r="E10" i="78" s="1"/>
  <c r="E11" i="78" s="1"/>
  <c r="E12" i="78" s="1"/>
  <c r="E13" i="78" s="1"/>
  <c r="E14" i="78" s="1"/>
  <c r="E15" i="78" s="1"/>
  <c r="E16" i="78" s="1"/>
  <c r="E17" i="78" s="1"/>
  <c r="E18" i="78" s="1"/>
  <c r="E19" i="78" s="1"/>
  <c r="E20" i="78" s="1"/>
  <c r="E21" i="78" s="1"/>
  <c r="E22" i="78" s="1"/>
  <c r="E23" i="78" s="1"/>
  <c r="E24" i="78" s="1"/>
  <c r="E25" i="78" s="1"/>
  <c r="E26" i="78" s="1"/>
  <c r="E27" i="78" s="1"/>
  <c r="E28" i="78" s="1"/>
  <c r="E29" i="78" s="1"/>
  <c r="E30" i="78" s="1"/>
  <c r="E31" i="78" s="1"/>
  <c r="E32" i="78" s="1"/>
  <c r="E33" i="78" s="1"/>
  <c r="E34" i="78" s="1"/>
  <c r="E35" i="78" s="1"/>
  <c r="E36" i="78" s="1"/>
  <c r="E37" i="78" s="1"/>
  <c r="E38" i="78" s="1"/>
  <c r="E39" i="78" s="1"/>
  <c r="E40" i="78" s="1"/>
  <c r="E41" i="78" s="1"/>
  <c r="E42" i="78" s="1"/>
  <c r="E43" i="78" s="1"/>
  <c r="E44" i="78" s="1"/>
  <c r="E45" i="78" s="1"/>
  <c r="E46" i="78" s="1"/>
  <c r="E47" i="78" s="1"/>
  <c r="E48" i="78" s="1"/>
  <c r="E49" i="78" s="1"/>
  <c r="E50" i="78" s="1"/>
  <c r="E51" i="78" s="1"/>
  <c r="E52" i="78" s="1"/>
  <c r="E53" i="78" s="1"/>
  <c r="E54" i="78" s="1"/>
  <c r="E55" i="78" s="1"/>
  <c r="E56" i="78" s="1"/>
  <c r="E57" i="78" s="1"/>
  <c r="E58" i="78" s="1"/>
  <c r="E59" i="78" s="1"/>
  <c r="E60" i="78" s="1"/>
  <c r="E61" i="78" s="1"/>
  <c r="E62" i="78" s="1"/>
  <c r="E63" i="78" s="1"/>
  <c r="E64" i="78" s="1"/>
  <c r="E65" i="78" s="1"/>
  <c r="E66" i="78" s="1"/>
  <c r="E67" i="78" s="1"/>
  <c r="E68" i="78" s="1"/>
  <c r="E69" i="78" s="1"/>
  <c r="E70" i="78" s="1"/>
  <c r="E71" i="78" s="1"/>
  <c r="E72" i="78" s="1"/>
  <c r="E73" i="78" s="1"/>
  <c r="E74" i="78" s="1"/>
  <c r="E75" i="78" s="1"/>
  <c r="E76" i="78" s="1"/>
  <c r="E77" i="78" s="1"/>
  <c r="E78" i="78" s="1"/>
  <c r="E79" i="78" s="1"/>
  <c r="E80" i="78" s="1"/>
  <c r="E81" i="78" s="1"/>
  <c r="E82" i="78" s="1"/>
  <c r="E83" i="78" s="1"/>
  <c r="E84" i="78" s="1"/>
  <c r="E85" i="78" s="1"/>
  <c r="E86" i="78" s="1"/>
  <c r="E87" i="78" s="1"/>
  <c r="E88" i="78" s="1"/>
  <c r="E89" i="78" s="1"/>
  <c r="E90" i="78" s="1"/>
  <c r="E91" i="78" s="1"/>
  <c r="E92" i="78" s="1"/>
  <c r="E93" i="78" s="1"/>
  <c r="E94" i="78" s="1"/>
  <c r="E95" i="78" s="1"/>
  <c r="E96" i="78" s="1"/>
  <c r="E97" i="78" s="1"/>
  <c r="E98" i="78" s="1"/>
  <c r="E99" i="78" s="1"/>
  <c r="E100" i="78" s="1"/>
  <c r="E101" i="78" s="1"/>
  <c r="E102" i="78" s="1"/>
  <c r="E103" i="78" s="1"/>
  <c r="E104" i="78" s="1"/>
  <c r="E105" i="78" s="1"/>
  <c r="E106" i="78" s="1"/>
  <c r="E107" i="78" s="1"/>
  <c r="E108" i="78" s="1"/>
  <c r="E109" i="78" s="1"/>
  <c r="E110" i="78" s="1"/>
  <c r="E111" i="78" s="1"/>
  <c r="E112" i="78" s="1"/>
  <c r="E113" i="78" s="1"/>
  <c r="E114" i="78" s="1"/>
  <c r="E115" i="78" s="1"/>
  <c r="E116" i="78" s="1"/>
  <c r="E117" i="78" s="1"/>
  <c r="E118" i="78" s="1"/>
  <c r="E119" i="78" s="1"/>
  <c r="E120" i="78" s="1"/>
  <c r="E121" i="78" s="1"/>
  <c r="E122" i="78" s="1"/>
  <c r="E123" i="78" s="1"/>
  <c r="E124" i="78" s="1"/>
  <c r="E125" i="78" s="1"/>
  <c r="E126" i="78" s="1"/>
  <c r="E127" i="78" s="1"/>
  <c r="E128" i="78" s="1"/>
  <c r="E129" i="78" s="1"/>
  <c r="E130" i="78" s="1"/>
  <c r="E131" i="78" s="1"/>
  <c r="E132" i="78" s="1"/>
  <c r="E133" i="78" s="1"/>
  <c r="E134" i="78" s="1"/>
  <c r="E135" i="78" s="1"/>
  <c r="E136" i="78" s="1"/>
  <c r="E137" i="78" s="1"/>
  <c r="E138" i="78" s="1"/>
  <c r="E139" i="78" s="1"/>
  <c r="E140" i="78" s="1"/>
  <c r="E141" i="78" s="1"/>
  <c r="E142" i="78" s="1"/>
  <c r="E143" i="78" s="1"/>
  <c r="E144" i="78" s="1"/>
  <c r="E145" i="78" s="1"/>
  <c r="E146" i="78" s="1"/>
  <c r="E147" i="78" s="1"/>
  <c r="E148" i="78" s="1"/>
  <c r="E149" i="78" s="1"/>
  <c r="E150" i="78" s="1"/>
  <c r="E151" i="78" s="1"/>
  <c r="E152" i="78" s="1"/>
  <c r="E153" i="78" s="1"/>
  <c r="E154" i="78" s="1"/>
  <c r="E155" i="78" s="1"/>
  <c r="E156" i="78" s="1"/>
  <c r="E157" i="78" s="1"/>
  <c r="E158" i="78" s="1"/>
  <c r="E159" i="78" s="1"/>
  <c r="E160" i="78" s="1"/>
  <c r="E161" i="78" s="1"/>
  <c r="E162" i="78" s="1"/>
  <c r="E163" i="78" s="1"/>
  <c r="E164" i="78" s="1"/>
  <c r="E165" i="78" s="1"/>
  <c r="E166" i="78" s="1"/>
  <c r="E167" i="78" s="1"/>
  <c r="E168" i="78" s="1"/>
  <c r="E169" i="78" s="1"/>
  <c r="E170" i="78" s="1"/>
  <c r="E171" i="78" s="1"/>
  <c r="E172" i="78" s="1"/>
  <c r="E173" i="78" s="1"/>
  <c r="E174" i="78" s="1"/>
  <c r="E175" i="78" s="1"/>
  <c r="E176" i="78" s="1"/>
  <c r="E177" i="78" s="1"/>
  <c r="E178" i="78" s="1"/>
  <c r="E179" i="78" s="1"/>
  <c r="E180" i="78" s="1"/>
  <c r="E181" i="78" s="1"/>
  <c r="E182" i="78" s="1"/>
  <c r="E183" i="78" s="1"/>
  <c r="E184" i="78" s="1"/>
  <c r="E185" i="78" s="1"/>
  <c r="E186" i="78" s="1"/>
  <c r="E187" i="78" s="1"/>
  <c r="E188" i="78" s="1"/>
  <c r="E189" i="78" s="1"/>
  <c r="E190" i="78" s="1"/>
  <c r="E191" i="78" s="1"/>
  <c r="E192" i="78" s="1"/>
  <c r="E193" i="78" s="1"/>
  <c r="E194" i="78" s="1"/>
  <c r="E195" i="78" s="1"/>
  <c r="E196" i="78" s="1"/>
  <c r="E197" i="78" s="1"/>
  <c r="E198" i="78" s="1"/>
  <c r="E199" i="78" s="1"/>
  <c r="E200" i="78" s="1"/>
  <c r="E201" i="78" s="1"/>
  <c r="E202" i="78" s="1"/>
  <c r="E203" i="78" s="1"/>
  <c r="E204" i="78" s="1"/>
  <c r="E205" i="78" s="1"/>
  <c r="E206" i="78" s="1"/>
  <c r="E207" i="78" s="1"/>
  <c r="E208" i="78" s="1"/>
  <c r="E209" i="78" s="1"/>
  <c r="E210" i="78" s="1"/>
  <c r="E211" i="78" s="1"/>
  <c r="E212" i="78" s="1"/>
  <c r="E213" i="78" s="1"/>
  <c r="E214" i="78" s="1"/>
  <c r="E215" i="78" s="1"/>
  <c r="E216" i="78" s="1"/>
  <c r="E217" i="78" s="1"/>
  <c r="E218" i="78" s="1"/>
  <c r="E219" i="78" s="1"/>
  <c r="E220" i="78" s="1"/>
  <c r="E221" i="78" s="1"/>
  <c r="E222" i="78" s="1"/>
  <c r="E223" i="78" s="1"/>
  <c r="E224" i="78" s="1"/>
  <c r="E225" i="78" s="1"/>
  <c r="E226" i="78" s="1"/>
  <c r="E227" i="78" s="1"/>
  <c r="E228" i="78" s="1"/>
  <c r="E229" i="78" s="1"/>
  <c r="E230" i="78" s="1"/>
  <c r="E231" i="78" s="1"/>
  <c r="E232" i="78" s="1"/>
  <c r="E233" i="78" s="1"/>
  <c r="E234" i="78" s="1"/>
  <c r="E235" i="78" s="1"/>
  <c r="E236" i="78" s="1"/>
  <c r="E237" i="78" s="1"/>
  <c r="E238" i="78" s="1"/>
  <c r="E239" i="78" s="1"/>
  <c r="E240" i="78" s="1"/>
  <c r="E241" i="78" s="1"/>
  <c r="E242" i="78" s="1"/>
  <c r="E243" i="78" s="1"/>
  <c r="E244" i="78" s="1"/>
  <c r="E245" i="78" s="1"/>
  <c r="E246" i="78" s="1"/>
  <c r="E247" i="78" s="1"/>
  <c r="E248" i="78" s="1"/>
  <c r="E249" i="78" s="1"/>
  <c r="E250" i="78" s="1"/>
  <c r="E251" i="78" s="1"/>
  <c r="E252" i="78" s="1"/>
  <c r="E253" i="78" s="1"/>
  <c r="E254" i="78" s="1"/>
  <c r="E255" i="78" s="1"/>
  <c r="E256" i="78" s="1"/>
  <c r="E257" i="78" s="1"/>
  <c r="E258" i="78" s="1"/>
  <c r="E259" i="78" s="1"/>
  <c r="E260" i="78" s="1"/>
  <c r="E261" i="78" s="1"/>
  <c r="E262" i="78" s="1"/>
  <c r="E263" i="78" s="1"/>
  <c r="E264" i="78" s="1"/>
  <c r="E265" i="78" s="1"/>
  <c r="E266" i="78" s="1"/>
  <c r="E267" i="78" s="1"/>
  <c r="E268" i="78" s="1"/>
  <c r="E269" i="78" s="1"/>
  <c r="E270" i="78" s="1"/>
  <c r="E271" i="78" s="1"/>
  <c r="E272" i="78" s="1"/>
  <c r="E273" i="78" s="1"/>
  <c r="E274" i="78" s="1"/>
  <c r="E275" i="78" s="1"/>
  <c r="E276" i="78" s="1"/>
  <c r="E277" i="78" s="1"/>
  <c r="E278" i="78" s="1"/>
  <c r="E279" i="78" s="1"/>
  <c r="E280" i="78" s="1"/>
  <c r="E281" i="78" s="1"/>
  <c r="E282" i="78" s="1"/>
  <c r="E283" i="78" s="1"/>
  <c r="E284" i="78" s="1"/>
  <c r="E285" i="78" s="1"/>
  <c r="E286" i="78" s="1"/>
  <c r="E287" i="78" s="1"/>
  <c r="E288" i="78" s="1"/>
  <c r="E289" i="78" s="1"/>
  <c r="E290" i="78" s="1"/>
  <c r="E291" i="78" s="1"/>
  <c r="E292" i="78" s="1"/>
  <c r="E293" i="78" s="1"/>
  <c r="E294" i="78" s="1"/>
  <c r="E295" i="78" s="1"/>
  <c r="E296" i="78" s="1"/>
  <c r="E297" i="78" s="1"/>
  <c r="E298" i="78" s="1"/>
  <c r="E299" i="78" s="1"/>
  <c r="E300" i="78" s="1"/>
  <c r="E301" i="78" s="1"/>
  <c r="E302" i="78" s="1"/>
  <c r="E303" i="78" s="1"/>
  <c r="E304" i="78" s="1"/>
  <c r="E305" i="78" s="1"/>
  <c r="E306" i="78" s="1"/>
  <c r="E307" i="78" s="1"/>
  <c r="E308" i="78" s="1"/>
  <c r="E309" i="78" s="1"/>
  <c r="E310" i="78" s="1"/>
  <c r="E311" i="78" s="1"/>
  <c r="E312" i="78" s="1"/>
  <c r="E313" i="78" s="1"/>
  <c r="E314" i="78" s="1"/>
  <c r="E315" i="78" s="1"/>
  <c r="E316" i="78" s="1"/>
  <c r="E317" i="78" s="1"/>
  <c r="E318" i="78" s="1"/>
  <c r="E319" i="78" s="1"/>
  <c r="E320" i="78" s="1"/>
  <c r="E321" i="78" s="1"/>
  <c r="E322" i="78" s="1"/>
  <c r="E323" i="78" s="1"/>
  <c r="E324" i="78" s="1"/>
  <c r="E325" i="78" s="1"/>
  <c r="E326" i="78" s="1"/>
  <c r="E327" i="78" s="1"/>
  <c r="E328" i="78" s="1"/>
  <c r="E329" i="78" s="1"/>
  <c r="E330" i="78" s="1"/>
  <c r="E331" i="78" s="1"/>
  <c r="E332" i="78" s="1"/>
  <c r="E333" i="78" s="1"/>
  <c r="E334" i="78" s="1"/>
  <c r="E335" i="78" s="1"/>
  <c r="E336" i="78" s="1"/>
  <c r="E337" i="78" s="1"/>
  <c r="E338" i="78" s="1"/>
  <c r="E339" i="78" s="1"/>
  <c r="E340" i="78" s="1"/>
  <c r="E341" i="78" s="1"/>
  <c r="E342" i="78" s="1"/>
  <c r="E343" i="78" s="1"/>
  <c r="E344" i="78" s="1"/>
  <c r="E345" i="78" s="1"/>
  <c r="E346" i="78" s="1"/>
  <c r="E347" i="78" s="1"/>
  <c r="E348" i="78" s="1"/>
  <c r="E349" i="78" s="1"/>
  <c r="E350" i="78" s="1"/>
  <c r="E351" i="78" s="1"/>
  <c r="E352" i="78" s="1"/>
  <c r="E353" i="78" s="1"/>
  <c r="E354" i="78" s="1"/>
  <c r="E355" i="78" s="1"/>
  <c r="E356" i="78" s="1"/>
  <c r="E357" i="78" s="1"/>
  <c r="E358" i="78" s="1"/>
  <c r="E359" i="78" s="1"/>
  <c r="E360" i="78" s="1"/>
  <c r="E361" i="78" s="1"/>
  <c r="E362" i="78" s="1"/>
  <c r="E363" i="78" s="1"/>
  <c r="E364" i="78" s="1"/>
  <c r="E365" i="78" s="1"/>
  <c r="E366" i="78" s="1"/>
  <c r="E367" i="78" s="1"/>
  <c r="E368" i="78" s="1"/>
  <c r="E369" i="78" s="1"/>
  <c r="E370" i="78" s="1"/>
  <c r="E371" i="78" s="1"/>
  <c r="E372" i="78" s="1"/>
  <c r="E373" i="78" s="1"/>
  <c r="E374" i="78" s="1"/>
  <c r="E375" i="78" s="1"/>
  <c r="E376" i="78" s="1"/>
  <c r="E377" i="78" s="1"/>
  <c r="E378" i="78" s="1"/>
  <c r="E379" i="78" s="1"/>
  <c r="E380" i="78" s="1"/>
  <c r="E381" i="78" s="1"/>
  <c r="E382" i="78" s="1"/>
  <c r="E383" i="78" s="1"/>
  <c r="E384" i="78" s="1"/>
  <c r="E385" i="78" s="1"/>
  <c r="E386" i="78" s="1"/>
  <c r="E387" i="78" s="1"/>
  <c r="E388" i="78" s="1"/>
  <c r="E389" i="78" s="1"/>
  <c r="E390" i="78" s="1"/>
  <c r="E391" i="78" s="1"/>
  <c r="E392" i="78" s="1"/>
  <c r="E393" i="78" s="1"/>
  <c r="E394" i="78" s="1"/>
  <c r="E395" i="78" s="1"/>
  <c r="E396" i="78" s="1"/>
  <c r="E397" i="78" s="1"/>
  <c r="E398" i="78" s="1"/>
  <c r="E399" i="78" s="1"/>
  <c r="E400" i="78" s="1"/>
  <c r="E401" i="78" s="1"/>
  <c r="E402" i="78" s="1"/>
  <c r="E403" i="78" s="1"/>
  <c r="E404" i="78" s="1"/>
  <c r="E405" i="78" s="1"/>
  <c r="E406" i="78" s="1"/>
  <c r="E407" i="78" s="1"/>
  <c r="E408" i="78" s="1"/>
  <c r="E409" i="78" s="1"/>
  <c r="E410" i="78" s="1"/>
  <c r="E411" i="78" s="1"/>
  <c r="E412" i="78" s="1"/>
  <c r="E413" i="78" s="1"/>
  <c r="E414" i="78" s="1"/>
  <c r="E415" i="78" s="1"/>
  <c r="E416" i="78" s="1"/>
  <c r="E417" i="78" s="1"/>
  <c r="E418" i="78" s="1"/>
  <c r="E419" i="78" s="1"/>
  <c r="E420" i="78" s="1"/>
  <c r="E421" i="78" s="1"/>
  <c r="E422" i="78" s="1"/>
  <c r="E423" i="78" s="1"/>
  <c r="E424" i="78" s="1"/>
  <c r="E425" i="78" s="1"/>
  <c r="E426" i="78" s="1"/>
  <c r="E427" i="78" s="1"/>
  <c r="E428" i="78" s="1"/>
  <c r="E429" i="78" s="1"/>
  <c r="E430" i="78" s="1"/>
  <c r="E431" i="78" s="1"/>
  <c r="E432" i="78" s="1"/>
  <c r="E433" i="78" s="1"/>
  <c r="E434" i="78" s="1"/>
  <c r="E435" i="78" s="1"/>
  <c r="E436" i="78" s="1"/>
  <c r="E437" i="78" s="1"/>
  <c r="E438" i="78" s="1"/>
  <c r="E439" i="78" s="1"/>
  <c r="E440" i="78" s="1"/>
  <c r="E441" i="78" s="1"/>
  <c r="E442" i="78" s="1"/>
  <c r="E443" i="78" s="1"/>
  <c r="E444" i="78" s="1"/>
  <c r="E445" i="78" s="1"/>
  <c r="E446" i="78" s="1"/>
  <c r="E447" i="78" s="1"/>
  <c r="E448" i="78" s="1"/>
  <c r="E449" i="78" s="1"/>
  <c r="E450" i="78" s="1"/>
  <c r="E451" i="78" s="1"/>
  <c r="E452" i="78" s="1"/>
  <c r="E453" i="78" s="1"/>
  <c r="E454" i="78" s="1"/>
  <c r="E455" i="78" s="1"/>
  <c r="E456" i="78" s="1"/>
  <c r="E457" i="78" s="1"/>
  <c r="E458" i="78" s="1"/>
  <c r="E459" i="78" s="1"/>
  <c r="E460" i="78" s="1"/>
  <c r="E461" i="78" s="1"/>
  <c r="E462" i="78" s="1"/>
  <c r="E463" i="78" s="1"/>
  <c r="E464" i="78" s="1"/>
  <c r="E465" i="78" s="1"/>
  <c r="E466" i="78" s="1"/>
  <c r="E467" i="78" s="1"/>
  <c r="E468" i="78" s="1"/>
  <c r="E469" i="78" s="1"/>
  <c r="E470" i="78" s="1"/>
  <c r="E471" i="78" s="1"/>
  <c r="E472" i="78" s="1"/>
  <c r="E473" i="78" s="1"/>
  <c r="E474" i="78" s="1"/>
  <c r="E475" i="78" s="1"/>
  <c r="E476" i="78" s="1"/>
  <c r="E477" i="78" s="1"/>
  <c r="E478" i="78" s="1"/>
  <c r="E479" i="78" s="1"/>
  <c r="E480" i="78" s="1"/>
  <c r="E481" i="78" s="1"/>
  <c r="E482" i="78" s="1"/>
  <c r="E483" i="78" s="1"/>
  <c r="A4" i="78"/>
  <c r="A5" i="78" s="1"/>
  <c r="A6" i="78" s="1"/>
  <c r="A7" i="78" s="1"/>
  <c r="A8" i="78" s="1"/>
  <c r="A9" i="78" s="1"/>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A149" i="78" s="1"/>
  <c r="A150" i="78" s="1"/>
  <c r="A151" i="78" s="1"/>
  <c r="A152" i="78" s="1"/>
  <c r="A153" i="78" s="1"/>
  <c r="A154" i="78" s="1"/>
  <c r="A155" i="78" s="1"/>
  <c r="A156" i="78" s="1"/>
  <c r="A157" i="78" s="1"/>
  <c r="A158" i="78" s="1"/>
  <c r="A159" i="78" s="1"/>
  <c r="A160" i="78" s="1"/>
  <c r="A161" i="78" s="1"/>
  <c r="A162" i="78" s="1"/>
  <c r="A163" i="78" s="1"/>
  <c r="A164" i="78" s="1"/>
  <c r="A165" i="78" s="1"/>
  <c r="A166" i="78" s="1"/>
  <c r="A167" i="78" s="1"/>
  <c r="A168" i="78" s="1"/>
  <c r="A169" i="78" s="1"/>
  <c r="A170" i="78" s="1"/>
  <c r="A171" i="78" s="1"/>
  <c r="A172" i="78" s="1"/>
  <c r="A173" i="78" s="1"/>
  <c r="A174" i="78" s="1"/>
  <c r="A175" i="78" s="1"/>
  <c r="A176" i="78" s="1"/>
  <c r="A177" i="78" s="1"/>
  <c r="A178" i="78" s="1"/>
  <c r="A179" i="78" s="1"/>
  <c r="A180" i="78" s="1"/>
  <c r="A181" i="78" s="1"/>
  <c r="A182" i="78" s="1"/>
  <c r="A183" i="78" s="1"/>
  <c r="A184" i="78" s="1"/>
  <c r="A185" i="78" s="1"/>
  <c r="A186" i="78" s="1"/>
  <c r="A187" i="78" s="1"/>
  <c r="A188" i="78" s="1"/>
  <c r="A189" i="78" s="1"/>
  <c r="A190" i="78" s="1"/>
  <c r="A191" i="78" s="1"/>
  <c r="A192" i="78" s="1"/>
  <c r="A193" i="78" s="1"/>
  <c r="A194" i="78" s="1"/>
  <c r="A195" i="78" s="1"/>
  <c r="A196" i="78" s="1"/>
  <c r="A197" i="78" s="1"/>
  <c r="A198" i="78" s="1"/>
  <c r="A199" i="78" s="1"/>
  <c r="A200" i="78" s="1"/>
  <c r="A201" i="78" s="1"/>
  <c r="A202" i="78" s="1"/>
  <c r="A203" i="78" s="1"/>
  <c r="A204" i="78" s="1"/>
  <c r="A205" i="78" s="1"/>
  <c r="A206" i="78" s="1"/>
  <c r="A207" i="78" s="1"/>
  <c r="A208" i="78" s="1"/>
  <c r="A209" i="78" s="1"/>
  <c r="A210" i="78" s="1"/>
  <c r="A211" i="78" s="1"/>
  <c r="A212" i="78" s="1"/>
  <c r="A213" i="78" s="1"/>
  <c r="A214" i="78" s="1"/>
  <c r="A215" i="78" s="1"/>
  <c r="A216" i="78" s="1"/>
  <c r="A217" i="78" s="1"/>
  <c r="A218" i="78" s="1"/>
  <c r="A219" i="78" s="1"/>
  <c r="A220" i="78" s="1"/>
  <c r="A221" i="78" s="1"/>
  <c r="A222" i="78" s="1"/>
  <c r="A223" i="78" s="1"/>
  <c r="A224" i="78" s="1"/>
  <c r="A225" i="78" s="1"/>
  <c r="A226" i="78" s="1"/>
  <c r="A227" i="78" s="1"/>
  <c r="A228" i="78" s="1"/>
  <c r="A229" i="78" s="1"/>
  <c r="A230" i="78" s="1"/>
  <c r="A231" i="78" s="1"/>
  <c r="A232" i="78" s="1"/>
  <c r="A233" i="78" s="1"/>
  <c r="A234" i="78" s="1"/>
  <c r="A235" i="78" s="1"/>
  <c r="A236" i="78" s="1"/>
  <c r="A237" i="78" s="1"/>
  <c r="A238" i="78" s="1"/>
  <c r="A239" i="78" s="1"/>
  <c r="A240" i="78" s="1"/>
  <c r="A241" i="78" s="1"/>
  <c r="A242" i="78" s="1"/>
  <c r="A243" i="78" s="1"/>
  <c r="A244" i="78" s="1"/>
  <c r="A245" i="78" s="1"/>
  <c r="A246" i="78" s="1"/>
  <c r="A247" i="78" s="1"/>
  <c r="A248" i="78" s="1"/>
  <c r="A249" i="78" s="1"/>
  <c r="A250" i="78" s="1"/>
  <c r="A251" i="78" s="1"/>
  <c r="A252" i="78" s="1"/>
  <c r="A253" i="78" s="1"/>
  <c r="A254" i="78" s="1"/>
  <c r="A255" i="78" s="1"/>
  <c r="A256" i="78" s="1"/>
  <c r="A257" i="78" s="1"/>
  <c r="A258" i="78" s="1"/>
  <c r="A259" i="78" s="1"/>
  <c r="A260" i="78" s="1"/>
  <c r="A261" i="78" s="1"/>
  <c r="A262" i="78" s="1"/>
  <c r="A263" i="78" s="1"/>
  <c r="A264" i="78" s="1"/>
  <c r="A265" i="78" s="1"/>
  <c r="A266" i="78" s="1"/>
  <c r="A267" i="78" s="1"/>
  <c r="A268" i="78" s="1"/>
  <c r="A269" i="78" s="1"/>
  <c r="A270" i="78" s="1"/>
  <c r="A271" i="78" s="1"/>
  <c r="A272" i="78" s="1"/>
  <c r="A273" i="78" s="1"/>
  <c r="A274" i="78" s="1"/>
  <c r="A275" i="78" s="1"/>
  <c r="A276" i="78" s="1"/>
  <c r="A277" i="78" s="1"/>
  <c r="A278" i="78" s="1"/>
  <c r="A279" i="78" s="1"/>
  <c r="A280" i="78" s="1"/>
  <c r="A281" i="78" s="1"/>
  <c r="A282" i="78" s="1"/>
  <c r="A283" i="78" s="1"/>
  <c r="A284" i="78" s="1"/>
  <c r="A285" i="78" s="1"/>
  <c r="A286" i="78" s="1"/>
  <c r="A287" i="78" s="1"/>
  <c r="A288" i="78" s="1"/>
  <c r="A289" i="78" s="1"/>
  <c r="A290" i="78" s="1"/>
  <c r="A291" i="78" s="1"/>
  <c r="A292" i="78" s="1"/>
  <c r="A293" i="78" s="1"/>
  <c r="A294" i="78" s="1"/>
  <c r="A295" i="78" s="1"/>
  <c r="A296" i="78" s="1"/>
  <c r="A297" i="78" s="1"/>
  <c r="A298" i="78" s="1"/>
  <c r="A299" i="78" s="1"/>
  <c r="A300" i="78" s="1"/>
  <c r="A301" i="78" s="1"/>
  <c r="A302" i="78" s="1"/>
  <c r="A303" i="78" s="1"/>
  <c r="A304" i="78" s="1"/>
  <c r="A305" i="78" s="1"/>
  <c r="A306" i="78" s="1"/>
  <c r="A307" i="78" s="1"/>
  <c r="A308" i="78" s="1"/>
  <c r="A309" i="78" s="1"/>
  <c r="A310" i="78" s="1"/>
  <c r="A311" i="78" s="1"/>
  <c r="A312" i="78" s="1"/>
  <c r="A313" i="78" s="1"/>
  <c r="A314" i="78" s="1"/>
  <c r="A315" i="78" s="1"/>
  <c r="A316" i="78" s="1"/>
  <c r="A317" i="78" s="1"/>
  <c r="A318" i="78" s="1"/>
  <c r="A319" i="78" s="1"/>
  <c r="A320" i="78" s="1"/>
  <c r="A321" i="78" s="1"/>
  <c r="A322" i="78" s="1"/>
  <c r="A323" i="78" s="1"/>
  <c r="A324" i="78" s="1"/>
  <c r="A325" i="78" s="1"/>
  <c r="A326" i="78" s="1"/>
  <c r="A327" i="78" s="1"/>
  <c r="A328" i="78" s="1"/>
  <c r="A329" i="78" s="1"/>
  <c r="A330" i="78" s="1"/>
  <c r="A331" i="78" s="1"/>
  <c r="A332" i="78" s="1"/>
  <c r="A333" i="78" s="1"/>
  <c r="A334" i="78" s="1"/>
  <c r="A335" i="78" s="1"/>
  <c r="A336" i="78" s="1"/>
  <c r="A337" i="78" s="1"/>
  <c r="A338" i="78" s="1"/>
  <c r="A339" i="78" s="1"/>
  <c r="A340" i="78" s="1"/>
  <c r="A341" i="78" s="1"/>
  <c r="A342" i="78" s="1"/>
  <c r="A343" i="78" s="1"/>
  <c r="A344" i="78" s="1"/>
  <c r="A345" i="78" s="1"/>
  <c r="A346" i="78" s="1"/>
  <c r="A347" i="78" s="1"/>
  <c r="A348" i="78" s="1"/>
  <c r="A349" i="78" s="1"/>
  <c r="A350" i="78" s="1"/>
  <c r="A351" i="78" s="1"/>
  <c r="A352" i="78" s="1"/>
  <c r="A353" i="78" s="1"/>
  <c r="A354" i="78" s="1"/>
  <c r="A355" i="78" s="1"/>
  <c r="A356" i="78" s="1"/>
  <c r="A357" i="78" s="1"/>
  <c r="A358" i="78" s="1"/>
  <c r="A359" i="78" s="1"/>
  <c r="A360" i="78" s="1"/>
  <c r="A361" i="78" s="1"/>
  <c r="A362" i="78" s="1"/>
  <c r="A363" i="78" s="1"/>
  <c r="A364" i="78" s="1"/>
  <c r="A365" i="78" s="1"/>
  <c r="A366" i="78" s="1"/>
  <c r="A367" i="78" s="1"/>
  <c r="A368" i="78" s="1"/>
  <c r="A369" i="78" s="1"/>
  <c r="A370" i="78" s="1"/>
  <c r="A371" i="78" s="1"/>
  <c r="A372" i="78" s="1"/>
  <c r="A373" i="78" s="1"/>
  <c r="A374" i="78" s="1"/>
  <c r="A375" i="78" s="1"/>
  <c r="A376" i="78" s="1"/>
  <c r="A377" i="78" s="1"/>
  <c r="A378" i="78" s="1"/>
  <c r="A379" i="78" s="1"/>
  <c r="A380" i="78" s="1"/>
  <c r="A381" i="78" s="1"/>
  <c r="A382" i="78" s="1"/>
  <c r="A383" i="78" s="1"/>
  <c r="A384" i="78" s="1"/>
  <c r="A385" i="78" s="1"/>
  <c r="A386" i="78" s="1"/>
  <c r="A387" i="78" s="1"/>
  <c r="A388" i="78" s="1"/>
  <c r="A389" i="78" s="1"/>
  <c r="A390" i="78" s="1"/>
  <c r="A391" i="78" s="1"/>
  <c r="A392" i="78" s="1"/>
  <c r="A393" i="78" s="1"/>
  <c r="A394" i="78" s="1"/>
  <c r="A395" i="78" s="1"/>
  <c r="A396" i="78" s="1"/>
  <c r="A397" i="78" s="1"/>
  <c r="A398" i="78" s="1"/>
  <c r="A399" i="78" s="1"/>
  <c r="A400" i="78" s="1"/>
  <c r="A401" i="78" s="1"/>
  <c r="A402" i="78" s="1"/>
  <c r="A403" i="78" s="1"/>
  <c r="A404" i="78" s="1"/>
  <c r="A405" i="78" s="1"/>
  <c r="A406" i="78" s="1"/>
  <c r="A407" i="78" s="1"/>
  <c r="A408" i="78" s="1"/>
  <c r="A409" i="78" s="1"/>
  <c r="A410" i="78" s="1"/>
  <c r="A411" i="78" s="1"/>
  <c r="A412" i="78" s="1"/>
  <c r="A413" i="78" s="1"/>
  <c r="A414" i="78" s="1"/>
  <c r="A415" i="78" s="1"/>
  <c r="A416" i="78" s="1"/>
  <c r="A417" i="78" s="1"/>
  <c r="A418" i="78" s="1"/>
  <c r="A419" i="78" s="1"/>
  <c r="A420" i="78" s="1"/>
  <c r="A421" i="78" s="1"/>
  <c r="A422" i="78" s="1"/>
  <c r="A423" i="78" s="1"/>
  <c r="A424" i="78" s="1"/>
  <c r="A425" i="78" s="1"/>
  <c r="A426" i="78" s="1"/>
  <c r="A427" i="78" s="1"/>
  <c r="A428" i="78" s="1"/>
  <c r="A429" i="78" s="1"/>
  <c r="A430" i="78" s="1"/>
  <c r="A431" i="78" s="1"/>
  <c r="A432" i="78" s="1"/>
  <c r="A433" i="78" s="1"/>
  <c r="A434" i="78" s="1"/>
  <c r="A435" i="78" s="1"/>
  <c r="A436" i="78" s="1"/>
  <c r="A437" i="78" s="1"/>
  <c r="A438" i="78" s="1"/>
  <c r="A439" i="78" s="1"/>
  <c r="A440" i="78" s="1"/>
  <c r="A441" i="78" s="1"/>
  <c r="A442" i="78" s="1"/>
  <c r="A443" i="78" s="1"/>
  <c r="A444" i="78" s="1"/>
  <c r="A445" i="78" s="1"/>
  <c r="A446" i="78" s="1"/>
  <c r="A447" i="78" s="1"/>
  <c r="A448" i="78" s="1"/>
  <c r="A449" i="78" s="1"/>
  <c r="A450" i="78" s="1"/>
  <c r="A451" i="78" s="1"/>
  <c r="A452" i="78" s="1"/>
  <c r="A453" i="78" s="1"/>
  <c r="A454" i="78" s="1"/>
  <c r="A455" i="78" s="1"/>
  <c r="A456" i="78" s="1"/>
  <c r="A457" i="78" s="1"/>
  <c r="A458" i="78" s="1"/>
  <c r="A459" i="78" s="1"/>
  <c r="A460" i="78" s="1"/>
  <c r="A461" i="78" s="1"/>
  <c r="A462" i="78" s="1"/>
  <c r="A463" i="78" s="1"/>
  <c r="A464" i="78" s="1"/>
  <c r="A465" i="78" s="1"/>
  <c r="A466" i="78" s="1"/>
  <c r="A467" i="78" s="1"/>
  <c r="A468" i="78" s="1"/>
  <c r="A469" i="78" s="1"/>
  <c r="A470" i="78" s="1"/>
  <c r="A471" i="78" s="1"/>
  <c r="A472" i="78" s="1"/>
  <c r="A473" i="78" s="1"/>
  <c r="A474" i="78" s="1"/>
  <c r="A475" i="78" s="1"/>
  <c r="A476" i="78" s="1"/>
  <c r="A477" i="78" s="1"/>
  <c r="A478" i="78" s="1"/>
  <c r="A479" i="78" s="1"/>
  <c r="A480" i="78" s="1"/>
  <c r="A481" i="78" s="1"/>
  <c r="A482" i="78" s="1"/>
  <c r="A483" i="78" s="1"/>
  <c r="A485" i="78" s="1"/>
  <c r="A486" i="78" s="1"/>
  <c r="A487" i="78" s="1"/>
  <c r="A488" i="78" s="1"/>
  <c r="A489" i="78" s="1"/>
  <c r="A490" i="78" s="1"/>
  <c r="A491" i="78" s="1"/>
  <c r="A492" i="78" s="1"/>
  <c r="A493" i="78" s="1"/>
  <c r="A494" i="78" s="1"/>
  <c r="A495" i="78" s="1"/>
  <c r="A496" i="78" s="1"/>
  <c r="A497" i="78" s="1"/>
  <c r="A498" i="78" s="1"/>
  <c r="A499" i="78" s="1"/>
  <c r="A500" i="78" s="1"/>
  <c r="A501" i="78" s="1"/>
  <c r="A502" i="78" s="1"/>
  <c r="A503" i="78" s="1"/>
  <c r="A504" i="78" s="1"/>
  <c r="A505" i="78" s="1"/>
  <c r="A506" i="78" s="1"/>
  <c r="A507" i="78" s="1"/>
  <c r="A508" i="78" s="1"/>
  <c r="A509" i="78" s="1"/>
  <c r="A510" i="78" s="1"/>
  <c r="A511" i="78" s="1"/>
  <c r="A512" i="78" s="1"/>
  <c r="K2" i="78" l="1"/>
  <c r="K4" i="78" s="1"/>
  <c r="D18" i="77" s="1"/>
  <c r="D19" i="77" s="1"/>
  <c r="D21" i="77" s="1"/>
  <c r="D22" i="77"/>
  <c r="H11" i="78"/>
  <c r="H13" i="78" s="1"/>
  <c r="H15" i="78" s="1"/>
  <c r="D8" i="77"/>
  <c r="H8" i="77" s="1"/>
  <c r="H12" i="77"/>
  <c r="C8" i="77"/>
  <c r="E8" i="77"/>
  <c r="H5" i="77"/>
  <c r="H6" i="77"/>
  <c r="H7" i="77"/>
  <c r="H4" i="77"/>
  <c r="G5" i="77"/>
  <c r="G6" i="77"/>
  <c r="G7" i="77"/>
  <c r="G4" i="77"/>
  <c r="H513" i="78" l="1"/>
  <c r="G21" i="77"/>
  <c r="E21" i="77"/>
  <c r="G22" i="77"/>
  <c r="E22" i="77"/>
  <c r="C22" i="77" s="1"/>
  <c r="D23" i="77"/>
  <c r="G8" i="77"/>
  <c r="AH5" i="71"/>
  <c r="AG5" i="71"/>
  <c r="AE5" i="71"/>
  <c r="AF5" i="71" s="1"/>
  <c r="AD5" i="71"/>
  <c r="Q5" i="71"/>
  <c r="P5" i="71"/>
  <c r="O5" i="71"/>
  <c r="N5" i="71"/>
  <c r="G23" i="77" l="1"/>
  <c r="E23" i="77"/>
  <c r="C23" i="77" s="1"/>
  <c r="C21" i="77"/>
  <c r="D24" i="77"/>
  <c r="H16" i="49"/>
  <c r="D16" i="49"/>
  <c r="D15" i="49"/>
  <c r="B2" i="49"/>
  <c r="F15" i="49" s="1"/>
  <c r="H15" i="49" s="1"/>
  <c r="E24" i="77" l="1"/>
  <c r="C24"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c r="AD15" i="71"/>
  <c r="AD16" i="71"/>
  <c r="AG16" i="71"/>
  <c r="AH16" i="71"/>
  <c r="AE16" i="71"/>
  <c r="AF16" i="71"/>
  <c r="N16" i="71"/>
  <c r="Q16" i="71"/>
  <c r="P16" i="71"/>
  <c r="O16" i="71"/>
  <c r="C16" i="71"/>
  <c r="C15" i="71" s="1"/>
  <c r="Q17" i="71"/>
  <c r="F16" i="71"/>
  <c r="F15" i="71"/>
  <c r="F14" i="71" s="1"/>
  <c r="P17" i="71"/>
  <c r="E16" i="71"/>
  <c r="E15" i="71"/>
  <c r="E14" i="71" s="1"/>
  <c r="O17" i="71"/>
  <c r="N17" i="71"/>
  <c r="B16" i="71"/>
  <c r="B15" i="71" s="1"/>
  <c r="B14" i="71" s="1"/>
  <c r="B13" i="71" s="1"/>
  <c r="B12" i="71" s="1"/>
  <c r="B11" i="71" s="1"/>
  <c r="B10" i="71" s="1"/>
  <c r="B9" i="71" s="1"/>
  <c r="V16"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c r="A120" i="9"/>
  <c r="H2" i="52"/>
  <c r="A1" i="52"/>
  <c r="A3" i="53"/>
  <c r="Q18" i="71"/>
  <c r="P18" i="71"/>
  <c r="O18" i="71"/>
  <c r="N18"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c r="V48" i="71" s="1"/>
  <c r="P45" i="71"/>
  <c r="E46" i="71" s="1"/>
  <c r="O45" i="71"/>
  <c r="C46" i="71" s="1"/>
  <c r="D46" i="71" s="1"/>
  <c r="N45" i="71"/>
  <c r="B46" i="71"/>
  <c r="B47" i="71" s="1"/>
  <c r="B48" i="71" s="1"/>
  <c r="S48" i="71" s="1"/>
  <c r="D45" i="71"/>
  <c r="Q44" i="71"/>
  <c r="P44" i="71"/>
  <c r="O44" i="71"/>
  <c r="N44" i="71"/>
  <c r="Q43" i="71"/>
  <c r="P43" i="71"/>
  <c r="O43" i="71"/>
  <c r="N43" i="71"/>
  <c r="Q42" i="71"/>
  <c r="P42" i="71"/>
  <c r="O42" i="71"/>
  <c r="N42" i="71"/>
  <c r="Q41" i="71"/>
  <c r="F42" i="71"/>
  <c r="F43" i="71" s="1"/>
  <c r="P41" i="71"/>
  <c r="E42" i="71"/>
  <c r="E43" i="71" s="1"/>
  <c r="E44" i="71" s="1"/>
  <c r="U44" i="71" s="1"/>
  <c r="O41" i="71"/>
  <c r="C42" i="71" s="1"/>
  <c r="D42" i="71" s="1"/>
  <c r="N41" i="71"/>
  <c r="B42" i="71" s="1"/>
  <c r="B43" i="71"/>
  <c r="B44" i="71" s="1"/>
  <c r="S44" i="71" s="1"/>
  <c r="D41" i="71"/>
  <c r="T40" i="71"/>
  <c r="Q40" i="71"/>
  <c r="P40" i="71"/>
  <c r="O40" i="71"/>
  <c r="N40" i="71"/>
  <c r="D40" i="71"/>
  <c r="Q39" i="71"/>
  <c r="P39" i="71"/>
  <c r="O39" i="71"/>
  <c r="N39" i="71"/>
  <c r="Q38" i="71"/>
  <c r="P38" i="71"/>
  <c r="O38" i="71"/>
  <c r="N38" i="71"/>
  <c r="F40" i="71"/>
  <c r="V40" i="71" s="1"/>
  <c r="Q37" i="71"/>
  <c r="F38" i="71" s="1"/>
  <c r="F39" i="71" s="1"/>
  <c r="P37" i="71"/>
  <c r="E38" i="71"/>
  <c r="E39" i="71" s="1"/>
  <c r="E40" i="7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C35" i="71" s="1"/>
  <c r="D35"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Q29" i="71"/>
  <c r="P29" i="71"/>
  <c r="O29" i="71"/>
  <c r="C30" i="71" s="1"/>
  <c r="C31" i="71" s="1"/>
  <c r="D31" i="71" s="1"/>
  <c r="N29" i="71"/>
  <c r="D29" i="71"/>
  <c r="Q28" i="71"/>
  <c r="AB28" i="71"/>
  <c r="P28" i="71"/>
  <c r="O28" i="71"/>
  <c r="Y28" i="71" s="1"/>
  <c r="Z28" i="71" s="1"/>
  <c r="N28" i="71"/>
  <c r="Q27" i="71"/>
  <c r="P27" i="71"/>
  <c r="O27" i="71"/>
  <c r="N27" i="71"/>
  <c r="Q26" i="71"/>
  <c r="P26" i="71"/>
  <c r="O26" i="71"/>
  <c r="N26" i="71"/>
  <c r="F26" i="71"/>
  <c r="F27" i="71" s="1"/>
  <c r="F28" i="71" s="1"/>
  <c r="V28" i="71" s="1"/>
  <c r="Q25" i="71"/>
  <c r="P25" i="71"/>
  <c r="O25" i="71"/>
  <c r="C26" i="71" s="1"/>
  <c r="C27" i="71" s="1"/>
  <c r="D27" i="71" s="1"/>
  <c r="N25" i="71"/>
  <c r="D25" i="71"/>
  <c r="Q24" i="71"/>
  <c r="P24" i="71"/>
  <c r="O24" i="71"/>
  <c r="N24" i="71"/>
  <c r="Q23" i="71"/>
  <c r="P23" i="71"/>
  <c r="O23" i="71"/>
  <c r="Y23" i="71"/>
  <c r="Z23" i="71" s="1"/>
  <c r="N23" i="71"/>
  <c r="X21" i="71" s="1"/>
  <c r="Q22" i="71"/>
  <c r="P22" i="71"/>
  <c r="O22" i="71"/>
  <c r="N22" i="71"/>
  <c r="Q21" i="71"/>
  <c r="P21" i="71"/>
  <c r="O21" i="71"/>
  <c r="N21" i="71"/>
  <c r="D21" i="71"/>
  <c r="O20" i="71"/>
  <c r="N20" i="71"/>
  <c r="B22" i="71"/>
  <c r="B23" i="71"/>
  <c r="B24" i="71" s="1"/>
  <c r="S24" i="71" s="1"/>
  <c r="E22" i="71"/>
  <c r="E23" i="71" s="1"/>
  <c r="AA21" i="71"/>
  <c r="B26" i="71"/>
  <c r="B27" i="71"/>
  <c r="B28" i="71" s="1"/>
  <c r="S28" i="71" s="1"/>
  <c r="B30" i="71"/>
  <c r="B31" i="71" s="1"/>
  <c r="B32" i="71" s="1"/>
  <c r="S32" i="71" s="1"/>
  <c r="X29" i="71"/>
  <c r="E30" i="71"/>
  <c r="E31" i="71"/>
  <c r="E32" i="71" s="1"/>
  <c r="U32" i="71" s="1"/>
  <c r="N60" i="71"/>
  <c r="E26" i="71"/>
  <c r="E27" i="71"/>
  <c r="E28" i="71" s="1"/>
  <c r="U28" i="71" s="1"/>
  <c r="C22" i="71"/>
  <c r="D22" i="71" s="1"/>
  <c r="X22" i="71"/>
  <c r="X23" i="71"/>
  <c r="X24" i="71"/>
  <c r="Y25" i="71"/>
  <c r="Z25" i="71" s="1"/>
  <c r="AA26" i="71"/>
  <c r="X28" i="71"/>
  <c r="AA28" i="71"/>
  <c r="Y29" i="71"/>
  <c r="Z29" i="71" s="1"/>
  <c r="X30" i="71"/>
  <c r="AA30" i="71"/>
  <c r="F44" i="71"/>
  <c r="V44" i="71" s="1"/>
  <c r="C20" i="71"/>
  <c r="X17" i="71"/>
  <c r="C23" i="71"/>
  <c r="D23" i="71" s="1"/>
  <c r="D26" i="71"/>
  <c r="D30" i="71"/>
  <c r="D34" i="71"/>
  <c r="C39" i="71"/>
  <c r="D39" i="71"/>
  <c r="D38" i="71"/>
  <c r="P20" i="71"/>
  <c r="E47" i="71"/>
  <c r="E48" i="71"/>
  <c r="U48" i="71" s="1"/>
  <c r="U60" i="71"/>
  <c r="E59" i="71"/>
  <c r="E58" i="71" s="1"/>
  <c r="P58" i="71" s="1"/>
  <c r="Q20" i="71"/>
  <c r="C47" i="71"/>
  <c r="D47" i="71" s="1"/>
  <c r="C51" i="71"/>
  <c r="D51" i="71" s="1"/>
  <c r="D50" i="71"/>
  <c r="N59" i="71"/>
  <c r="B58" i="71"/>
  <c r="C59" i="71"/>
  <c r="O59" i="71" s="1"/>
  <c r="C63" i="71"/>
  <c r="D63" i="71" s="1"/>
  <c r="E63" i="71"/>
  <c r="E62" i="71"/>
  <c r="D64" i="71"/>
  <c r="E67" i="71"/>
  <c r="E66" i="71"/>
  <c r="C71" i="71"/>
  <c r="C70" i="71" s="1"/>
  <c r="D70" i="71" s="1"/>
  <c r="E71" i="71"/>
  <c r="E70" i="71"/>
  <c r="D72" i="71"/>
  <c r="C75" i="71"/>
  <c r="D75" i="71" s="1"/>
  <c r="C79" i="71"/>
  <c r="T20" i="71"/>
  <c r="C19" i="71"/>
  <c r="F20" i="71"/>
  <c r="F19" i="71"/>
  <c r="F18" i="71" s="1"/>
  <c r="AB19" i="71"/>
  <c r="AA19" i="71"/>
  <c r="D20" i="71"/>
  <c r="C58" i="71"/>
  <c r="D58" i="71" s="1"/>
  <c r="N57" i="71"/>
  <c r="N58" i="71"/>
  <c r="D79" i="71"/>
  <c r="C78" i="71"/>
  <c r="D78" i="71" s="1"/>
  <c r="D71" i="71"/>
  <c r="C62" i="71"/>
  <c r="D62" i="71" s="1"/>
  <c r="C52" i="71"/>
  <c r="T52" i="71" s="1"/>
  <c r="C48" i="71"/>
  <c r="T48" i="71" s="1"/>
  <c r="C36" i="71"/>
  <c r="T36" i="71" s="1"/>
  <c r="C32" i="71"/>
  <c r="T32" i="71" s="1"/>
  <c r="C28" i="71"/>
  <c r="T28" i="71" s="1"/>
  <c r="C24" i="71"/>
  <c r="T24" i="71" s="1"/>
  <c r="C18" i="71"/>
  <c r="D18" i="71" s="1"/>
  <c r="D19" i="71"/>
  <c r="O58" i="71"/>
  <c r="D24" i="71"/>
  <c r="D28" i="71"/>
  <c r="D32" i="71"/>
  <c r="D36"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G83" i="21" s="1"/>
  <c r="S21" i="21"/>
  <c r="H1" i="69"/>
  <c r="W25" i="40"/>
  <c r="U25" i="40"/>
  <c r="U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c r="F21" i="67"/>
  <c r="F20" i="67"/>
  <c r="M19" i="67"/>
  <c r="F18" i="67"/>
  <c r="F17" i="67"/>
  <c r="F15" i="67"/>
  <c r="D22" i="67"/>
  <c r="D23" i="67"/>
  <c r="S2" i="4"/>
  <c r="C51" i="10" s="1"/>
  <c r="A13" i="5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15" i="4"/>
  <c r="F8" i="1"/>
  <c r="F9" i="1"/>
  <c r="F10" i="1"/>
  <c r="F11" i="1"/>
  <c r="F12" i="1"/>
  <c r="F13" i="1"/>
  <c r="D6" i="1"/>
  <c r="D9" i="1"/>
  <c r="D10" i="1"/>
  <c r="D11" i="1"/>
  <c r="G11" i="1" s="1"/>
  <c r="D12" i="1"/>
  <c r="D13" i="1"/>
  <c r="D7" i="1"/>
  <c r="D8" i="1"/>
  <c r="A7" i="1"/>
  <c r="A8" i="1"/>
  <c r="B8" i="1" s="1"/>
  <c r="E8" i="1" s="1"/>
  <c r="A9" i="1"/>
  <c r="A10" i="1"/>
  <c r="K10" i="1" s="1"/>
  <c r="M10" i="1" s="1"/>
  <c r="O10" i="1" s="1"/>
  <c r="A11" i="1"/>
  <c r="A12" i="1"/>
  <c r="S12" i="1" s="1"/>
  <c r="AR12" i="1" s="1"/>
  <c r="A13" i="1"/>
  <c r="A6" i="1"/>
  <c r="G1" i="68"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H26"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G5" i="3" s="1"/>
  <c r="BH585" i="3"/>
  <c r="BI585" i="3"/>
  <c r="BI5" i="3" s="1"/>
  <c r="BJ585" i="3"/>
  <c r="BK585" i="3"/>
  <c r="BK5" i="3" s="1"/>
  <c r="BM585" i="3"/>
  <c r="BN585" i="3"/>
  <c r="BN5" i="3" s="1"/>
  <c r="BO585" i="3"/>
  <c r="BP585" i="3"/>
  <c r="BP5" i="3" s="1"/>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F5" i="3" s="1"/>
  <c r="BG587" i="3"/>
  <c r="BH587" i="3"/>
  <c r="BI587" i="3"/>
  <c r="BJ587" i="3"/>
  <c r="BJ5" i="3" s="1"/>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F38" i="21"/>
  <c r="F36" i="21"/>
  <c r="S36" i="21" s="1"/>
  <c r="F39" i="21"/>
  <c r="AA39" i="21" s="1"/>
  <c r="J40" i="21"/>
  <c r="H35" i="21"/>
  <c r="AB35" i="21" s="1"/>
  <c r="J8" i="21"/>
  <c r="AC8" i="21" s="1"/>
  <c r="H8" i="21"/>
  <c r="H10" i="21"/>
  <c r="AB10" i="21" s="1"/>
  <c r="H39" i="21"/>
  <c r="U39" i="21" s="1"/>
  <c r="J34" i="21"/>
  <c r="W34" i="21" s="1"/>
  <c r="H36" i="21"/>
  <c r="U36" i="21" s="1"/>
  <c r="F35" i="21"/>
  <c r="AA35" i="21" s="1"/>
  <c r="J10" i="21"/>
  <c r="AC10" i="21" s="1"/>
  <c r="H26" i="21"/>
  <c r="AB19" i="21"/>
  <c r="J19" i="21"/>
  <c r="W19" i="21"/>
  <c r="J26" i="21"/>
  <c r="W26" i="21"/>
  <c r="F26" i="21"/>
  <c r="S26" i="21"/>
  <c r="AB41"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AC27" i="39" s="1"/>
  <c r="F27" i="39"/>
  <c r="F11" i="21"/>
  <c r="S11" i="21"/>
  <c r="S40" i="21"/>
  <c r="U34" i="21"/>
  <c r="C25" i="39"/>
  <c r="C27" i="39"/>
  <c r="C21" i="39"/>
  <c r="H11" i="39"/>
  <c r="S40" i="39"/>
  <c r="C15" i="39"/>
  <c r="H32" i="33"/>
  <c r="H11" i="21"/>
  <c r="U11" i="21" s="1"/>
  <c r="J11" i="21"/>
  <c r="H37" i="40"/>
  <c r="U37" i="40" s="1"/>
  <c r="H36" i="40"/>
  <c r="F35" i="40"/>
  <c r="H23" i="40"/>
  <c r="AB23" i="40" s="1"/>
  <c r="H17" i="40"/>
  <c r="U17" i="40" s="1"/>
  <c r="J15" i="40"/>
  <c r="J11" i="40"/>
  <c r="AB8" i="39"/>
  <c r="AC12" i="34"/>
  <c r="AA12" i="34"/>
  <c r="AB12" i="35"/>
  <c r="AB12" i="36"/>
  <c r="W32" i="40"/>
  <c r="S44" i="39"/>
  <c r="F37"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H23" i="34"/>
  <c r="J23" i="34"/>
  <c r="F19" i="34"/>
  <c r="H17" i="34"/>
  <c r="U17" i="34" s="1"/>
  <c r="F15" i="34"/>
  <c r="AA15" i="34" s="1"/>
  <c r="J15" i="34"/>
  <c r="H15" i="34"/>
  <c r="S9" i="34"/>
  <c r="W8" i="34"/>
  <c r="J28" i="34"/>
  <c r="F41" i="33"/>
  <c r="E113" i="33"/>
  <c r="F32" i="33"/>
  <c r="AA32" i="33" s="1"/>
  <c r="J19" i="33"/>
  <c r="J15" i="33"/>
  <c r="F11" i="33"/>
  <c r="AA11" i="33" s="1"/>
  <c r="S26" i="33"/>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J17" i="34"/>
  <c r="AB17" i="34"/>
  <c r="S15" i="34"/>
  <c r="F113" i="33"/>
  <c r="G113" i="33" s="1"/>
  <c r="H113" i="33"/>
  <c r="I113" i="33" s="1"/>
  <c r="J113" i="33" s="1"/>
  <c r="K113" i="33" s="1"/>
  <c r="L113" i="33" s="1"/>
  <c r="M113" i="33" s="1"/>
  <c r="H37" i="33"/>
  <c r="AB37" i="33" s="1"/>
  <c r="H15" i="33"/>
  <c r="AB15" i="33" s="1"/>
  <c r="H11" i="33"/>
  <c r="AB11" i="33" s="1"/>
  <c r="F28" i="40"/>
  <c r="AA42" i="34"/>
  <c r="S42" i="34"/>
  <c r="AC38" i="34"/>
  <c r="AA38" i="34"/>
  <c r="J37" i="34"/>
  <c r="AC37" i="34"/>
  <c r="J11" i="33"/>
  <c r="W11" i="33"/>
  <c r="U23" i="40"/>
  <c r="G123" i="21"/>
  <c r="H123" i="21"/>
  <c r="I123" i="21" s="1"/>
  <c r="J123" i="21" s="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J13" i="21"/>
  <c r="AC13" i="21" s="1"/>
  <c r="H27" i="21"/>
  <c r="AB27" i="21" s="1"/>
  <c r="F27" i="21"/>
  <c r="AA27" i="21" s="1"/>
  <c r="H29" i="21"/>
  <c r="U29" i="21" s="1"/>
  <c r="J31" i="21"/>
  <c r="AC31" i="21" s="1"/>
  <c r="F31" i="21"/>
  <c r="S31" i="21" s="1"/>
  <c r="F45" i="21"/>
  <c r="AA45" i="21" s="1"/>
  <c r="F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H47" i="34"/>
  <c r="U47" i="34" s="1"/>
  <c r="F47" i="34"/>
  <c r="S47" i="34" s="1"/>
  <c r="J47" i="34"/>
  <c r="F13" i="35"/>
  <c r="J13" i="35"/>
  <c r="H13" i="35"/>
  <c r="J25" i="35"/>
  <c r="W25" i="35" s="1"/>
  <c r="F25" i="35"/>
  <c r="S25" i="35" s="1"/>
  <c r="H25" i="35"/>
  <c r="AB25" i="35" s="1"/>
  <c r="J35" i="35"/>
  <c r="AC35" i="35" s="1"/>
  <c r="F35" i="35"/>
  <c r="AA35" i="35" s="1"/>
  <c r="H35" i="35"/>
  <c r="J25" i="36"/>
  <c r="W25" i="36" s="1"/>
  <c r="F25" i="36"/>
  <c r="H25" i="36"/>
  <c r="AB25" i="36" s="1"/>
  <c r="H13" i="37"/>
  <c r="AB13" i="37" s="1"/>
  <c r="F13" i="37"/>
  <c r="S13" i="37" s="1"/>
  <c r="J13" i="37"/>
  <c r="W13" i="37" s="1"/>
  <c r="F28" i="37"/>
  <c r="AA28" i="37" s="1"/>
  <c r="J28" i="37"/>
  <c r="H28" i="37"/>
  <c r="H38" i="37"/>
  <c r="AB38" i="37" s="1"/>
  <c r="J38" i="37"/>
  <c r="F38" i="37"/>
  <c r="F43" i="39"/>
  <c r="AA43" i="39" s="1"/>
  <c r="H43" i="39"/>
  <c r="J14" i="39"/>
  <c r="AC14" i="39"/>
  <c r="F14" i="39"/>
  <c r="H14" i="39"/>
  <c r="AB14" i="39" s="1"/>
  <c r="F12" i="40"/>
  <c r="S12" i="40" s="1"/>
  <c r="H12" i="40"/>
  <c r="H30" i="40"/>
  <c r="AB30" i="40" s="1"/>
  <c r="F33" i="40"/>
  <c r="AA33" i="40" s="1"/>
  <c r="H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s="1"/>
  <c r="J27" i="37"/>
  <c r="AC27" i="37" s="1"/>
  <c r="AA44" i="33"/>
  <c r="U46" i="33"/>
  <c r="AA14" i="33"/>
  <c r="J36" i="37"/>
  <c r="AC36" i="37"/>
  <c r="AB11" i="36"/>
  <c r="AB11" i="35"/>
  <c r="J10" i="36"/>
  <c r="AB26" i="33"/>
  <c r="AA14" i="37"/>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AB24" i="35" s="1"/>
  <c r="H23" i="37"/>
  <c r="AB23" i="37" s="1"/>
  <c r="J32" i="37"/>
  <c r="AC32" i="37" s="1"/>
  <c r="F36" i="37"/>
  <c r="AA36" i="37" s="1"/>
  <c r="F37" i="37"/>
  <c r="F31" i="40"/>
  <c r="AA31" i="40" s="1"/>
  <c r="H31" i="40"/>
  <c r="U31" i="40" s="1"/>
  <c r="F32" i="40"/>
  <c r="H32" i="40"/>
  <c r="AB32" i="40" s="1"/>
  <c r="J36" i="40"/>
  <c r="H19" i="37"/>
  <c r="AB19" i="37"/>
  <c r="G123" i="33"/>
  <c r="H123" i="33" s="1"/>
  <c r="I123" i="33" s="1"/>
  <c r="J123" i="33" s="1"/>
  <c r="K123" i="33" s="1"/>
  <c r="L123" i="33" s="1"/>
  <c r="M123" i="33" s="1"/>
  <c r="H42" i="33"/>
  <c r="AB42" i="33"/>
  <c r="J43" i="33"/>
  <c r="AC43" i="33" s="1"/>
  <c r="U43" i="33"/>
  <c r="S28" i="31"/>
  <c r="S27" i="31"/>
  <c r="S26" i="31"/>
  <c r="U14" i="40"/>
  <c r="AC32" i="36"/>
  <c r="AC33" i="36"/>
  <c r="AA12" i="35"/>
  <c r="W23" i="35"/>
  <c r="W14" i="37"/>
  <c r="U39" i="37"/>
  <c r="W26" i="37"/>
  <c r="AC8" i="37"/>
  <c r="U26" i="37"/>
  <c r="AB13" i="34"/>
  <c r="W37" i="34"/>
  <c r="AB37" i="34"/>
  <c r="AC36" i="34"/>
  <c r="AA13" i="33"/>
  <c r="AC31" i="33"/>
  <c r="AC45" i="33"/>
  <c r="W44" i="33"/>
  <c r="U11" i="33"/>
  <c r="U19" i="21"/>
  <c r="W44" i="21"/>
  <c r="AC46"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AC13" i="40"/>
  <c r="W23" i="39"/>
  <c r="AC43" i="39"/>
  <c r="W43" i="39"/>
  <c r="U45" i="39"/>
  <c r="AB45"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4"/>
  <c r="C59" i="34" s="1"/>
  <c r="D59" i="34" s="1"/>
  <c r="E59" i="34" s="1"/>
  <c r="A118" i="9"/>
  <c r="A4" i="52"/>
  <c r="B41" i="72" s="1"/>
  <c r="J11" i="39"/>
  <c r="F11" i="39"/>
  <c r="AA11" i="39" s="1"/>
  <c r="A12" i="52"/>
  <c r="B56" i="72" s="1"/>
  <c r="S11" i="39"/>
  <c r="G4" i="4"/>
  <c r="I4" i="4"/>
  <c r="K5" i="4" s="1"/>
  <c r="B47" i="48" s="1"/>
  <c r="A2" i="9"/>
  <c r="F59" i="43"/>
  <c r="H62" i="43" s="1"/>
  <c r="AZ20" i="3"/>
  <c r="AZ24" i="3"/>
  <c r="AZ28" i="3"/>
  <c r="AZ32" i="3"/>
  <c r="AZ497" i="3"/>
  <c r="BL549" i="3"/>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549" i="3"/>
  <c r="AZ496" i="3"/>
  <c r="G548" i="3"/>
  <c r="G538" i="3"/>
  <c r="G520" i="3"/>
  <c r="G502" i="3"/>
  <c r="AZ343" i="3"/>
  <c r="BE5" i="3"/>
  <c r="G17" i="3"/>
  <c r="BA17" i="3"/>
  <c r="BT5" i="3"/>
  <c r="AZ350" i="3"/>
  <c r="AZ360" i="3"/>
  <c r="AZ368" i="3"/>
  <c r="BA15" i="3"/>
  <c r="AZ15" i="3"/>
  <c r="BR5" i="3"/>
  <c r="G28" i="6" s="1"/>
  <c r="AZ380" i="3"/>
  <c r="AZ388" i="3"/>
  <c r="AZ396" i="3"/>
  <c r="AZ499" i="3"/>
  <c r="G509" i="3"/>
  <c r="AZ491" i="3"/>
  <c r="AZ390" i="3"/>
  <c r="F36" i="43"/>
  <c r="F81" i="43"/>
  <c r="H83" i="43"/>
  <c r="H113" i="43"/>
  <c r="F48" i="43"/>
  <c r="H52" i="43" s="1"/>
  <c r="F70" i="43"/>
  <c r="M11" i="43"/>
  <c r="D17" i="43"/>
  <c r="F39" i="43"/>
  <c r="I17" i="43"/>
  <c r="F35" i="43"/>
  <c r="J17" i="43"/>
  <c r="F6" i="1"/>
  <c r="G6" i="1" s="1"/>
  <c r="U17" i="39"/>
  <c r="S14" i="35"/>
  <c r="U35" i="21"/>
  <c r="AC35" i="21"/>
  <c r="G9" i="1"/>
  <c r="AZ563" i="3"/>
  <c r="W37" i="37"/>
  <c r="AC44" i="34"/>
  <c r="AA12" i="40"/>
  <c r="J37" i="33"/>
  <c r="W37" i="33"/>
  <c r="J34" i="33"/>
  <c r="F33" i="34"/>
  <c r="W12" i="36"/>
  <c r="AC12" i="36"/>
  <c r="H20" i="36"/>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AC27" i="40" s="1"/>
  <c r="F27" i="40"/>
  <c r="S27" i="40" s="1"/>
  <c r="J30" i="40"/>
  <c r="AC30" i="40" s="1"/>
  <c r="F30" i="40"/>
  <c r="AC21" i="40"/>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G96" i="37"/>
  <c r="H96" i="37" s="1"/>
  <c r="I96" i="37"/>
  <c r="J96" i="37" s="1"/>
  <c r="K96" i="37" s="1"/>
  <c r="L96" i="37" s="1"/>
  <c r="M96" i="37" s="1"/>
  <c r="F20" i="36"/>
  <c r="AA20" i="36"/>
  <c r="J33" i="34"/>
  <c r="AC33" i="34"/>
  <c r="H23" i="39"/>
  <c r="U23" i="39"/>
  <c r="D48" i="9"/>
  <c r="M52" i="9" s="1"/>
  <c r="H86" i="43"/>
  <c r="H82" i="43"/>
  <c r="H87" i="43"/>
  <c r="K9" i="1"/>
  <c r="M9" i="1" s="1"/>
  <c r="O9" i="1" s="1"/>
  <c r="AE9" i="1"/>
  <c r="D93" i="9"/>
  <c r="AC26" i="33"/>
  <c r="W26" i="33"/>
  <c r="W27" i="34"/>
  <c r="AC27" i="34"/>
  <c r="U34" i="36"/>
  <c r="U33" i="36"/>
  <c r="AC12" i="39"/>
  <c r="W12" i="39"/>
  <c r="AC39" i="40"/>
  <c r="W39" i="40"/>
  <c r="AZ412" i="3"/>
  <c r="AZ428" i="3"/>
  <c r="AZ465" i="3"/>
  <c r="W12" i="33"/>
  <c r="AC12" i="33"/>
  <c r="AA32" i="36"/>
  <c r="S32" i="36"/>
  <c r="AZ551" i="3"/>
  <c r="AZ408" i="3"/>
  <c r="AZ437" i="3"/>
  <c r="AZ441" i="3"/>
  <c r="AZ457" i="3"/>
  <c r="AZ473" i="3"/>
  <c r="AZ490" i="3"/>
  <c r="AA39" i="34"/>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R12" i="1"/>
  <c r="S10" i="1"/>
  <c r="AQ10" i="1" s="1"/>
  <c r="B10" i="1"/>
  <c r="E10" i="1" s="1"/>
  <c r="D1" i="66"/>
  <c r="E10" i="66"/>
  <c r="AZ80" i="3"/>
  <c r="AZ84" i="3"/>
  <c r="AZ88" i="3"/>
  <c r="AZ107" i="3"/>
  <c r="AZ111" i="3"/>
  <c r="S13" i="1"/>
  <c r="AR13" i="1" s="1"/>
  <c r="R13" i="1"/>
  <c r="S11" i="1"/>
  <c r="AQ11" i="1" s="1"/>
  <c r="R11" i="1"/>
  <c r="S9" i="1"/>
  <c r="AR9" i="1" s="1"/>
  <c r="R9" i="1"/>
  <c r="J51" i="67"/>
  <c r="C42" i="1"/>
  <c r="H100" i="43"/>
  <c r="C30" i="66"/>
  <c r="E26" i="66"/>
  <c r="AA34" i="33"/>
  <c r="B41" i="1"/>
  <c r="F53" i="9" s="1"/>
  <c r="S22" i="31"/>
  <c r="J100" i="43"/>
  <c r="AB37" i="40"/>
  <c r="U35" i="40"/>
  <c r="W38" i="40"/>
  <c r="S17" i="40"/>
  <c r="S23" i="40"/>
  <c r="AC17" i="40"/>
  <c r="AB27" i="40"/>
  <c r="AA19" i="40"/>
  <c r="AA27" i="40"/>
  <c r="U21" i="40"/>
  <c r="AB19" i="40"/>
  <c r="W42" i="39"/>
  <c r="U37" i="39"/>
  <c r="W39" i="39"/>
  <c r="S43"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B14" i="36"/>
  <c r="U22" i="36"/>
  <c r="S16" i="36"/>
  <c r="S24" i="36"/>
  <c r="U24" i="36"/>
  <c r="U23" i="36"/>
  <c r="U16" i="36"/>
  <c r="U10" i="36"/>
  <c r="AA25" i="35"/>
  <c r="S23" i="35"/>
  <c r="W24" i="35"/>
  <c r="U29" i="35"/>
  <c r="U28" i="35"/>
  <c r="AB27" i="35"/>
  <c r="U32" i="35"/>
  <c r="AA33" i="35"/>
  <c r="AC30" i="35"/>
  <c r="S32" i="35"/>
  <c r="AA36" i="35"/>
  <c r="W32" i="35"/>
  <c r="S28" i="35"/>
  <c r="AB16" i="35"/>
  <c r="U22" i="35"/>
  <c r="AC20" i="35"/>
  <c r="S22" i="35"/>
  <c r="U14" i="35"/>
  <c r="AC10" i="35"/>
  <c r="AA10" i="35"/>
  <c r="AB10" i="35"/>
  <c r="AA11" i="35"/>
  <c r="S8" i="35"/>
  <c r="AC9" i="35"/>
  <c r="W9" i="35"/>
  <c r="AC12" i="35"/>
  <c r="F9" i="35"/>
  <c r="H9" i="35"/>
  <c r="F26" i="35"/>
  <c r="AA26" i="35" s="1"/>
  <c r="J26" i="35"/>
  <c r="AB40" i="37"/>
  <c r="S25" i="37"/>
  <c r="W27" i="37"/>
  <c r="S26" i="37"/>
  <c r="AC9" i="37"/>
  <c r="AC29" i="37"/>
  <c r="U29" i="37"/>
  <c r="W30" i="37"/>
  <c r="U32" i="37"/>
  <c r="AC35" i="37"/>
  <c r="W39" i="37"/>
  <c r="S30" i="37"/>
  <c r="AC15" i="37"/>
  <c r="J17" i="37"/>
  <c r="W17" i="37"/>
  <c r="F17" i="37"/>
  <c r="AA17" i="37" s="1"/>
  <c r="AB17" i="37"/>
  <c r="F75" i="37"/>
  <c r="F19" i="37"/>
  <c r="F79" i="37"/>
  <c r="F23" i="37"/>
  <c r="S23" i="37" s="1"/>
  <c r="U15" i="37"/>
  <c r="U9" i="37"/>
  <c r="AA13" i="37"/>
  <c r="AA12" i="37"/>
  <c r="AA9" i="37"/>
  <c r="H10" i="37"/>
  <c r="H60" i="37"/>
  <c r="F11" i="37"/>
  <c r="S11" i="37" s="1"/>
  <c r="W25" i="34"/>
  <c r="AB8" i="34"/>
  <c r="U44" i="34"/>
  <c r="U43" i="34"/>
  <c r="AC39" i="34"/>
  <c r="AC42" i="34"/>
  <c r="U39" i="34"/>
  <c r="AB41" i="34"/>
  <c r="W34" i="34"/>
  <c r="AA29" i="34"/>
  <c r="S23" i="34"/>
  <c r="S10" i="34"/>
  <c r="S13" i="34"/>
  <c r="H67" i="34"/>
  <c r="H10" i="34"/>
  <c r="F11" i="34"/>
  <c r="S11" i="34" s="1"/>
  <c r="F70" i="34"/>
  <c r="W42" i="33"/>
  <c r="S32" i="33"/>
  <c r="AA29" i="33"/>
  <c r="AB29"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S43" i="33"/>
  <c r="F91" i="33"/>
  <c r="H27" i="33"/>
  <c r="F87" i="33"/>
  <c r="H25" i="33"/>
  <c r="F25" i="33"/>
  <c r="J23" i="33"/>
  <c r="F85" i="33"/>
  <c r="H23" i="33"/>
  <c r="F81" i="33"/>
  <c r="F19" i="33"/>
  <c r="S19" i="33"/>
  <c r="J17" i="33"/>
  <c r="F79" i="33"/>
  <c r="S15" i="33"/>
  <c r="U9" i="33"/>
  <c r="J10" i="33"/>
  <c r="H10" i="33"/>
  <c r="AA10" i="33"/>
  <c r="AC11" i="33"/>
  <c r="AB14" i="33"/>
  <c r="W43" i="21"/>
  <c r="W36" i="21"/>
  <c r="W41" i="21"/>
  <c r="AB39" i="21"/>
  <c r="S39" i="21"/>
  <c r="AA36" i="21"/>
  <c r="J15" i="21"/>
  <c r="W15" i="21" s="1"/>
  <c r="F77" i="21"/>
  <c r="G77" i="21" s="1"/>
  <c r="F23" i="21"/>
  <c r="S23" i="21" s="1"/>
  <c r="E85" i="21"/>
  <c r="AA14" i="21"/>
  <c r="S8" i="21"/>
  <c r="M3" i="43"/>
  <c r="M1" i="43"/>
  <c r="N8" i="43"/>
  <c r="D120" i="9"/>
  <c r="D121" i="9" s="1"/>
  <c r="D7" i="52" s="1"/>
  <c r="C18" i="9"/>
  <c r="D18" i="9" s="1"/>
  <c r="M20" i="67"/>
  <c r="G13" i="3"/>
  <c r="BL17" i="3"/>
  <c r="AZ17" i="3"/>
  <c r="BL13" i="3"/>
  <c r="J56" i="9"/>
  <c r="J57" i="9" s="1"/>
  <c r="J59" i="9" s="1"/>
  <c r="J61" i="9" s="1"/>
  <c r="A24" i="51"/>
  <c r="B18" i="72" s="1"/>
  <c r="U29" i="34"/>
  <c r="E5" i="6"/>
  <c r="D9" i="11" s="1"/>
  <c r="C9" i="11" s="1"/>
  <c r="E32" i="6"/>
  <c r="L19"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E48" i="35" s="1"/>
  <c r="F48" i="35" s="1"/>
  <c r="C7" i="21"/>
  <c r="C58" i="21" s="1"/>
  <c r="D58" i="21" s="1"/>
  <c r="M47" i="9"/>
  <c r="T35" i="4"/>
  <c r="A19" i="51"/>
  <c r="B14" i="72" s="1"/>
  <c r="A4" i="51"/>
  <c r="B6" i="72" s="1"/>
  <c r="H66" i="43"/>
  <c r="H65" i="43"/>
  <c r="H64" i="43"/>
  <c r="H63" i="43"/>
  <c r="H55" i="43"/>
  <c r="H56" i="43"/>
  <c r="H72" i="43"/>
  <c r="L20" i="6"/>
  <c r="S8" i="1"/>
  <c r="AQ8" i="1" s="1"/>
  <c r="K11" i="1"/>
  <c r="AP6" i="1"/>
  <c r="B9" i="1"/>
  <c r="E9" i="1"/>
  <c r="K7"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F52" i="9"/>
  <c r="F30" i="69"/>
  <c r="F48" i="69" s="1"/>
  <c r="AR11" i="1"/>
  <c r="S7" i="1"/>
  <c r="AR7" i="1" s="1"/>
  <c r="E7" i="70"/>
  <c r="AA39" i="40"/>
  <c r="S39" i="40"/>
  <c r="S12" i="33"/>
  <c r="AA12" i="3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S37" i="21"/>
  <c r="AA23" i="21"/>
  <c r="AB15" i="21"/>
  <c r="J23" i="21"/>
  <c r="F85" i="21"/>
  <c r="G85" i="21" s="1"/>
  <c r="H23" i="21"/>
  <c r="AB23" i="21" s="1"/>
  <c r="S13" i="21"/>
  <c r="D6" i="52"/>
  <c r="R22" i="31"/>
  <c r="AP7" i="1"/>
  <c r="M7" i="1"/>
  <c r="O7" i="1" s="1"/>
  <c r="AB45" i="21"/>
  <c r="AC33" i="21"/>
  <c r="W33" i="21"/>
  <c r="AA33" i="21"/>
  <c r="W32" i="21"/>
  <c r="AC32" i="21"/>
  <c r="AB9" i="21"/>
  <c r="U9" i="21"/>
  <c r="S32" i="21"/>
  <c r="AC9" i="21"/>
  <c r="U32" i="21"/>
  <c r="AA10" i="21"/>
  <c r="S10" i="21"/>
  <c r="T7" i="1"/>
  <c r="A18" i="62"/>
  <c r="B64" i="72" s="1"/>
  <c r="U32" i="39"/>
  <c r="AB32" i="39"/>
  <c r="W19" i="37"/>
  <c r="AC19" i="37"/>
  <c r="W23" i="37"/>
  <c r="AB11" i="37"/>
  <c r="U11" i="37"/>
  <c r="J11" i="37"/>
  <c r="W11" i="37" s="1"/>
  <c r="U11" i="34"/>
  <c r="AB11" i="34"/>
  <c r="W10" i="34"/>
  <c r="J11" i="34"/>
  <c r="AC36" i="33"/>
  <c r="U36" i="33"/>
  <c r="AB36" i="33"/>
  <c r="W27" i="33"/>
  <c r="AC27" i="33"/>
  <c r="W25" i="33"/>
  <c r="AC25" i="33"/>
  <c r="AA23" i="33"/>
  <c r="AB19" i="33"/>
  <c r="U19" i="33"/>
  <c r="AA17" i="33"/>
  <c r="S17" i="33"/>
  <c r="U17" i="33"/>
  <c r="U23" i="21"/>
  <c r="AC23" i="21"/>
  <c r="W23" i="21"/>
  <c r="AC11" i="37"/>
  <c r="W11" i="34"/>
  <c r="AC11" i="34"/>
  <c r="R7" i="1"/>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24" i="12"/>
  <c r="C14" i="71"/>
  <c r="D14" i="71" s="1"/>
  <c r="D15" i="71"/>
  <c r="D16" i="71"/>
  <c r="U16" i="71"/>
  <c r="S16" i="71"/>
  <c r="T16" i="71"/>
  <c r="AB14" i="71"/>
  <c r="X12" i="71"/>
  <c r="X11" i="71"/>
  <c r="AA12" i="71"/>
  <c r="AA11" i="71"/>
  <c r="X15" i="71"/>
  <c r="Y11" i="71"/>
  <c r="Z11" i="71" s="1"/>
  <c r="AB12" i="71"/>
  <c r="AB11" i="71"/>
  <c r="S12" i="71"/>
  <c r="C92" i="9"/>
  <c r="F13" i="71"/>
  <c r="F12" i="71"/>
  <c r="F11" i="71" s="1"/>
  <c r="F10" i="71" s="1"/>
  <c r="F9" i="71" s="1"/>
  <c r="Y12" i="71"/>
  <c r="Z12" i="71" s="1"/>
  <c r="X3" i="71"/>
  <c r="E13" i="71"/>
  <c r="E12" i="71" s="1"/>
  <c r="G20" i="43"/>
  <c r="E41" i="43" s="1"/>
  <c r="C41" i="43" s="1"/>
  <c r="E7" i="76"/>
  <c r="B11" i="76"/>
  <c r="M9" i="15"/>
  <c r="F3" i="73"/>
  <c r="F36" i="15"/>
  <c r="B7" i="76"/>
  <c r="M23" i="15"/>
  <c r="B13" i="76"/>
  <c r="F26" i="15"/>
  <c r="AO9" i="1"/>
  <c r="M24" i="15"/>
  <c r="D2" i="34"/>
  <c r="J15" i="15"/>
  <c r="F13" i="15"/>
  <c r="B9" i="76"/>
  <c r="M26" i="15"/>
  <c r="E12" i="76"/>
  <c r="AO13" i="1"/>
  <c r="AO8" i="1"/>
  <c r="C76" i="15"/>
  <c r="B8" i="76"/>
  <c r="AO12" i="1"/>
  <c r="E2" i="69"/>
  <c r="F38" i="15"/>
  <c r="F6" i="73"/>
  <c r="E10" i="76"/>
  <c r="E9" i="76"/>
  <c r="F9" i="15"/>
  <c r="F40" i="15"/>
  <c r="M27" i="15"/>
  <c r="AO7" i="1"/>
  <c r="M28" i="15"/>
  <c r="F20" i="31"/>
  <c r="AO10" i="1"/>
  <c r="F4" i="73"/>
  <c r="E13" i="76"/>
  <c r="E8" i="76"/>
  <c r="M22" i="15"/>
  <c r="F7" i="73"/>
  <c r="D2" i="37"/>
  <c r="F42" i="15"/>
  <c r="E2" i="68"/>
  <c r="B10" i="76"/>
  <c r="D2" i="21"/>
  <c r="F8" i="15"/>
  <c r="AO11" i="1"/>
  <c r="F37" i="15"/>
  <c r="F5" i="73"/>
  <c r="B12" i="76"/>
  <c r="M8" i="15"/>
  <c r="M6" i="15"/>
  <c r="D2" i="33"/>
  <c r="L47" i="15"/>
  <c r="E11" i="76"/>
  <c r="F6" i="15"/>
  <c r="D2" i="35"/>
  <c r="L48" i="15"/>
  <c r="F16" i="15"/>
  <c r="D2" i="36"/>
  <c r="T10" i="1" l="1"/>
  <c r="T13" i="1"/>
  <c r="T11" i="1"/>
  <c r="G7" i="1"/>
  <c r="P61" i="15"/>
  <c r="F54" i="9"/>
  <c r="T9" i="1"/>
  <c r="AQ9" i="1"/>
  <c r="M18" i="15"/>
  <c r="F32" i="67"/>
  <c r="F60" i="67" s="1"/>
  <c r="F28" i="67"/>
  <c r="C28" i="67" s="1"/>
  <c r="AR10" i="1"/>
  <c r="F34" i="15"/>
  <c r="F62" i="15" s="1"/>
  <c r="F34" i="67"/>
  <c r="F62" i="67" s="1"/>
  <c r="K12" i="1"/>
  <c r="M12" i="1" s="1"/>
  <c r="R10" i="1"/>
  <c r="B12" i="1"/>
  <c r="E12" i="1" s="1"/>
  <c r="K6" i="1"/>
  <c r="G16" i="1" s="1"/>
  <c r="C40" i="11"/>
  <c r="C20" i="43"/>
  <c r="T12" i="43" s="1"/>
  <c r="V12" i="43" s="1"/>
  <c r="C30" i="11"/>
  <c r="D68" i="9"/>
  <c r="F28" i="15"/>
  <c r="F32" i="15"/>
  <c r="F60" i="15" s="1"/>
  <c r="M18" i="67"/>
  <c r="F31" i="12"/>
  <c r="F30" i="68"/>
  <c r="F48" i="68" s="1"/>
  <c r="C48" i="69"/>
  <c r="C30" i="69"/>
  <c r="C40" i="69"/>
  <c r="C21" i="69"/>
  <c r="P7" i="1"/>
  <c r="AR8" i="1"/>
  <c r="L27" i="6"/>
  <c r="G1" i="67"/>
  <c r="B6" i="1"/>
  <c r="E6" i="1" s="1"/>
  <c r="K1" i="12"/>
  <c r="T8" i="1"/>
  <c r="G1" i="69"/>
  <c r="F101" i="43"/>
  <c r="F105" i="43" s="1"/>
  <c r="L101" i="43"/>
  <c r="AQ12" i="1"/>
  <c r="P10" i="1"/>
  <c r="D19" i="12"/>
  <c r="C19" i="12" s="1"/>
  <c r="D9" i="68"/>
  <c r="C9" i="68" s="1"/>
  <c r="D9" i="69"/>
  <c r="C9" i="69" s="1"/>
  <c r="C36" i="69"/>
  <c r="E22" i="43"/>
  <c r="L105" i="43"/>
  <c r="J22" i="43"/>
  <c r="G13" i="1"/>
  <c r="G12" i="1"/>
  <c r="G10" i="1"/>
  <c r="G8" i="1"/>
  <c r="C70" i="39"/>
  <c r="D68" i="39"/>
  <c r="C77" i="9"/>
  <c r="C74" i="9" s="1"/>
  <c r="C13" i="12"/>
  <c r="J1" i="73"/>
  <c r="C28" i="15"/>
  <c r="G19" i="43"/>
  <c r="O19" i="43" s="1"/>
  <c r="C19" i="43" s="1"/>
  <c r="C7" i="40"/>
  <c r="C63" i="40" s="1"/>
  <c r="C7" i="33"/>
  <c r="C58" i="33" s="1"/>
  <c r="D58" i="33" s="1"/>
  <c r="E58" i="33" s="1"/>
  <c r="F58" i="33" s="1"/>
  <c r="G58" i="33" s="1"/>
  <c r="H58" i="33" s="1"/>
  <c r="I58" i="33" s="1"/>
  <c r="J58" i="33" s="1"/>
  <c r="K58" i="33" s="1"/>
  <c r="L58" i="33" s="1"/>
  <c r="M58" i="33" s="1"/>
  <c r="N58" i="33" s="1"/>
  <c r="O58" i="33" s="1"/>
  <c r="C7" i="36"/>
  <c r="C46" i="36" s="1"/>
  <c r="D46" i="36" s="1"/>
  <c r="E46" i="36" s="1"/>
  <c r="F46" i="36" s="1"/>
  <c r="E11" i="71"/>
  <c r="E10" i="71" s="1"/>
  <c r="E9" i="71" s="1"/>
  <c r="E8" i="71" s="1"/>
  <c r="V12" i="71"/>
  <c r="G48" i="35"/>
  <c r="H48" i="35" s="1"/>
  <c r="I48" i="35" s="1"/>
  <c r="J48" i="35" s="1"/>
  <c r="K48" i="35" s="1"/>
  <c r="L48" i="35" s="1"/>
  <c r="M48" i="35" s="1"/>
  <c r="N48" i="35" s="1"/>
  <c r="O48" i="35" s="1"/>
  <c r="F59" i="34"/>
  <c r="G59" i="34" s="1"/>
  <c r="H59" i="34" s="1"/>
  <c r="I59" i="34" s="1"/>
  <c r="J59" i="34" s="1"/>
  <c r="K59" i="34" s="1"/>
  <c r="L59" i="34" s="1"/>
  <c r="M59" i="34" s="1"/>
  <c r="N59" i="34" s="1"/>
  <c r="O59" i="34" s="1"/>
  <c r="H7" i="34"/>
  <c r="E58" i="21"/>
  <c r="F58" i="21" s="1"/>
  <c r="G58" i="21" s="1"/>
  <c r="H58" i="21" s="1"/>
  <c r="I58" i="21" s="1"/>
  <c r="J58" i="21" s="1"/>
  <c r="K58" i="21" s="1"/>
  <c r="L58" i="21" s="1"/>
  <c r="M58" i="21" s="1"/>
  <c r="N58" i="21" s="1"/>
  <c r="O58" i="21" s="1"/>
  <c r="D5" i="43"/>
  <c r="C5" i="43"/>
  <c r="F52" i="37"/>
  <c r="G52" i="37" s="1"/>
  <c r="H52" i="37" s="1"/>
  <c r="I52" i="37" s="1"/>
  <c r="J52" i="37" s="1"/>
  <c r="K52" i="37" s="1"/>
  <c r="L52" i="37" s="1"/>
  <c r="M52" i="37" s="1"/>
  <c r="N52" i="37" s="1"/>
  <c r="O52" i="37" s="1"/>
  <c r="H7" i="37"/>
  <c r="AC17" i="21"/>
  <c r="W17" i="21"/>
  <c r="AB33" i="21"/>
  <c r="U33" i="21"/>
  <c r="F7" i="34"/>
  <c r="C13" i="71"/>
  <c r="H7" i="35"/>
  <c r="J7" i="37"/>
  <c r="D12" i="52"/>
  <c r="D127" i="9"/>
  <c r="D13" i="52" s="1"/>
  <c r="L67" i="9"/>
  <c r="M67" i="9" s="1"/>
  <c r="L63" i="9"/>
  <c r="M63" i="9" s="1"/>
  <c r="M69" i="9" s="1"/>
  <c r="N69" i="9" s="1"/>
  <c r="L64" i="9"/>
  <c r="M64" i="9" s="1"/>
  <c r="L66" i="9"/>
  <c r="M66" i="9" s="1"/>
  <c r="L65" i="9"/>
  <c r="M65" i="9" s="1"/>
  <c r="AC10" i="37"/>
  <c r="AC32" i="39"/>
  <c r="AQ7" i="1"/>
  <c r="AC37" i="21"/>
  <c r="M11" i="1"/>
  <c r="F106" i="43"/>
  <c r="AA32" i="37"/>
  <c r="S32" i="37"/>
  <c r="AA27" i="36"/>
  <c r="S27" i="36"/>
  <c r="AA43" i="34"/>
  <c r="S43" i="34"/>
  <c r="AA20" i="35"/>
  <c r="S20" i="35"/>
  <c r="S33" i="34"/>
  <c r="AA33" i="34"/>
  <c r="W11" i="39"/>
  <c r="AC11" i="39"/>
  <c r="W36" i="40"/>
  <c r="AC36" i="40"/>
  <c r="S32" i="40"/>
  <c r="AA32" i="40"/>
  <c r="AC41" i="34"/>
  <c r="W41" i="34"/>
  <c r="AB27" i="34"/>
  <c r="U27" i="34"/>
  <c r="S25" i="21"/>
  <c r="AA25" i="21"/>
  <c r="AZ557" i="3"/>
  <c r="AZ513" i="3"/>
  <c r="AZ517" i="3"/>
  <c r="AZ567" i="3"/>
  <c r="AZ571" i="3"/>
  <c r="AZ575" i="3"/>
  <c r="AZ579" i="3"/>
  <c r="AC10" i="36"/>
  <c r="W10" i="36"/>
  <c r="AB12" i="40"/>
  <c r="U12" i="40"/>
  <c r="S38" i="37"/>
  <c r="AA38" i="37"/>
  <c r="AC28" i="37"/>
  <c r="W28" i="37"/>
  <c r="S25" i="36"/>
  <c r="AA25" i="36"/>
  <c r="AB35" i="35"/>
  <c r="U35" i="35"/>
  <c r="U13" i="35"/>
  <c r="AB13" i="35"/>
  <c r="S13" i="35"/>
  <c r="AA13" i="35"/>
  <c r="S45" i="34"/>
  <c r="AA45" i="34"/>
  <c r="AA27" i="33"/>
  <c r="S27" i="33"/>
  <c r="AC14" i="36"/>
  <c r="W14" i="36"/>
  <c r="U30" i="21"/>
  <c r="AB30" i="21"/>
  <c r="AA28" i="40"/>
  <c r="S28" i="40"/>
  <c r="W17" i="34"/>
  <c r="AC17" i="34"/>
  <c r="AC19" i="33"/>
  <c r="W19" i="33"/>
  <c r="AA41" i="33"/>
  <c r="S41" i="33"/>
  <c r="AB15" i="34"/>
  <c r="U15" i="34"/>
  <c r="U23" i="34"/>
  <c r="AB23" i="34"/>
  <c r="W34" i="36"/>
  <c r="AC34" i="36"/>
  <c r="W15" i="40"/>
  <c r="AC15" i="40"/>
  <c r="AB36" i="40"/>
  <c r="U36" i="40"/>
  <c r="W11" i="21"/>
  <c r="AC11" i="21"/>
  <c r="AB32" i="33"/>
  <c r="U32" i="33"/>
  <c r="AA31" i="39"/>
  <c r="S31" i="39"/>
  <c r="AC36" i="39"/>
  <c r="W36" i="39"/>
  <c r="W45" i="39"/>
  <c r="AC45" i="39"/>
  <c r="AB26" i="21"/>
  <c r="U26" i="21"/>
  <c r="W40" i="21"/>
  <c r="AC40" i="21"/>
  <c r="AB43" i="21"/>
  <c r="U43" i="21"/>
  <c r="S43" i="21"/>
  <c r="AA43" i="21"/>
  <c r="AA34" i="21"/>
  <c r="S34" i="21"/>
  <c r="G29" i="6"/>
  <c r="G30" i="6" s="1"/>
  <c r="G31" i="6" s="1"/>
  <c r="BA585" i="3"/>
  <c r="AZ585" i="3" s="1"/>
  <c r="BC5" i="3"/>
  <c r="B113" i="43"/>
  <c r="G101" i="43"/>
  <c r="C101" i="43"/>
  <c r="J101" i="43"/>
  <c r="N104" i="46"/>
  <c r="H22" i="43"/>
  <c r="D101" i="43"/>
  <c r="M101" i="43"/>
  <c r="I101" i="43"/>
  <c r="E101" i="43"/>
  <c r="F12" i="21"/>
  <c r="J12" i="21"/>
  <c r="H12" i="21"/>
  <c r="AB8" i="33"/>
  <c r="U8" i="33"/>
  <c r="AA9" i="33"/>
  <c r="S9" i="33"/>
  <c r="U12" i="33"/>
  <c r="AB12" i="33"/>
  <c r="AB35" i="33"/>
  <c r="U35" i="33"/>
  <c r="AC38" i="33"/>
  <c r="W38" i="33"/>
  <c r="Y11" i="43"/>
  <c r="Y13" i="43" s="1"/>
  <c r="AA11" i="43"/>
  <c r="AA13" i="43" s="1"/>
  <c r="AC11" i="43"/>
  <c r="AE11" i="43"/>
  <c r="AE13" i="43" s="1"/>
  <c r="AG11" i="43"/>
  <c r="AI11" i="43"/>
  <c r="AI13" i="43" s="1"/>
  <c r="Z7" i="43"/>
  <c r="Z11" i="43"/>
  <c r="AB11" i="43"/>
  <c r="AB13" i="43" s="1"/>
  <c r="AD11" i="43"/>
  <c r="AF11" i="43"/>
  <c r="AH11" i="43"/>
  <c r="AJ11" i="43"/>
  <c r="AJ13" i="43" s="1"/>
  <c r="T12" i="1"/>
  <c r="F102" i="43"/>
  <c r="G22" i="43"/>
  <c r="H101" i="43"/>
  <c r="G5" i="3"/>
  <c r="B3" i="3" s="1"/>
  <c r="W43" i="33"/>
  <c r="AA35" i="33"/>
  <c r="U28" i="34"/>
  <c r="S27" i="34"/>
  <c r="AC13" i="37"/>
  <c r="U23" i="37"/>
  <c r="S36" i="37"/>
  <c r="AB31" i="37"/>
  <c r="AA22" i="36"/>
  <c r="O12" i="1"/>
  <c r="P12" i="1" s="1"/>
  <c r="N101" i="43"/>
  <c r="K101" i="43"/>
  <c r="F22" i="43"/>
  <c r="P9" i="1"/>
  <c r="AA30" i="40"/>
  <c r="S30" i="40"/>
  <c r="U20" i="36"/>
  <c r="AB20" i="36"/>
  <c r="W34" i="33"/>
  <c r="AC34" i="33"/>
  <c r="U13" i="37"/>
  <c r="F48" i="9"/>
  <c r="O52" i="9" s="1"/>
  <c r="U10" i="21"/>
  <c r="H73" i="43"/>
  <c r="H75" i="43"/>
  <c r="AZ321" i="3"/>
  <c r="AZ119" i="3"/>
  <c r="BA5" i="3"/>
  <c r="W35" i="40"/>
  <c r="H5" i="3"/>
  <c r="AA15" i="37"/>
  <c r="S15" i="37"/>
  <c r="U33" i="37"/>
  <c r="AA41" i="34"/>
  <c r="AA37" i="37"/>
  <c r="S37" i="37"/>
  <c r="U35" i="34"/>
  <c r="AB35" i="34"/>
  <c r="AA14" i="36"/>
  <c r="S14" i="36"/>
  <c r="AZ581" i="3"/>
  <c r="AZ546" i="3"/>
  <c r="AZ568" i="3"/>
  <c r="AZ576" i="3"/>
  <c r="W35" i="39"/>
  <c r="AZ586" i="3"/>
  <c r="U31" i="34"/>
  <c r="AA14" i="40"/>
  <c r="S14" i="40"/>
  <c r="U33" i="40"/>
  <c r="AB33" i="40"/>
  <c r="AC38" i="37"/>
  <c r="W38" i="37"/>
  <c r="U28" i="37"/>
  <c r="AB28" i="37"/>
  <c r="AC13" i="35"/>
  <c r="W13" i="35"/>
  <c r="AC47" i="34"/>
  <c r="W47" i="34"/>
  <c r="AC31" i="34"/>
  <c r="W31" i="34"/>
  <c r="AA29" i="35"/>
  <c r="AA17" i="34"/>
  <c r="S17" i="34"/>
  <c r="AC15" i="33"/>
  <c r="W15" i="33"/>
  <c r="S38" i="33"/>
  <c r="W28" i="34"/>
  <c r="AC28" i="34"/>
  <c r="S25" i="34"/>
  <c r="AA25" i="34"/>
  <c r="AA28" i="34"/>
  <c r="S28" i="34"/>
  <c r="AB33" i="35"/>
  <c r="U33" i="35"/>
  <c r="AA37" i="39"/>
  <c r="S37" i="39"/>
  <c r="W11" i="40"/>
  <c r="AC11" i="40"/>
  <c r="AA35" i="40"/>
  <c r="S35" i="40"/>
  <c r="W39" i="33"/>
  <c r="S39" i="37"/>
  <c r="AA39" i="37"/>
  <c r="AB36" i="39"/>
  <c r="U36" i="39"/>
  <c r="U8" i="21"/>
  <c r="AB8" i="21"/>
  <c r="S38" i="21"/>
  <c r="AA38" i="21"/>
  <c r="BL587" i="3"/>
  <c r="BL5" i="3" s="1"/>
  <c r="BM5" i="3"/>
  <c r="F29" i="6" s="1"/>
  <c r="E29" i="6" s="1"/>
  <c r="K15" i="1" s="1"/>
  <c r="BA587" i="3"/>
  <c r="AZ587" i="3" s="1"/>
  <c r="BB5" i="3"/>
  <c r="E8" i="6" s="1"/>
  <c r="BS5" i="3"/>
  <c r="F28" i="6" s="1"/>
  <c r="AC34" i="35"/>
  <c r="W34" i="35"/>
  <c r="AB36" i="35"/>
  <c r="U36" i="35"/>
  <c r="U25" i="37"/>
  <c r="AB25" i="37"/>
  <c r="AZ550" i="3"/>
  <c r="AZ548" i="3"/>
  <c r="AZ398" i="3"/>
  <c r="AZ405" i="3"/>
  <c r="AZ407" i="3"/>
  <c r="AZ410" i="3"/>
  <c r="AZ415" i="3"/>
  <c r="AZ420" i="3"/>
  <c r="AZ426" i="3"/>
  <c r="AZ431" i="3"/>
  <c r="AZ436" i="3"/>
  <c r="AZ448" i="3"/>
  <c r="AC31" i="35"/>
  <c r="F34" i="35"/>
  <c r="H34" i="35"/>
  <c r="J36" i="35"/>
  <c r="AZ452" i="3"/>
  <c r="AZ456" i="3"/>
  <c r="AZ458" i="3"/>
  <c r="AZ466" i="3"/>
  <c r="AZ472" i="3"/>
  <c r="AZ475" i="3"/>
  <c r="AZ483" i="3"/>
  <c r="AZ489" i="3"/>
  <c r="AZ316" i="3"/>
  <c r="AZ332" i="3"/>
  <c r="AZ395" i="3"/>
  <c r="AZ208" i="3"/>
  <c r="AZ211" i="3"/>
  <c r="AZ219" i="3"/>
  <c r="AZ236" i="3"/>
  <c r="AZ252" i="3"/>
  <c r="AZ272" i="3"/>
  <c r="AZ276" i="3"/>
  <c r="AZ289" i="3"/>
  <c r="AZ294" i="3"/>
  <c r="AZ300" i="3"/>
  <c r="AZ118" i="3"/>
  <c r="AZ121" i="3"/>
  <c r="AZ134" i="3"/>
  <c r="AZ137" i="3"/>
  <c r="AZ145" i="3"/>
  <c r="AZ48" i="3"/>
  <c r="AZ64" i="3"/>
  <c r="AZ108" i="3"/>
  <c r="F3" i="35"/>
  <c r="AZ177" i="3"/>
  <c r="AZ18" i="3"/>
  <c r="AZ27" i="3"/>
  <c r="AZ56" i="3"/>
  <c r="AZ73" i="3"/>
  <c r="D108" i="43"/>
  <c r="D100" i="43"/>
  <c r="B75" i="43"/>
  <c r="B66" i="43"/>
  <c r="C29" i="39"/>
  <c r="AA18" i="35"/>
  <c r="S18" i="35"/>
  <c r="AA29" i="39"/>
  <c r="S29" i="39"/>
  <c r="AA3" i="71"/>
  <c r="AA18" i="71"/>
  <c r="AA20" i="71"/>
  <c r="B20" i="71"/>
  <c r="X18" i="71"/>
  <c r="X20" i="71"/>
  <c r="Y21" i="71"/>
  <c r="Z21" i="71" s="1"/>
  <c r="Y17" i="71"/>
  <c r="Z17" i="71" s="1"/>
  <c r="Y18" i="71"/>
  <c r="Z18" i="71" s="1"/>
  <c r="Y19" i="71"/>
  <c r="Z19" i="71" s="1"/>
  <c r="Y20" i="71"/>
  <c r="Z20" i="71" s="1"/>
  <c r="AB21" i="71"/>
  <c r="AB18" i="71"/>
  <c r="AB20" i="71"/>
  <c r="AA22" i="71"/>
  <c r="AA23" i="71"/>
  <c r="AB26" i="71"/>
  <c r="AB29" i="71"/>
  <c r="T60" i="71"/>
  <c r="D60" i="71"/>
  <c r="V60" i="71"/>
  <c r="F59" i="71"/>
  <c r="Q60" i="71"/>
  <c r="T68" i="71"/>
  <c r="D68" i="71"/>
  <c r="M108" i="43"/>
  <c r="M109" i="43" s="1"/>
  <c r="M100" i="43"/>
  <c r="I108" i="43"/>
  <c r="I100" i="43"/>
  <c r="E108" i="43"/>
  <c r="E109" i="43" s="1"/>
  <c r="E100" i="43"/>
  <c r="F40" i="68"/>
  <c r="C21" i="68"/>
  <c r="C40" i="68"/>
  <c r="W29" i="39"/>
  <c r="S25" i="40"/>
  <c r="B55" i="43"/>
  <c r="D48" i="71"/>
  <c r="O57" i="71"/>
  <c r="P57" i="71"/>
  <c r="P59" i="71"/>
  <c r="C74" i="71"/>
  <c r="D74" i="71" s="1"/>
  <c r="D59" i="71"/>
  <c r="U20" i="71"/>
  <c r="AA17" i="71"/>
  <c r="E20" i="71"/>
  <c r="AB17" i="71"/>
  <c r="C67" i="71"/>
  <c r="O60" i="71"/>
  <c r="C55" i="71"/>
  <c r="C43" i="71"/>
  <c r="X19" i="71"/>
  <c r="E24" i="71"/>
  <c r="U24" i="71" s="1"/>
  <c r="F22" i="71"/>
  <c r="F23" i="71" s="1"/>
  <c r="F24" i="71" s="1"/>
  <c r="V24" i="71" s="1"/>
  <c r="Y24" i="71"/>
  <c r="Z24" i="71" s="1"/>
  <c r="AB24" i="71"/>
  <c r="AB22" i="71"/>
  <c r="AB25" i="71"/>
  <c r="Y27" i="71"/>
  <c r="Z27" i="71" s="1"/>
  <c r="AA25" i="71"/>
  <c r="AA24" i="71"/>
  <c r="AA27" i="71"/>
  <c r="F30" i="71"/>
  <c r="F31" i="71" s="1"/>
  <c r="F32" i="71" s="1"/>
  <c r="V32" i="71" s="1"/>
  <c r="Y22" i="71"/>
  <c r="Z22" i="71" s="1"/>
  <c r="AB23" i="71"/>
  <c r="Y26" i="71"/>
  <c r="Z26" i="71" s="1"/>
  <c r="X25" i="71"/>
  <c r="X26" i="71"/>
  <c r="X27" i="71"/>
  <c r="AB27" i="71"/>
  <c r="Y30" i="71"/>
  <c r="Z30" i="71" s="1"/>
  <c r="AA31" i="71"/>
  <c r="AA29" i="71"/>
  <c r="Z12" i="43"/>
  <c r="Z13" i="43" s="1"/>
  <c r="Z10" i="43"/>
  <c r="AD12" i="43"/>
  <c r="AD13" i="43" s="1"/>
  <c r="AD10" i="43"/>
  <c r="AF12" i="43"/>
  <c r="AF10" i="43"/>
  <c r="AH12" i="43"/>
  <c r="AH13" i="43" s="1"/>
  <c r="AH10" i="43"/>
  <c r="AC12" i="43"/>
  <c r="AC10" i="43"/>
  <c r="AG12" i="43"/>
  <c r="AG10" i="43"/>
  <c r="AB16" i="71"/>
  <c r="X14" i="71"/>
  <c r="AA16" i="71"/>
  <c r="AA15" i="71"/>
  <c r="AA13" i="71"/>
  <c r="X13" i="71"/>
  <c r="Y10" i="71"/>
  <c r="Z10" i="71" s="1"/>
  <c r="Y6" i="71"/>
  <c r="Z6" i="71" s="1"/>
  <c r="AB5" i="71"/>
  <c r="Y14" i="71"/>
  <c r="Z14" i="71" s="1"/>
  <c r="AB15" i="71"/>
  <c r="AB13" i="71"/>
  <c r="X6" i="71"/>
  <c r="Y9" i="71"/>
  <c r="Z9" i="71" s="1"/>
  <c r="AA6" i="71"/>
  <c r="AB10" i="71"/>
  <c r="P74" i="67"/>
  <c r="X16" i="71"/>
  <c r="Y16" i="71"/>
  <c r="Z16" i="71" s="1"/>
  <c r="Y13" i="71"/>
  <c r="Z13" i="71" s="1"/>
  <c r="AA14" i="71"/>
  <c r="X10" i="71"/>
  <c r="AA10" i="71"/>
  <c r="X7" i="71"/>
  <c r="AA7" i="71"/>
  <c r="AA5" i="71"/>
  <c r="X5" i="71"/>
  <c r="Y5" i="71"/>
  <c r="Z5" i="71" s="1"/>
  <c r="Y15" i="71"/>
  <c r="Z15" i="71" s="1"/>
  <c r="AB7" i="71"/>
  <c r="X9" i="71"/>
  <c r="AA9" i="71"/>
  <c r="AB9" i="71"/>
  <c r="AB6" i="71"/>
  <c r="F31" i="67"/>
  <c r="F31" i="15"/>
  <c r="K4" i="4"/>
  <c r="B46" i="48" s="1"/>
  <c r="B4" i="72" s="1"/>
  <c r="B4" i="62"/>
  <c r="B71" i="72" s="1"/>
  <c r="D9" i="53"/>
  <c r="B25" i="72" s="1"/>
  <c r="B24" i="72"/>
  <c r="K120" i="9"/>
  <c r="Y8" i="71"/>
  <c r="Z8" i="71" s="1"/>
  <c r="Y7" i="71"/>
  <c r="AA8" i="71"/>
  <c r="AB3" i="71"/>
  <c r="C36" i="43"/>
  <c r="E36" i="43" s="1"/>
  <c r="C39" i="43"/>
  <c r="B8" i="71"/>
  <c r="X8" i="71"/>
  <c r="AB8" i="71"/>
  <c r="Z7" i="71"/>
  <c r="Y3" i="71"/>
  <c r="Z3" i="71" s="1"/>
  <c r="F8" i="71"/>
  <c r="F7" i="71" s="1"/>
  <c r="F6" i="71" s="1"/>
  <c r="F5" i="71" s="1"/>
  <c r="AF3" i="71"/>
  <c r="P22" i="43" s="1"/>
  <c r="C33" i="43"/>
  <c r="C38" i="43"/>
  <c r="B10" i="70"/>
  <c r="Q71" i="15"/>
  <c r="J57" i="15"/>
  <c r="J55" i="15" s="1"/>
  <c r="J58" i="15" s="1"/>
  <c r="Q50" i="15" s="1"/>
  <c r="I54" i="15"/>
  <c r="B20" i="31"/>
  <c r="B21" i="31" s="1"/>
  <c r="I1" i="73"/>
  <c r="B39" i="1" s="1"/>
  <c r="B12" i="70"/>
  <c r="F51" i="15"/>
  <c r="B7" i="70"/>
  <c r="B11" i="70"/>
  <c r="N59" i="15"/>
  <c r="L58" i="15"/>
  <c r="B8" i="70"/>
  <c r="F66" i="15"/>
  <c r="F64" i="15"/>
  <c r="C27" i="15"/>
  <c r="F65" i="15"/>
  <c r="B9" i="70"/>
  <c r="B13" i="70"/>
  <c r="F68" i="15"/>
  <c r="F7" i="15"/>
  <c r="M29" i="15"/>
  <c r="F43" i="15"/>
  <c r="F8" i="67"/>
  <c r="F26" i="67"/>
  <c r="M24" i="67"/>
  <c r="L48" i="67"/>
  <c r="M6" i="67"/>
  <c r="F38" i="67"/>
  <c r="F9" i="67"/>
  <c r="D4" i="73"/>
  <c r="M9" i="67"/>
  <c r="M26" i="67"/>
  <c r="M22" i="67"/>
  <c r="M23" i="67"/>
  <c r="M29" i="67"/>
  <c r="F37" i="67"/>
  <c r="M21" i="67"/>
  <c r="M8" i="67"/>
  <c r="D5" i="73"/>
  <c r="F40" i="67"/>
  <c r="F35" i="67"/>
  <c r="F6" i="67"/>
  <c r="F13" i="67"/>
  <c r="J15" i="67"/>
  <c r="F16" i="67"/>
  <c r="F36" i="67"/>
  <c r="F42" i="67"/>
  <c r="D3" i="73"/>
  <c r="C76" i="67"/>
  <c r="F43" i="67"/>
  <c r="M28" i="67"/>
  <c r="M27" i="67"/>
  <c r="F7" i="67"/>
  <c r="L47" i="67"/>
  <c r="F41" i="67"/>
  <c r="D7" i="73"/>
  <c r="D6" i="73"/>
  <c r="F71" i="15" l="1"/>
  <c r="M7" i="15"/>
  <c r="J6" i="15" s="1"/>
  <c r="J18" i="15" s="1"/>
  <c r="F50" i="15"/>
  <c r="C49" i="15" s="1"/>
  <c r="C6" i="15"/>
  <c r="C32" i="15" s="1"/>
  <c r="F104" i="43"/>
  <c r="F109" i="43"/>
  <c r="T13" i="43"/>
  <c r="V13" i="43" s="1"/>
  <c r="C34" i="43"/>
  <c r="T14" i="43"/>
  <c r="V14" i="43" s="1"/>
  <c r="T8" i="43"/>
  <c r="V8" i="43" s="1"/>
  <c r="T16" i="43"/>
  <c r="V16" i="43" s="1"/>
  <c r="T10" i="43"/>
  <c r="V10" i="43" s="1"/>
  <c r="T15" i="43"/>
  <c r="V15" i="43" s="1"/>
  <c r="C37" i="43"/>
  <c r="E37" i="43" s="1"/>
  <c r="T9" i="43"/>
  <c r="V9" i="43" s="1"/>
  <c r="C35" i="43"/>
  <c r="E35" i="43" s="1"/>
  <c r="T11" i="43"/>
  <c r="V11" i="43" s="1"/>
  <c r="Q16" i="1"/>
  <c r="F27" i="69" s="1"/>
  <c r="H16" i="1"/>
  <c r="M6" i="1"/>
  <c r="F7" i="37"/>
  <c r="J7" i="21"/>
  <c r="AC7" i="21" s="1"/>
  <c r="V48" i="21" s="1"/>
  <c r="I48" i="21" s="1"/>
  <c r="C30" i="68"/>
  <c r="C48" i="68"/>
  <c r="F103" i="43"/>
  <c r="F107" i="43"/>
  <c r="F70" i="67"/>
  <c r="F69" i="67"/>
  <c r="F64" i="67"/>
  <c r="J20" i="67"/>
  <c r="F66" i="67"/>
  <c r="L59" i="67"/>
  <c r="Q61" i="67" s="1"/>
  <c r="N59" i="67"/>
  <c r="L58" i="67"/>
  <c r="Q73" i="67" s="1"/>
  <c r="F65" i="67"/>
  <c r="M7" i="67"/>
  <c r="J6" i="67" s="1"/>
  <c r="J18" i="67" s="1"/>
  <c r="F50" i="67"/>
  <c r="L56" i="67"/>
  <c r="J57" i="67"/>
  <c r="J55" i="67" s="1"/>
  <c r="J58" i="67" s="1"/>
  <c r="Q50" i="67" s="1"/>
  <c r="I54" i="67"/>
  <c r="C6" i="67"/>
  <c r="C27" i="67"/>
  <c r="F71" i="67"/>
  <c r="F63" i="67"/>
  <c r="C62" i="67" s="1"/>
  <c r="C34" i="67"/>
  <c r="F51" i="67"/>
  <c r="Q71" i="67"/>
  <c r="F68" i="67"/>
  <c r="L109" i="43"/>
  <c r="L107" i="43"/>
  <c r="L106" i="43"/>
  <c r="L103" i="43"/>
  <c r="L102" i="43"/>
  <c r="L104" i="43"/>
  <c r="F27" i="68"/>
  <c r="E51" i="40"/>
  <c r="F27" i="6"/>
  <c r="E27" i="6" s="1"/>
  <c r="E56" i="39"/>
  <c r="AG13" i="43"/>
  <c r="AC13" i="43"/>
  <c r="AF13" i="43"/>
  <c r="I109" i="43"/>
  <c r="D22" i="43"/>
  <c r="G36" i="43"/>
  <c r="I36" i="43" s="1"/>
  <c r="F59" i="67"/>
  <c r="K1" i="73"/>
  <c r="E20" i="43"/>
  <c r="N28" i="43" s="1"/>
  <c r="D63" i="40"/>
  <c r="C65" i="40"/>
  <c r="D70" i="39"/>
  <c r="E68" i="39"/>
  <c r="F10" i="39"/>
  <c r="F10" i="40"/>
  <c r="H10" i="40"/>
  <c r="J10" i="40"/>
  <c r="J10" i="39"/>
  <c r="H10" i="39"/>
  <c r="H7" i="21"/>
  <c r="AB7" i="21" s="1"/>
  <c r="T48" i="21" s="1"/>
  <c r="G48" i="21" s="1"/>
  <c r="F7" i="33"/>
  <c r="AA7" i="33" s="1"/>
  <c r="R48" i="33" s="1"/>
  <c r="F7" i="21"/>
  <c r="AA7" i="21" s="1"/>
  <c r="R48" i="21" s="1"/>
  <c r="J7" i="34"/>
  <c r="W7" i="34" s="1"/>
  <c r="F7" i="35"/>
  <c r="S7" i="35" s="1"/>
  <c r="J7" i="35"/>
  <c r="AC7" i="35" s="1"/>
  <c r="V38" i="35" s="1"/>
  <c r="I38" i="35" s="1"/>
  <c r="E28" i="6"/>
  <c r="F30" i="6"/>
  <c r="B7" i="71"/>
  <c r="B6" i="71" s="1"/>
  <c r="B5" i="71" s="1"/>
  <c r="S8" i="71"/>
  <c r="C56" i="71"/>
  <c r="D55" i="71"/>
  <c r="E19" i="71"/>
  <c r="E18" i="71" s="1"/>
  <c r="V20" i="71"/>
  <c r="F58" i="71"/>
  <c r="Q59" i="71"/>
  <c r="B19" i="71"/>
  <c r="B18" i="71" s="1"/>
  <c r="S20" i="71"/>
  <c r="AB34" i="35"/>
  <c r="U34" i="35"/>
  <c r="E12" i="6"/>
  <c r="E13" i="6"/>
  <c r="E11" i="6"/>
  <c r="E14" i="6"/>
  <c r="E15" i="6"/>
  <c r="E10" i="6"/>
  <c r="K103" i="43"/>
  <c r="K107" i="43"/>
  <c r="K104" i="43"/>
  <c r="K106" i="43"/>
  <c r="K102" i="43"/>
  <c r="K105" i="43"/>
  <c r="K109"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U12" i="21"/>
  <c r="AB12" i="21"/>
  <c r="S12" i="21"/>
  <c r="AA12" i="21"/>
  <c r="I104" i="43"/>
  <c r="I107" i="43"/>
  <c r="I105" i="43"/>
  <c r="I106" i="43"/>
  <c r="I102" i="43"/>
  <c r="I103" i="43"/>
  <c r="D105" i="43"/>
  <c r="D106" i="43"/>
  <c r="D102" i="43"/>
  <c r="D103" i="43"/>
  <c r="D107" i="43"/>
  <c r="D104" i="43"/>
  <c r="C106" i="43"/>
  <c r="C105" i="43"/>
  <c r="C103" i="43"/>
  <c r="C102" i="43"/>
  <c r="C109" i="43"/>
  <c r="C104" i="43"/>
  <c r="C107"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B117" i="43"/>
  <c r="C117" i="43" s="1"/>
  <c r="B115" i="43"/>
  <c r="I115" i="43"/>
  <c r="J115" i="43" s="1"/>
  <c r="K115" i="43" s="1"/>
  <c r="L115" i="43" s="1"/>
  <c r="M115" i="43" s="1"/>
  <c r="B116" i="43"/>
  <c r="C116" i="43" s="1"/>
  <c r="I117" i="43"/>
  <c r="J117" i="43" s="1"/>
  <c r="K117" i="43" s="1"/>
  <c r="L117" i="43" s="1"/>
  <c r="M117" i="43" s="1"/>
  <c r="I116" i="43"/>
  <c r="J116" i="43" s="1"/>
  <c r="K116" i="43" s="1"/>
  <c r="L116" i="43" s="1"/>
  <c r="M116" i="43" s="1"/>
  <c r="F31" i="6"/>
  <c r="U7" i="35"/>
  <c r="AB7" i="35"/>
  <c r="T38" i="35" s="1"/>
  <c r="G38" i="35" s="1"/>
  <c r="U7" i="21"/>
  <c r="S7" i="33"/>
  <c r="AA7" i="37"/>
  <c r="R42" i="37" s="1"/>
  <c r="S7" i="37"/>
  <c r="S7" i="21"/>
  <c r="AC7" i="34"/>
  <c r="V49" i="34" s="1"/>
  <c r="I49" i="34" s="1"/>
  <c r="AA7" i="35"/>
  <c r="R38" i="35" s="1"/>
  <c r="W7" i="35"/>
  <c r="C66" i="71"/>
  <c r="D66" i="71" s="1"/>
  <c r="D67" i="71"/>
  <c r="G35" i="43"/>
  <c r="I35" i="43" s="1"/>
  <c r="D43" i="71"/>
  <c r="C44" i="71"/>
  <c r="D109" i="43"/>
  <c r="AZ5" i="3"/>
  <c r="AC36" i="35"/>
  <c r="W36" i="35"/>
  <c r="AA34" i="35"/>
  <c r="S34" i="35"/>
  <c r="N102" i="43"/>
  <c r="N103" i="43"/>
  <c r="N106" i="43"/>
  <c r="N107" i="43"/>
  <c r="N105" i="43"/>
  <c r="N104" i="43"/>
  <c r="N109" i="43"/>
  <c r="H102" i="43"/>
  <c r="H103" i="43"/>
  <c r="H104" i="43"/>
  <c r="H109" i="43"/>
  <c r="H107" i="43"/>
  <c r="H105" i="43"/>
  <c r="H106" i="43"/>
  <c r="AC12" i="21"/>
  <c r="W12" i="21"/>
  <c r="E102" i="43"/>
  <c r="E106" i="43"/>
  <c r="E103" i="43"/>
  <c r="E104" i="43"/>
  <c r="E105" i="43"/>
  <c r="E107" i="43"/>
  <c r="M102" i="43"/>
  <c r="M106" i="43"/>
  <c r="M103" i="43"/>
  <c r="M107" i="43"/>
  <c r="M104" i="43"/>
  <c r="M105" i="43"/>
  <c r="J105" i="43"/>
  <c r="J103" i="43"/>
  <c r="J104" i="43"/>
  <c r="J107" i="43"/>
  <c r="J106" i="43"/>
  <c r="J102" i="43"/>
  <c r="J109" i="43"/>
  <c r="G102" i="43"/>
  <c r="G103" i="43"/>
  <c r="G105" i="43"/>
  <c r="G107" i="43"/>
  <c r="G109" i="43"/>
  <c r="G104" i="43"/>
  <c r="G106" i="43"/>
  <c r="O11" i="1"/>
  <c r="AC7" i="37"/>
  <c r="V42" i="37" s="1"/>
  <c r="I42" i="37" s="1"/>
  <c r="W7" i="37"/>
  <c r="G46" i="36"/>
  <c r="D13" i="71"/>
  <c r="C12" i="71"/>
  <c r="AA7" i="34"/>
  <c r="R49" i="34" s="1"/>
  <c r="S7" i="34"/>
  <c r="H7" i="33"/>
  <c r="J7" i="33"/>
  <c r="AB7" i="37"/>
  <c r="T42" i="37" s="1"/>
  <c r="G42" i="37" s="1"/>
  <c r="U7" i="37"/>
  <c r="W7" i="21"/>
  <c r="AB7" i="34"/>
  <c r="T49" i="34" s="1"/>
  <c r="G49" i="34" s="1"/>
  <c r="U7" i="34"/>
  <c r="E7" i="71"/>
  <c r="E6" i="71" s="1"/>
  <c r="E5" i="71" s="1"/>
  <c r="V8" i="71"/>
  <c r="G37" i="43"/>
  <c r="I37" i="43" s="1"/>
  <c r="M17" i="67"/>
  <c r="M17" i="15"/>
  <c r="F59" i="15"/>
  <c r="P24" i="43"/>
  <c r="B66" i="40" s="1"/>
  <c r="P21" i="43"/>
  <c r="E39" i="43"/>
  <c r="G39" i="43"/>
  <c r="I39" i="43" s="1"/>
  <c r="P25" i="43"/>
  <c r="P23" i="43"/>
  <c r="B71" i="39" s="1"/>
  <c r="E38" i="43"/>
  <c r="G38" i="43"/>
  <c r="I38" i="43" s="1"/>
  <c r="G34" i="43"/>
  <c r="I34" i="43" s="1"/>
  <c r="E34" i="43"/>
  <c r="G33" i="43"/>
  <c r="I33" i="43" s="1"/>
  <c r="E33" i="43"/>
  <c r="C32" i="67"/>
  <c r="M11" i="67"/>
  <c r="J10" i="67" s="1"/>
  <c r="F11" i="15"/>
  <c r="M11" i="15"/>
  <c r="F11" i="67"/>
  <c r="Q60" i="15"/>
  <c r="Q73" i="15"/>
  <c r="C17" i="67"/>
  <c r="C16" i="15"/>
  <c r="C14" i="67"/>
  <c r="G1" i="73"/>
  <c r="C16" i="67"/>
  <c r="J10" i="15" l="1"/>
  <c r="J5" i="15" s="1"/>
  <c r="J24" i="15" s="1"/>
  <c r="AC6" i="3"/>
  <c r="F28" i="12"/>
  <c r="F27" i="11"/>
  <c r="C18" i="67"/>
  <c r="C15" i="67"/>
  <c r="O6" i="1"/>
  <c r="P6" i="1" s="1"/>
  <c r="Q60" i="67"/>
  <c r="C49" i="67"/>
  <c r="J5" i="67"/>
  <c r="J26" i="67" s="1"/>
  <c r="J29" i="67" s="1"/>
  <c r="Q74" i="67"/>
  <c r="M28" i="43"/>
  <c r="H6" i="3"/>
  <c r="E6" i="3" s="1"/>
  <c r="C47" i="11"/>
  <c r="D45" i="11" s="1"/>
  <c r="F45" i="69"/>
  <c r="C47" i="69"/>
  <c r="D45" i="69" s="1"/>
  <c r="C29" i="69"/>
  <c r="D27" i="69" s="1"/>
  <c r="F45" i="68"/>
  <c r="C47" i="68"/>
  <c r="D45" i="68" s="1"/>
  <c r="E16" i="6"/>
  <c r="S5" i="43"/>
  <c r="T5" i="43" s="1"/>
  <c r="V5" i="43" s="1"/>
  <c r="S6" i="43"/>
  <c r="T6" i="43" s="1"/>
  <c r="V6" i="43" s="1"/>
  <c r="S4" i="43"/>
  <c r="T4" i="43" s="1"/>
  <c r="V4" i="43" s="1"/>
  <c r="S7" i="43"/>
  <c r="T7" i="43" s="1"/>
  <c r="V7" i="43" s="1"/>
  <c r="S3" i="43"/>
  <c r="T3" i="43" s="1"/>
  <c r="V3" i="43" s="1"/>
  <c r="S2" i="43"/>
  <c r="T2" i="43" s="1"/>
  <c r="V2" i="43" s="1"/>
  <c r="C26" i="43" s="1"/>
  <c r="C23" i="43"/>
  <c r="C21" i="43" s="1"/>
  <c r="C29" i="43" s="1"/>
  <c r="O28" i="43"/>
  <c r="P28" i="43"/>
  <c r="B40" i="1"/>
  <c r="F25" i="12" s="1"/>
  <c r="W10" i="39"/>
  <c r="AC10" i="39"/>
  <c r="U10" i="40"/>
  <c r="AB10" i="40"/>
  <c r="S10" i="39"/>
  <c r="AA10" i="39"/>
  <c r="D65" i="40"/>
  <c r="E63" i="40"/>
  <c r="U10" i="39"/>
  <c r="AB10" i="39"/>
  <c r="W10" i="40"/>
  <c r="AC10" i="40"/>
  <c r="AA10" i="40"/>
  <c r="S10" i="40"/>
  <c r="F68" i="39"/>
  <c r="E70" i="39"/>
  <c r="G53" i="34"/>
  <c r="H53" i="34" s="1"/>
  <c r="G54" i="34"/>
  <c r="H54" i="34" s="1"/>
  <c r="I52" i="21"/>
  <c r="J52" i="21" s="1"/>
  <c r="W7" i="33"/>
  <c r="AC7" i="33"/>
  <c r="V48" i="33" s="1"/>
  <c r="I48" i="33" s="1"/>
  <c r="C11" i="71"/>
  <c r="T12" i="71"/>
  <c r="D12" i="71"/>
  <c r="U12" i="71" s="1"/>
  <c r="R39" i="35"/>
  <c r="E38" i="35"/>
  <c r="R43" i="37"/>
  <c r="E42" i="37"/>
  <c r="C115" i="43"/>
  <c r="D113" i="43" s="1"/>
  <c r="E64" i="39"/>
  <c r="E59" i="40"/>
  <c r="E63" i="39"/>
  <c r="E58" i="40"/>
  <c r="G46" i="37"/>
  <c r="H46" i="37" s="1"/>
  <c r="G47" i="37"/>
  <c r="H47" i="37" s="1"/>
  <c r="AB7" i="33"/>
  <c r="T48" i="33" s="1"/>
  <c r="G48" i="33" s="1"/>
  <c r="U7" i="33"/>
  <c r="R50" i="34"/>
  <c r="E49" i="34"/>
  <c r="H46" i="36"/>
  <c r="I47" i="37"/>
  <c r="J47" i="37" s="1"/>
  <c r="I46" i="37"/>
  <c r="J46" i="37" s="1"/>
  <c r="P11" i="1"/>
  <c r="AY6" i="3"/>
  <c r="E3" i="6"/>
  <c r="T44" i="71"/>
  <c r="D44" i="71"/>
  <c r="I42" i="35"/>
  <c r="J42" i="35" s="1"/>
  <c r="I43" i="35"/>
  <c r="J43" i="35" s="1"/>
  <c r="I53" i="34"/>
  <c r="J53" i="34" s="1"/>
  <c r="I54" i="34"/>
  <c r="J54" i="34" s="1"/>
  <c r="R49" i="21"/>
  <c r="E48" i="21"/>
  <c r="R49" i="33"/>
  <c r="E48" i="33"/>
  <c r="G52" i="21"/>
  <c r="H52" i="21" s="1"/>
  <c r="G53" i="21"/>
  <c r="H53" i="21" s="1"/>
  <c r="G42" i="35"/>
  <c r="H42" i="35" s="1"/>
  <c r="G43" i="35"/>
  <c r="H43" i="35" s="1"/>
  <c r="E60" i="40"/>
  <c r="E65" i="39"/>
  <c r="E61" i="39"/>
  <c r="E56" i="40"/>
  <c r="E57" i="40"/>
  <c r="E62" i="39"/>
  <c r="Q58" i="71"/>
  <c r="Q57" i="71"/>
  <c r="T56" i="71"/>
  <c r="D56"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53" i="67"/>
  <c r="C10" i="67"/>
  <c r="C5" i="67" s="1"/>
  <c r="C53" i="15"/>
  <c r="C48" i="15" s="1"/>
  <c r="C10" i="15"/>
  <c r="C5" i="15" s="1"/>
  <c r="C17" i="15"/>
  <c r="J26" i="15" l="1"/>
  <c r="E6" i="70"/>
  <c r="E2" i="70" s="1"/>
  <c r="C19" i="67"/>
  <c r="C20" i="67" s="1"/>
  <c r="C26" i="67" s="1"/>
  <c r="J24" i="67"/>
  <c r="C48" i="67"/>
  <c r="C60" i="67" s="1"/>
  <c r="AQ6" i="1"/>
  <c r="S16" i="1"/>
  <c r="AR6" i="1"/>
  <c r="T6" i="1"/>
  <c r="E66" i="39"/>
  <c r="C30" i="43"/>
  <c r="E30" i="43" s="1"/>
  <c r="C27" i="43" s="1"/>
  <c r="E29" i="43"/>
  <c r="F22" i="11"/>
  <c r="F24" i="15"/>
  <c r="C24" i="15" s="1"/>
  <c r="F22" i="69"/>
  <c r="F41" i="69" s="1"/>
  <c r="F63" i="40"/>
  <c r="E65" i="40"/>
  <c r="F22" i="68"/>
  <c r="F24" i="67"/>
  <c r="C24" i="67" s="1"/>
  <c r="G68" i="39"/>
  <c r="F70" i="39"/>
  <c r="E53" i="33"/>
  <c r="F53" i="33" s="1"/>
  <c r="E52" i="33"/>
  <c r="F52" i="33" s="1"/>
  <c r="E52" i="21"/>
  <c r="F52" i="21" s="1"/>
  <c r="E53" i="21"/>
  <c r="F53" i="21" s="1"/>
  <c r="D3" i="34"/>
  <c r="D3" i="33"/>
  <c r="E6" i="6"/>
  <c r="D37" i="11"/>
  <c r="D14" i="12"/>
  <c r="M18" i="9"/>
  <c r="B118" i="9" s="1"/>
  <c r="B14" i="74" s="1"/>
  <c r="B1" i="74" s="1"/>
  <c r="D19" i="11"/>
  <c r="C19" i="11" s="1"/>
  <c r="D3" i="37"/>
  <c r="D3" i="21"/>
  <c r="C17" i="4"/>
  <c r="B4" i="52" s="1"/>
  <c r="B43" i="72" s="1"/>
  <c r="L18" i="9"/>
  <c r="E54" i="34"/>
  <c r="F54" i="34" s="1"/>
  <c r="E53" i="34"/>
  <c r="F53" i="34" s="1"/>
  <c r="E47" i="37"/>
  <c r="F47" i="37" s="1"/>
  <c r="E46" i="37"/>
  <c r="F46" i="37" s="1"/>
  <c r="E43" i="35"/>
  <c r="F43" i="35" s="1"/>
  <c r="E42" i="35"/>
  <c r="F42" i="35" s="1"/>
  <c r="I52" i="33"/>
  <c r="J52" i="33" s="1"/>
  <c r="I53" i="33"/>
  <c r="J53" i="33" s="1"/>
  <c r="I53" i="21"/>
  <c r="J53" i="21" s="1"/>
  <c r="M19" i="6"/>
  <c r="K27" i="6"/>
  <c r="M14" i="1"/>
  <c r="C34" i="69"/>
  <c r="K16" i="1"/>
  <c r="C48" i="33"/>
  <c r="C49" i="33"/>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6"/>
  <c r="C49" i="34"/>
  <c r="C50" i="34"/>
  <c r="G52" i="33"/>
  <c r="H52" i="33" s="1"/>
  <c r="G53" i="33"/>
  <c r="H53" i="33" s="1"/>
  <c r="C43" i="37"/>
  <c r="C42" i="37"/>
  <c r="C39" i="35"/>
  <c r="B2" i="35" s="1"/>
  <c r="B3" i="35" s="1"/>
  <c r="C38" i="35"/>
  <c r="C10" i="71"/>
  <c r="D11" i="71"/>
  <c r="F41" i="68"/>
  <c r="B2" i="43"/>
  <c r="C60" i="15"/>
  <c r="C66" i="15"/>
  <c r="C38" i="67"/>
  <c r="C38" i="15"/>
  <c r="C14" i="15"/>
  <c r="E6" i="76"/>
  <c r="B6" i="76"/>
  <c r="C15" i="15" l="1"/>
  <c r="C18" i="15"/>
  <c r="C66" i="67"/>
  <c r="B2" i="37"/>
  <c r="B3" i="37" s="1"/>
  <c r="B2" i="33"/>
  <c r="B3" i="33" s="1"/>
  <c r="B2" i="34"/>
  <c r="B3" i="34" s="1"/>
  <c r="B2" i="21"/>
  <c r="B3" i="21" s="1"/>
  <c r="E2" i="76"/>
  <c r="C44" i="69"/>
  <c r="D41" i="69" s="1"/>
  <c r="C23" i="67"/>
  <c r="C29" i="67" s="1"/>
  <c r="C33" i="67" s="1"/>
  <c r="C31" i="67" s="1"/>
  <c r="C26" i="69"/>
  <c r="D22" i="69" s="1"/>
  <c r="H68" i="39"/>
  <c r="G70" i="39"/>
  <c r="G63" i="40"/>
  <c r="F65" i="40"/>
  <c r="C9" i="71"/>
  <c r="D10" i="71"/>
  <c r="J46" i="36"/>
  <c r="C35" i="69"/>
  <c r="C38" i="69"/>
  <c r="C8" i="74"/>
  <c r="C7" i="74"/>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O14" i="1"/>
  <c r="O16" i="1" s="1"/>
  <c r="T16" i="1"/>
  <c r="P14" i="1"/>
  <c r="P16" i="1" s="1"/>
  <c r="C11" i="12" s="1"/>
  <c r="M16" i="1"/>
  <c r="I19" i="6"/>
  <c r="M27" i="6"/>
  <c r="C20" i="11"/>
  <c r="D17" i="12"/>
  <c r="C17" i="12" s="1"/>
  <c r="D10" i="68"/>
  <c r="C6" i="68" s="1"/>
  <c r="D10" i="11"/>
  <c r="C10" i="11" s="1"/>
  <c r="D20" i="12"/>
  <c r="C20" i="12" s="1"/>
  <c r="D10" i="69"/>
  <c r="B2" i="76"/>
  <c r="B3" i="43"/>
  <c r="C19" i="15" l="1"/>
  <c r="C20" i="15" s="1"/>
  <c r="C26" i="15" s="1"/>
  <c r="C7" i="68"/>
  <c r="B3" i="76"/>
  <c r="D16" i="6"/>
  <c r="D30" i="6"/>
  <c r="C36" i="67"/>
  <c r="J19" i="67"/>
  <c r="J17" i="67" s="1"/>
  <c r="Q49" i="67"/>
  <c r="J14" i="67"/>
  <c r="J22" i="67" s="1"/>
  <c r="J59" i="15"/>
  <c r="C33" i="15"/>
  <c r="J59" i="67"/>
  <c r="C57" i="67"/>
  <c r="C64" i="67" s="1"/>
  <c r="C13" i="67"/>
  <c r="C75" i="67" s="1"/>
  <c r="G65" i="40"/>
  <c r="H63" i="40"/>
  <c r="I68" i="39"/>
  <c r="H70" i="39"/>
  <c r="C10" i="68"/>
  <c r="B29" i="1" s="1"/>
  <c r="C8" i="68" s="1"/>
  <c r="D19" i="68"/>
  <c r="S19" i="6"/>
  <c r="S27" i="6" s="1"/>
  <c r="I27" i="6"/>
  <c r="C15" i="12"/>
  <c r="C12" i="12"/>
  <c r="R21" i="6"/>
  <c r="H19" i="6"/>
  <c r="H27" i="6" s="1"/>
  <c r="R23" i="6"/>
  <c r="A7" i="51"/>
  <c r="B7" i="72" s="1"/>
  <c r="C4" i="52"/>
  <c r="B45" i="72" s="1"/>
  <c r="A10" i="51"/>
  <c r="B9" i="72" s="1"/>
  <c r="D27" i="6"/>
  <c r="D31" i="6" s="1"/>
  <c r="R19" i="6"/>
  <c r="K46" i="36"/>
  <c r="C8" i="71"/>
  <c r="D9" i="71"/>
  <c r="C10" i="69"/>
  <c r="C8" i="69" s="1"/>
  <c r="C5" i="69" s="1"/>
  <c r="D19" i="69"/>
  <c r="N16" i="1"/>
  <c r="B21" i="1" s="1"/>
  <c r="L16" i="1"/>
  <c r="R24" i="6"/>
  <c r="R22" i="6"/>
  <c r="R25" i="6"/>
  <c r="R26" i="6"/>
  <c r="D8" i="74"/>
  <c r="D7" i="74"/>
  <c r="C23" i="15" l="1"/>
  <c r="C29" i="15" s="1"/>
  <c r="C13" i="15" s="1"/>
  <c r="C56" i="67"/>
  <c r="C65" i="67" s="1"/>
  <c r="J19" i="15"/>
  <c r="C5" i="68"/>
  <c r="J13" i="67"/>
  <c r="J23" i="67" s="1"/>
  <c r="J16" i="67" s="1"/>
  <c r="J25" i="67" s="1"/>
  <c r="C61" i="67"/>
  <c r="C59" i="67" s="1"/>
  <c r="B24" i="1"/>
  <c r="F50" i="68" s="1"/>
  <c r="B23" i="1"/>
  <c r="C29" i="11"/>
  <c r="D27" i="11" s="1"/>
  <c r="C29" i="68"/>
  <c r="D27" i="68" s="1"/>
  <c r="C44" i="68"/>
  <c r="D41" i="68" s="1"/>
  <c r="C44" i="11"/>
  <c r="D41" i="11" s="1"/>
  <c r="C24" i="11"/>
  <c r="C28" i="11"/>
  <c r="C27" i="11" s="1"/>
  <c r="C18" i="12"/>
  <c r="R27" i="6"/>
  <c r="R6" i="1"/>
  <c r="Q70" i="67"/>
  <c r="C37" i="67"/>
  <c r="C30" i="67" s="1"/>
  <c r="C39" i="67" s="1"/>
  <c r="C80" i="67" s="1"/>
  <c r="C79" i="67" s="1"/>
  <c r="J68" i="39"/>
  <c r="I70" i="39"/>
  <c r="I63" i="40"/>
  <c r="H65" i="40"/>
  <c r="C23" i="69"/>
  <c r="C7" i="71"/>
  <c r="T8" i="71"/>
  <c r="D8" i="71"/>
  <c r="U8" i="71" s="1"/>
  <c r="L46" i="36"/>
  <c r="C19" i="68"/>
  <c r="D37" i="68"/>
  <c r="F50" i="11"/>
  <c r="F50" i="69"/>
  <c r="C19" i="69"/>
  <c r="C24" i="69" s="1"/>
  <c r="D37" i="69"/>
  <c r="C37" i="69" s="1"/>
  <c r="C33" i="69" s="1"/>
  <c r="I6" i="6"/>
  <c r="I5" i="6"/>
  <c r="F35" i="15"/>
  <c r="M21" i="15"/>
  <c r="L51" i="67"/>
  <c r="C56" i="15" l="1"/>
  <c r="C65" i="15" s="1"/>
  <c r="C37" i="15"/>
  <c r="C75" i="15"/>
  <c r="C57" i="15"/>
  <c r="J14" i="15"/>
  <c r="C36" i="15"/>
  <c r="Q49" i="15"/>
  <c r="Q70" i="15"/>
  <c r="C58" i="67"/>
  <c r="C67" i="67" s="1"/>
  <c r="C68" i="67" s="1"/>
  <c r="C71" i="67" s="1"/>
  <c r="J20" i="15"/>
  <c r="J17" i="15" s="1"/>
  <c r="F63" i="15"/>
  <c r="C62" i="15" s="1"/>
  <c r="C34" i="15"/>
  <c r="C31" i="15" s="1"/>
  <c r="C30" i="15" s="1"/>
  <c r="C39" i="15" s="1"/>
  <c r="R16" i="1"/>
  <c r="C23" i="11"/>
  <c r="C26" i="11"/>
  <c r="D22" i="11" s="1"/>
  <c r="C26" i="68"/>
  <c r="D22" i="68" s="1"/>
  <c r="C25" i="11"/>
  <c r="C23" i="68"/>
  <c r="F34" i="11"/>
  <c r="F34" i="68"/>
  <c r="F11" i="12"/>
  <c r="M59" i="15"/>
  <c r="L59" i="15" s="1"/>
  <c r="J53" i="15"/>
  <c r="M59" i="67"/>
  <c r="J53" i="67"/>
  <c r="C29" i="12"/>
  <c r="D28" i="12" s="1"/>
  <c r="C26" i="12"/>
  <c r="D25" i="12" s="1"/>
  <c r="Q69" i="67"/>
  <c r="Q68" i="67" s="1"/>
  <c r="C40" i="67"/>
  <c r="C45" i="67" s="1"/>
  <c r="C46" i="67" s="1"/>
  <c r="J63" i="40"/>
  <c r="I65" i="40"/>
  <c r="J70" i="39"/>
  <c r="K68" i="39"/>
  <c r="C39" i="69"/>
  <c r="C43" i="69" s="1"/>
  <c r="C42" i="69"/>
  <c r="C20" i="68"/>
  <c r="C25" i="68" s="1"/>
  <c r="C24" i="68"/>
  <c r="C6" i="71"/>
  <c r="D7" i="71"/>
  <c r="C20" i="69"/>
  <c r="M46" i="36"/>
  <c r="N46" i="36" s="1"/>
  <c r="O46" i="36" s="1"/>
  <c r="J7" i="36" s="1"/>
  <c r="Q67" i="67"/>
  <c r="L57" i="67"/>
  <c r="L60" i="67" s="1"/>
  <c r="L51" i="15"/>
  <c r="C61" i="15" l="1"/>
  <c r="C59" i="15" s="1"/>
  <c r="C64" i="15"/>
  <c r="J22" i="15"/>
  <c r="J13" i="15"/>
  <c r="J23" i="15" s="1"/>
  <c r="Q67" i="15"/>
  <c r="L57" i="15"/>
  <c r="L60" i="15" s="1"/>
  <c r="Q66" i="15" s="1"/>
  <c r="Q69" i="15"/>
  <c r="Q68" i="15" s="1"/>
  <c r="C80" i="15"/>
  <c r="C79" i="15" s="1"/>
  <c r="Q74" i="15"/>
  <c r="Q61" i="15"/>
  <c r="C22" i="11"/>
  <c r="C31" i="11" s="1"/>
  <c r="C36" i="68"/>
  <c r="C34" i="68"/>
  <c r="Q52" i="67"/>
  <c r="F1" i="67"/>
  <c r="J60" i="67"/>
  <c r="L56" i="15"/>
  <c r="Q52" i="15"/>
  <c r="F1" i="15"/>
  <c r="J60" i="15"/>
  <c r="C14" i="12"/>
  <c r="C16" i="12" s="1"/>
  <c r="C21" i="12" s="1"/>
  <c r="C36" i="11"/>
  <c r="C37" i="11"/>
  <c r="C34" i="11"/>
  <c r="C37" i="68"/>
  <c r="C83" i="67"/>
  <c r="C82" i="67" s="1"/>
  <c r="Q56" i="67"/>
  <c r="Q65" i="67"/>
  <c r="Q47" i="67"/>
  <c r="C43" i="67"/>
  <c r="J65" i="40"/>
  <c r="K63" i="40"/>
  <c r="H7" i="36"/>
  <c r="U7" i="36" s="1"/>
  <c r="F7" i="36"/>
  <c r="AA7" i="36" s="1"/>
  <c r="R36" i="36" s="1"/>
  <c r="L68" i="39"/>
  <c r="K70" i="39"/>
  <c r="C22" i="68"/>
  <c r="C28" i="68"/>
  <c r="C27" i="68" s="1"/>
  <c r="C41" i="69"/>
  <c r="AC7" i="36"/>
  <c r="V36" i="36" s="1"/>
  <c r="I36" i="36" s="1"/>
  <c r="W7" i="36"/>
  <c r="C46" i="69"/>
  <c r="C45" i="69" s="1"/>
  <c r="AB7" i="36"/>
  <c r="T36" i="36" s="1"/>
  <c r="G36" i="36" s="1"/>
  <c r="C28" i="69"/>
  <c r="C27" i="69" s="1"/>
  <c r="C25" i="69"/>
  <c r="C22" i="69" s="1"/>
  <c r="D6" i="71"/>
  <c r="C5" i="71"/>
  <c r="S7" i="36"/>
  <c r="Q66" i="67"/>
  <c r="Q57" i="67"/>
  <c r="AE6" i="1"/>
  <c r="C58" i="15" l="1"/>
  <c r="C67" i="15" s="1"/>
  <c r="J16" i="15"/>
  <c r="J25" i="15" s="1"/>
  <c r="Q57" i="15"/>
  <c r="Q75" i="67"/>
  <c r="Q62" i="67"/>
  <c r="C35" i="11"/>
  <c r="C38" i="11"/>
  <c r="C35" i="68"/>
  <c r="C38" i="68"/>
  <c r="C22" i="12"/>
  <c r="L46" i="15"/>
  <c r="Q48" i="15"/>
  <c r="L46" i="67"/>
  <c r="D2" i="67" s="1"/>
  <c r="B2" i="67" s="1"/>
  <c r="Q48" i="67"/>
  <c r="Q53" i="67" s="1"/>
  <c r="M68" i="39"/>
  <c r="L70" i="39"/>
  <c r="K65" i="40"/>
  <c r="L63" i="40"/>
  <c r="C31" i="68"/>
  <c r="C49" i="69"/>
  <c r="C51" i="69" s="1"/>
  <c r="G40" i="36"/>
  <c r="H40" i="36" s="1"/>
  <c r="G41" i="36"/>
  <c r="H41" i="36" s="1"/>
  <c r="I40" i="36"/>
  <c r="J40" i="36" s="1"/>
  <c r="R37" i="36"/>
  <c r="E36" i="36"/>
  <c r="D5" i="71"/>
  <c r="M20" i="43"/>
  <c r="C31" i="69"/>
  <c r="F41" i="15"/>
  <c r="C33" i="11" l="1"/>
  <c r="C42" i="11" s="1"/>
  <c r="F69" i="15"/>
  <c r="C68" i="15" s="1"/>
  <c r="C71" i="15" s="1"/>
  <c r="J29" i="15"/>
  <c r="C40" i="15"/>
  <c r="B3" i="67"/>
  <c r="C33" i="68"/>
  <c r="C42" i="68" s="1"/>
  <c r="C39" i="11"/>
  <c r="C43" i="11" s="1"/>
  <c r="C52" i="69"/>
  <c r="B2" i="69" s="1"/>
  <c r="B3" i="69" s="1"/>
  <c r="N68" i="39"/>
  <c r="M70" i="39"/>
  <c r="M63" i="40"/>
  <c r="L65" i="40"/>
  <c r="E40" i="36"/>
  <c r="F40" i="36" s="1"/>
  <c r="E41" i="36"/>
  <c r="F41" i="36" s="1"/>
  <c r="C37" i="36"/>
  <c r="B2" i="36" s="1"/>
  <c r="B3" i="36" s="1"/>
  <c r="C36" i="36"/>
  <c r="I41" i="36"/>
  <c r="J41" i="36" s="1"/>
  <c r="C46" i="11" l="1"/>
  <c r="C45" i="11" s="1"/>
  <c r="C46" i="15"/>
  <c r="Q56" i="15"/>
  <c r="Q62" i="15" s="1"/>
  <c r="C83" i="15"/>
  <c r="C82" i="15" s="1"/>
  <c r="C43" i="15"/>
  <c r="Q65" i="15"/>
  <c r="Q75" i="15" s="1"/>
  <c r="Q47" i="15"/>
  <c r="Q53" i="15" s="1"/>
  <c r="B2" i="15"/>
  <c r="C57" i="69"/>
  <c r="C56" i="69" s="1"/>
  <c r="C39" i="68"/>
  <c r="C43" i="68" s="1"/>
  <c r="C41" i="68" s="1"/>
  <c r="C41" i="11"/>
  <c r="C49" i="11" s="1"/>
  <c r="C51" i="11" s="1"/>
  <c r="M65" i="40"/>
  <c r="N63" i="40"/>
  <c r="N70" i="39"/>
  <c r="O68" i="39"/>
  <c r="O70" i="39" s="1"/>
  <c r="AO6" i="1"/>
  <c r="B6" i="70" l="1"/>
  <c r="B2" i="70" s="1"/>
  <c r="B3" i="70" s="1"/>
  <c r="B3" i="15"/>
  <c r="C6" i="12" s="1"/>
  <c r="C8" i="12"/>
  <c r="C4" i="12" s="1"/>
  <c r="C31" i="12" s="1"/>
  <c r="C46" i="68"/>
  <c r="C45" i="68" s="1"/>
  <c r="C49" i="68" s="1"/>
  <c r="C51" i="68" s="1"/>
  <c r="C52" i="11"/>
  <c r="B2" i="11" s="1"/>
  <c r="B3" i="11" s="1"/>
  <c r="F7" i="39"/>
  <c r="S7" i="39"/>
  <c r="AA7" i="39"/>
  <c r="R47" i="39" s="1"/>
  <c r="H7" i="39"/>
  <c r="J7" i="39"/>
  <c r="O63" i="40"/>
  <c r="O65" i="40" s="1"/>
  <c r="H7" i="40" s="1"/>
  <c r="N65" i="40"/>
  <c r="J7" i="40"/>
  <c r="C23" i="12" l="1"/>
  <c r="C52" i="68"/>
  <c r="B2" i="68" s="1"/>
  <c r="C56" i="11"/>
  <c r="C57" i="11" s="1"/>
  <c r="F7" i="40"/>
  <c r="U7" i="40"/>
  <c r="AB7" i="40"/>
  <c r="T42" i="40" s="1"/>
  <c r="G42" i="40" s="1"/>
  <c r="AA7" i="40"/>
  <c r="R42" i="40" s="1"/>
  <c r="S7" i="40"/>
  <c r="AC7" i="40"/>
  <c r="V42" i="40" s="1"/>
  <c r="I42" i="40" s="1"/>
  <c r="W7" i="40"/>
  <c r="W7" i="39"/>
  <c r="AC7" i="39"/>
  <c r="V47" i="39" s="1"/>
  <c r="I47" i="39" s="1"/>
  <c r="U7" i="39"/>
  <c r="AB7" i="39"/>
  <c r="T47" i="39" s="1"/>
  <c r="G47" i="39" s="1"/>
  <c r="E47" i="39"/>
  <c r="R48" i="39"/>
  <c r="C19" i="9"/>
  <c r="C27" i="12" l="1"/>
  <c r="C25" i="12" s="1"/>
  <c r="C30" i="12"/>
  <c r="C28" i="12" s="1"/>
  <c r="C57" i="68"/>
  <c r="C56" i="68" s="1"/>
  <c r="C102" i="9"/>
  <c r="C21" i="9"/>
  <c r="B3" i="68"/>
  <c r="E52" i="39"/>
  <c r="F52" i="39" s="1"/>
  <c r="E51" i="39"/>
  <c r="F51" i="39" s="1"/>
  <c r="I46" i="40"/>
  <c r="J46" i="40" s="1"/>
  <c r="R43" i="40"/>
  <c r="E42" i="40"/>
  <c r="C47" i="39"/>
  <c r="C48" i="39"/>
  <c r="G51" i="39"/>
  <c r="H51" i="39" s="1"/>
  <c r="G52" i="39"/>
  <c r="H52" i="39" s="1"/>
  <c r="I51" i="39"/>
  <c r="J51" i="39" s="1"/>
  <c r="I52" i="39"/>
  <c r="J52" i="39" s="1"/>
  <c r="G46" i="40"/>
  <c r="H46" i="40" s="1"/>
  <c r="G47" i="40"/>
  <c r="H47" i="40" s="1"/>
  <c r="D35" i="9"/>
  <c r="D34" i="9"/>
  <c r="C20" i="9"/>
  <c r="C32" i="12" l="1"/>
  <c r="B2" i="12" s="1"/>
  <c r="B3" i="12" s="1"/>
  <c r="C103" i="9"/>
  <c r="C42" i="40"/>
  <c r="C43" i="40"/>
  <c r="B62" i="39"/>
  <c r="F62" i="39" s="1"/>
  <c r="B63" i="39"/>
  <c r="F63" i="39" s="1"/>
  <c r="B61" i="39"/>
  <c r="F61" i="39" s="1"/>
  <c r="B59" i="39"/>
  <c r="F59" i="39" s="1"/>
  <c r="B65" i="39"/>
  <c r="F65" i="39" s="1"/>
  <c r="B58" i="39"/>
  <c r="F58" i="39" s="1"/>
  <c r="B56" i="39"/>
  <c r="F56" i="39" s="1"/>
  <c r="F66" i="39" s="1"/>
  <c r="B2" i="39" s="1"/>
  <c r="B3" i="39" s="1"/>
  <c r="B57" i="39"/>
  <c r="F57" i="39" s="1"/>
  <c r="B64" i="39"/>
  <c r="F64" i="39" s="1"/>
  <c r="B60" i="39"/>
  <c r="F60" i="39" s="1"/>
  <c r="E47" i="40"/>
  <c r="F47" i="40" s="1"/>
  <c r="E46" i="40"/>
  <c r="F46" i="40" s="1"/>
  <c r="I47" i="40"/>
  <c r="J47" i="40" s="1"/>
  <c r="D20" i="9"/>
  <c r="D19" i="9"/>
  <c r="G19" i="9" l="1"/>
  <c r="D102" i="9"/>
  <c r="D22" i="9"/>
  <c r="D21" i="9"/>
  <c r="D103" i="9"/>
  <c r="G20" i="9"/>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C32" i="9" l="1"/>
  <c r="C35" i="9" s="1"/>
  <c r="C34" i="9" s="1"/>
  <c r="D118" i="9" s="1"/>
  <c r="D119" i="9" s="1"/>
  <c r="D5" i="52" s="1"/>
  <c r="B49" i="72" s="1"/>
  <c r="G21" i="9"/>
  <c r="F118" i="9" l="1"/>
  <c r="F4" i="52" s="1"/>
  <c r="B51" i="72" s="1"/>
  <c r="H118" i="9"/>
  <c r="C104" i="9" s="1"/>
  <c r="D4" i="52"/>
  <c r="B47" i="72" s="1"/>
  <c r="G118" i="9" l="1"/>
  <c r="G4" i="52" s="1"/>
  <c r="B52" i="72" s="1"/>
  <c r="D14" i="74"/>
  <c r="B5" i="74" s="1"/>
  <c r="F119" i="9"/>
  <c r="F5" i="52" s="1"/>
  <c r="B53" i="72" s="1"/>
  <c r="I118" i="9"/>
  <c r="I4" i="52" s="1"/>
  <c r="H119" i="9"/>
  <c r="H5" i="52" s="1"/>
  <c r="H101" i="9"/>
  <c r="D5" i="53" s="1"/>
  <c r="H4" i="52"/>
  <c r="H107" i="9"/>
  <c r="C105" i="9"/>
  <c r="F14" i="74"/>
  <c r="E14" i="74" l="1"/>
  <c r="H102" i="9"/>
  <c r="D7" i="53" s="1"/>
  <c r="B21" i="72" s="1"/>
  <c r="E118" i="9"/>
  <c r="E4" i="52" s="1"/>
  <c r="B48" i="72" s="1"/>
  <c r="M48" i="9"/>
  <c r="D45" i="9"/>
  <c r="C64" i="9" s="1"/>
  <c r="C63" i="9" s="1"/>
  <c r="C67" i="9" s="1"/>
  <c r="B20" i="72"/>
  <c r="D6" i="53"/>
  <c r="B22" i="72" s="1"/>
  <c r="C5" i="74"/>
  <c r="D5" i="74"/>
  <c r="H108" i="9"/>
  <c r="D15" i="53" s="1"/>
  <c r="B31" i="72" s="1"/>
  <c r="D122" i="9"/>
  <c r="D13" i="53"/>
  <c r="D52" i="9" l="1"/>
  <c r="D55" i="9"/>
  <c r="M53" i="9" s="1"/>
  <c r="C72" i="9"/>
  <c r="C78" i="9"/>
  <c r="C73" i="9" s="1"/>
  <c r="C93" i="9"/>
  <c r="C86" i="9" s="1"/>
  <c r="C85" i="9"/>
  <c r="D53" i="9"/>
  <c r="D8" i="52"/>
  <c r="D123" i="9"/>
  <c r="D9" i="52" s="1"/>
  <c r="G14" i="74"/>
  <c r="B6" i="74" s="1"/>
  <c r="B30" i="72"/>
  <c r="D14" i="53"/>
  <c r="B32" i="72" s="1"/>
  <c r="D59" i="9"/>
  <c r="M55" i="9" s="1"/>
  <c r="C68" i="9"/>
  <c r="D54" i="9" s="1"/>
  <c r="C79" i="9" l="1"/>
  <c r="C80" i="9" s="1"/>
  <c r="C95" i="9"/>
  <c r="C96" i="9" s="1"/>
  <c r="E96" i="9" s="1"/>
  <c r="E97" i="9" s="1"/>
  <c r="E80" i="9"/>
  <c r="E81" i="9" s="1"/>
  <c r="C81" i="9"/>
  <c r="D6" i="74"/>
  <c r="C6" i="74"/>
  <c r="C97" i="9" l="1"/>
  <c r="D58" i="9" s="1"/>
  <c r="D56" i="9" s="1"/>
  <c r="M54" i="9" s="1"/>
  <c r="N57" i="9" s="1"/>
  <c r="N59" i="9" s="1"/>
  <c r="N60" i="9" s="1"/>
  <c r="N61" i="9" l="1"/>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<sst xmlns="http://schemas.openxmlformats.org/spreadsheetml/2006/main" count="9319" uniqueCount="3612">
  <si>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</si>
  <si>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</si>
  <si>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</si>
  <si>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</si>
  <si>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</si>
  <si>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</si>
  <si>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</si>
  <si>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</si>
  <si>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</si>
  <si>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</si>
  <si>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</si>
  <si>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</si>
  <si>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</si>
  <si>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</si>
  <si>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</si>
  <si>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</si>
  <si>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</si>
  <si>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</si>
  <si>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</si>
  <si>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</si>
  <si>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</si>
  <si>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</si>
  <si>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</si>
  <si>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</si>
  <si>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</si>
  <si>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</si>
  <si>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</si>
  <si>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</si>
  <si>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</si>
  <si>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</si>
  <si>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</si>
  <si>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</si>
  <si>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</si>
  <si>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</si>
  <si>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</si>
  <si>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</si>
  <si>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</si>
  <si>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</si>
  <si>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</si>
  <si>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</si>
  <si>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</si>
  <si>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</si>
  <si>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</si>
  <si>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</si>
  <si>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</si>
  <si>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</si>
  <si>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</si>
  <si>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</si>
  <si>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</si>
  <si>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</si>
  <si>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</si>
  <si>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</si>
  <si>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</si>
  <si>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</si>
  <si>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</si>
  <si>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</si>
  <si>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</si>
  <si>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</si>
  <si>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</si>
  <si>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</si>
  <si>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</si>
  <si>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</si>
  <si>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</si>
  <si>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</si>
  <si>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</si>
  <si>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</si>
  <si>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</si>
  <si>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</si>
  <si>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</si>
  <si>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</si>
  <si>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</si>
  <si>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</si>
  <si>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</si>
  <si>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</si>
  <si>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</si>
  <si>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</si>
  <si>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</si>
  <si>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</si>
  <si>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</si>
  <si>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</si>
  <si>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</si>
  <si>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</si>
  <si>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</si>
  <si>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</si>
  <si>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</si>
  <si>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</si>
  <si>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</si>
  <si>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</si>
  <si>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</si>
  <si>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</si>
  <si>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</si>
  <si>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</si>
  <si>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</si>
  <si>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</si>
  <si>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</si>
  <si>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</si>
  <si>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</si>
  <si>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</si>
  <si>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</si>
  <si>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</si>
  <si>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</si>
  <si>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</si>
  <si>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</si>
  <si>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</si>
  <si>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</si>
  <si>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</si>
  <si>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</si>
  <si>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</si>
  <si>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</si>
  <si>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</si>
  <si>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</si>
  <si>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</si>
  <si>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</si>
  <si>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</si>
  <si>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</si>
  <si>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</si>
  <si>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</si>
  <si>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</si>
  <si>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</si>
  <si>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</si>
  <si>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</si>
  <si>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</si>
  <si>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</si>
  <si>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</si>
  <si>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</si>
  <si>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</si>
  <si>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</si>
  <si>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</si>
  <si>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</si>
  <si>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</si>
  <si>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</si>
  <si>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</si>
  <si>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</si>
  <si>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</si>
  <si>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</si>
  <si>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</si>
  <si>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</si>
  <si>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</si>
  <si>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</si>
  <si>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</si>
  <si>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</si>
  <si>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</si>
  <si>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</si>
  <si>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</si>
  <si>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</si>
  <si>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</si>
  <si>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</si>
  <si>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</si>
  <si>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</si>
  <si>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</si>
  <si>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</si>
  <si>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</si>
  <si>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</si>
  <si>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</si>
  <si>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</si>
  <si>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</si>
  <si>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</si>
  <si>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</si>
  <si>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</si>
  <si>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</si>
  <si>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</si>
  <si>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</si>
  <si>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</si>
  <si>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</si>
  <si>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</si>
  <si>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</si>
  <si>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</si>
  <si>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</si>
  <si>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</si>
  <si>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</si>
  <si>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</si>
  <si>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</si>
  <si>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</si>
  <si>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</si>
  <si>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</si>
  <si>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</si>
  <si>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</si>
  <si>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</si>
  <si>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</si>
  <si>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</si>
  <si>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</si>
  <si>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</si>
  <si>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</si>
  <si>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</si>
  <si>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</si>
  <si>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</si>
  <si>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</si>
  <si>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</si>
  <si>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</si>
  <si>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</si>
  <si>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</si>
  <si>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</si>
  <si>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</si>
  <si>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</si>
  <si>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</si>
  <si>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</si>
  <si>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</si>
  <si>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</si>
  <si>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</si>
  <si>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</si>
  <si>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</si>
  <si>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</si>
  <si>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</si>
  <si>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</si>
  <si>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</si>
  <si>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</si>
  <si>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</si>
  <si>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</si>
  <si>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</si>
  <si>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</si>
  <si>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</si>
  <si>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</si>
  <si>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</si>
  <si>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</si>
  <si>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</si>
  <si>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</si>
  <si>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</si>
  <si>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</si>
  <si>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</si>
  <si>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</si>
  <si>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</si>
  <si>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</si>
  <si>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</si>
  <si>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</si>
  <si>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</si>
  <si>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</si>
  <si>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</si>
  <si>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</si>
  <si>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</si>
  <si>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</si>
  <si>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</si>
  <si>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</si>
  <si>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</si>
  <si>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</si>
  <si>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</si>
  <si>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</si>
  <si>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</si>
  <si>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</si>
  <si>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</si>
  <si>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</si>
  <si>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</si>
  <si>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</si>
  <si>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</si>
  <si>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</si>
  <si>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</si>
  <si>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</si>
  <si>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</si>
  <si>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</si>
  <si>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</si>
  <si>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</si>
  <si>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</si>
  <si>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</si>
  <si>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</si>
  <si>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</si>
  <si>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</si>
  <si>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</si>
  <si>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</si>
  <si>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</si>
  <si>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</si>
  <si>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</si>
  <si>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</si>
  <si>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</si>
  <si>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</si>
  <si>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</si>
  <si>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</si>
  <si>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</si>
  <si>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</si>
  <si>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</si>
  <si>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</si>
  <si>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</si>
  <si>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</si>
  <si>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</si>
  <si>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</si>
  <si>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</si>
  <si>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</si>
  <si>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</si>
  <si>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</si>
  <si>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</si>
  <si>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</si>
  <si>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</si>
  <si>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</si>
  <si>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</si>
  <si>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</si>
  <si>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</si>
  <si>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</si>
  <si>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</si>
  <si>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</si>
  <si>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</si>
  <si>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</si>
  <si>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</si>
  <si>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</si>
  <si>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</si>
  <si>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</si>
  <si>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</si>
  <si>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</si>
  <si>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</si>
  <si>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</si>
  <si>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</si>
  <si>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</si>
  <si>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</si>
  <si>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</si>
  <si>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</si>
  <si>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</si>
  <si>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</si>
  <si>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</si>
  <si>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</si>
  <si>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</si>
  <si>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</si>
  <si>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</si>
  <si>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</si>
  <si>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</si>
  <si>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</si>
  <si>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</si>
  <si>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</si>
  <si>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</si>
  <si>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</si>
  <si>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</si>
  <si>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</si>
  <si>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</si>
  <si>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</si>
  <si>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</si>
  <si>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</si>
  <si>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</si>
  <si>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</si>
  <si>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</si>
  <si>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</si>
  <si>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</si>
  <si>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</si>
  <si>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</si>
  <si>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</si>
  <si>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</si>
  <si>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</si>
  <si>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</si>
  <si>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</si>
  <si>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</si>
  <si>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</si>
  <si>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</si>
  <si>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</si>
  <si>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</si>
  <si>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</si>
  <si>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</si>
  <si>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</si>
  <si>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</si>
  <si>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</si>
  <si>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</si>
  <si>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</si>
  <si>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</si>
  <si>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</si>
  <si>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</si>
  <si>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</si>
  <si>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</si>
  <si>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</si>
  <si>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</si>
  <si>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</si>
  <si>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</si>
  <si>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</si>
  <si>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</si>
  <si>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</si>
  <si>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</si>
  <si>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</si>
  <si>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</si>
  <si>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</si>
  <si>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</si>
  <si>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</si>
  <si>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</si>
  <si>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</si>
  <si>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</si>
  <si>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</si>
  <si>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</si>
  <si>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</si>
  <si>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</si>
  <si>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</si>
  <si>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</si>
  <si>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</si>
  <si>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</si>
  <si>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</si>
  <si>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</si>
  <si>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</si>
  <si>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</si>
  <si>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</si>
  <si>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</si>
  <si>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</si>
  <si>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</si>
  <si>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</si>
  <si>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</si>
  <si>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</si>
  <si>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</si>
  <si>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</si>
  <si>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</si>
  <si>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</si>
  <si>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</si>
  <si>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</si>
  <si>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</si>
  <si>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</si>
  <si>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</si>
  <si>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</si>
  <si>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</si>
  <si>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</si>
  <si>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</si>
  <si>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</si>
  <si>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</si>
  <si>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</si>
  <si>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</si>
  <si>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</si>
  <si>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</si>
  <si>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</si>
  <si>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</si>
  <si>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</si>
  <si>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</si>
  <si>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</si>
  <si>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</si>
  <si>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</si>
  <si>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</si>
  <si>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</si>
  <si>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</si>
  <si>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</si>
  <si>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</si>
  <si>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</si>
  <si>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</si>
  <si>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</si>
  <si>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</si>
  <si>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</si>
  <si>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</si>
  <si>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</si>
  <si>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</si>
  <si>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</si>
  <si>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</si>
  <si>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</si>
  <si>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</si>
  <si>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</si>
  <si>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</si>
  <si>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</si>
  <si>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</si>
  <si>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</si>
  <si>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</si>
  <si>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</si>
  <si>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</si>
  <si>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</si>
  <si>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</si>
  <si>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</si>
  <si>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</si>
  <si>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</si>
  <si>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</si>
  <si>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</si>
  <si>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</si>
  <si>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</si>
  <si>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</si>
  <si>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</si>
  <si>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</si>
  <si>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</si>
  <si>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</si>
  <si>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</si>
  <si>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</si>
  <si>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</si>
  <si>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</si>
  <si>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</si>
  <si>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</si>
  <si>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</si>
  <si>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</si>
  <si>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</si>
  <si>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</si>
  <si>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</si>
  <si>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</si>
  <si>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</si>
  <si>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</si>
  <si>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</si>
  <si>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</si>
  <si>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</si>
  <si>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</si>
  <si>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</si>
  <si>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</si>
  <si>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</si>
  <si>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</si>
  <si>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</si>
  <si>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</si>
  <si>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</si>
  <si>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</si>
  <si>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</si>
  <si>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</si>
  <si>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</si>
  <si>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</si>
  <si>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</si>
  <si>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</si>
  <si>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</si>
  <si>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</si>
  <si>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</si>
  <si>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</si>
  <si>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</si>
  <si>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</si>
  <si>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</si>
  <si>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</si>
  <si>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</si>
  <si>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</si>
  <si>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</si>
  <si>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</si>
  <si>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</si>
  <si>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</si>
  <si>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</si>
  <si>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</si>
  <si>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</si>
  <si>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</si>
  <si>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</si>
  <si>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</si>
  <si>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</si>
  <si>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</si>
  <si>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</si>
  <si>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</si>
  <si>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</si>
  <si>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</si>
  <si>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</si>
  <si>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</si>
  <si>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</si>
  <si>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</si>
  <si>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</si>
  <si>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</si>
  <si>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</si>
  <si>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</si>
  <si>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</si>
  <si>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</si>
  <si>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</si>
  <si>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</si>
  <si>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</si>
  <si>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</si>
  <si>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</si>
  <si>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</si>
  <si>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</si>
  <si>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</si>
  <si>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</si>
  <si>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</si>
  <si>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</si>
  <si>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</si>
  <si>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</si>
  <si>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</si>
  <si>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</si>
  <si>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</si>
  <si>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</si>
  <si>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</si>
  <si>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</si>
  <si>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</si>
  <si>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</si>
  <si>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</si>
  <si>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</si>
  <si>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</si>
  <si>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</si>
  <si>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</si>
  <si>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</si>
  <si>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</si>
  <si>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</si>
  <si>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</si>
  <si>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</si>
  <si>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</si>
  <si>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</si>
  <si>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</si>
  <si>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</si>
  <si>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</si>
  <si>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</si>
  <si>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</si>
  <si>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</si>
  <si>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</si>
  <si>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</si>
  <si>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</si>
  <si>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</si>
  <si>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</si>
  <si>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</si>
  <si>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</si>
  <si>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</si>
  <si>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</si>
  <si>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</si>
  <si>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</si>
  <si>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</si>
  <si>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</si>
  <si>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</si>
  <si>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</si>
  <si>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</si>
  <si>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</si>
  <si>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</si>
  <si>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</si>
  <si>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</si>
  <si>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</si>
  <si>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</si>
  <si>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</si>
  <si>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</si>
  <si>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</si>
  <si>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</si>
  <si>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</si>
  <si>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</si>
  <si>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</si>
  <si>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</si>
  <si>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</si>
  <si>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</si>
  <si>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</si>
  <si>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</si>
  <si>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</si>
  <si>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</si>
  <si>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</si>
  <si>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</si>
  <si>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</si>
  <si>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</si>
  <si>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</si>
  <si>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</si>
  <si>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</si>
  <si>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</si>
  <si>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</si>
  <si>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</si>
  <si>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</si>
  <si>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</si>
  <si>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</si>
  <si>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</si>
  <si>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</si>
  <si>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</si>
  <si>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</si>
  <si>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</si>
  <si>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</si>
  <si>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</si>
  <si>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</si>
  <si>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</si>
  <si>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</si>
  <si>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</si>
  <si>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</si>
  <si>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</si>
  <si>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</si>
  <si>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</si>
  <si>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</si>
  <si>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</si>
  <si>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</si>
  <si>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</si>
  <si>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</si>
  <si>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</si>
  <si>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</si>
  <si>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</si>
  <si>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</si>
  <si>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</si>
  <si>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</si>
  <si>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</si>
  <si>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</si>
  <si>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</si>
  <si>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</si>
  <si>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</si>
  <si>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</si>
  <si>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</si>
  <si>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</si>
  <si>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</si>
  <si>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</si>
  <si>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</si>
  <si>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</si>
  <si>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</si>
  <si>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</si>
  <si>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</si>
  <si>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</si>
  <si>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</si>
  <si>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</si>
  <si>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</si>
  <si>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</si>
  <si>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</si>
  <si>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</si>
  <si>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</si>
  <si>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</si>
  <si>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</si>
  <si>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</si>
  <si>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</si>
  <si>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</si>
  <si>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</si>
  <si>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</si>
  <si>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</si>
  <si>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</si>
  <si>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</si>
  <si>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</si>
  <si>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</si>
  <si>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</si>
  <si>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</si>
  <si>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</si>
  <si>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</si>
  <si>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</si>
  <si>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</si>
  <si>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</si>
  <si>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</si>
  <si>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</si>
  <si>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</si>
  <si>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</si>
  <si>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</si>
  <si>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</si>
  <si>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</si>
  <si>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</si>
  <si>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</si>
  <si>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</si>
  <si>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</si>
  <si>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</si>
  <si>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</si>
  <si>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</si>
  <si>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</si>
  <si>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</si>
  <si>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</si>
  <si>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</si>
  <si>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</si>
  <si>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</si>
  <si>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</si>
  <si>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</si>
  <si>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</si>
  <si>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</si>
  <si>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</si>
  <si>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</si>
  <si>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</si>
  <si>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</si>
  <si>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</si>
  <si>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</si>
  <si>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</si>
  <si>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</si>
  <si>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</si>
  <si>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</si>
  <si>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</si>
  <si>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</si>
  <si>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</si>
  <si>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</si>
  <si>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</si>
  <si>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</si>
  <si>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</si>
  <si>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</si>
  <si>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</si>
  <si>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</si>
  <si>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</si>
  <si>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</si>
  <si>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</si>
  <si>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</si>
  <si>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</si>
  <si>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</si>
  <si>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</si>
  <si>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</si>
  <si>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</si>
  <si>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</si>
  <si>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</si>
  <si>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</si>
  <si>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</si>
  <si>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</si>
  <si>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</si>
  <si>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</si>
  <si>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</si>
  <si>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</si>
  <si>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</si>
  <si>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</si>
  <si>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</si>
  <si>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</si>
  <si>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</si>
  <si>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</si>
  <si>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</si>
  <si>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</si>
  <si>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</si>
  <si>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</si>
  <si>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</si>
  <si>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</si>
  <si>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</si>
  <si>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</si>
  <si>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</si>
  <si>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</si>
  <si>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</si>
  <si>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</si>
  <si>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</si>
  <si>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</si>
  <si>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</si>
  <si>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</si>
  <si>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</si>
  <si>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</si>
  <si>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</si>
  <si>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</si>
  <si>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</si>
  <si>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</si>
  <si>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</si>
  <si>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</si>
  <si>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</si>
  <si>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</si>
  <si>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</si>
  <si>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</si>
  <si>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</si>
  <si>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</si>
  <si>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</si>
  <si>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</si>
  <si>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</si>
  <si>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</si>
  <si>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</si>
  <si>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</si>
  <si>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</si>
  <si>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</si>
  <si>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</si>
  <si>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</si>
  <si>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</si>
  <si>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</si>
  <si>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</si>
  <si>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</si>
  <si>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</si>
  <si>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</si>
  <si>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</si>
  <si>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</si>
  <si>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</si>
  <si>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</si>
  <si>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</si>
  <si>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</si>
  <si>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</si>
  <si>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</si>
  <si>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</si>
  <si>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</si>
  <si>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</si>
  <si>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</si>
  <si>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</si>
  <si>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</si>
  <si>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</si>
  <si>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</si>
  <si>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</si>
  <si>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</si>
  <si>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</si>
  <si>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</si>
  <si>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</si>
  <si>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</si>
  <si>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</si>
  <si>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</si>
  <si>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</si>
  <si>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</si>
  <si>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</si>
  <si>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</si>
  <si>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</si>
  <si>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</si>
  <si>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</si>
  <si>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</si>
  <si>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</si>
  <si>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</si>
  <si>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</si>
  <si>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</si>
  <si>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</si>
  <si>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</si>
  <si>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</si>
  <si>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</si>
  <si>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</si>
  <si>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</si>
  <si>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</si>
  <si>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</si>
  <si>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</si>
  <si>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</si>
  <si>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</si>
  <si>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</si>
  <si>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</si>
  <si>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</si>
  <si>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</si>
  <si>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</si>
  <si>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</si>
  <si>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</si>
  <si>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</si>
  <si>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</si>
  <si>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</si>
  <si>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</si>
  <si>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</si>
  <si>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</si>
  <si>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</si>
  <si>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</si>
  <si>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</si>
  <si>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</si>
  <si>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</si>
  <si>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</si>
  <si>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</si>
  <si>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</si>
  <si>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</si>
  <si>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</si>
  <si>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</si>
  <si>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</si>
  <si>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</si>
  <si>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</si>
  <si>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</si>
  <si>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</si>
  <si>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</si>
  <si>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</si>
  <si>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</si>
  <si>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</si>
  <si>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</si>
  <si>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</si>
  <si>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</si>
  <si>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</si>
  <si>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</si>
  <si>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</si>
  <si>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</si>
  <si>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</si>
  <si>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</si>
  <si>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</si>
  <si>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</si>
  <si>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</si>
  <si>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</si>
  <si>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</si>
  <si>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</si>
  <si>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</si>
  <si>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</si>
  <si>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</si>
  <si>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</si>
  <si>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</si>
  <si>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</si>
  <si>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</si>
  <si>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</si>
  <si>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</si>
  <si>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</si>
  <si>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</si>
  <si>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</si>
  <si>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</si>
  <si>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</si>
  <si>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</si>
  <si>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</si>
  <si>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</si>
  <si>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</si>
  <si>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</si>
  <si>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</si>
  <si>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</si>
  <si>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</si>
  <si>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</si>
  <si>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</si>
  <si>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</si>
  <si>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</si>
  <si>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</si>
  <si>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</si>
  <si>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</si>
  <si>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</si>
  <si>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</si>
  <si>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</si>
  <si>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</si>
  <si>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</si>
  <si>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</si>
  <si>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</si>
  <si>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</si>
  <si>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</si>
  <si>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</si>
  <si>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</si>
  <si>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</si>
  <si>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</si>
  <si>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</si>
  <si>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</si>
  <si>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</si>
  <si>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</si>
  <si>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</si>
  <si>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</si>
  <si>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</si>
  <si>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</si>
  <si>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</si>
  <si>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</si>
  <si>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</si>
  <si>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</si>
  <si>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</si>
  <si>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</si>
  <si>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</si>
  <si>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</si>
  <si>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</si>
  <si>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</si>
  <si>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</si>
  <si>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</si>
  <si>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</si>
  <si>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</si>
  <si>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</si>
  <si>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</si>
  <si>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</si>
  <si>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</si>
  <si>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</si>
  <si>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</si>
  <si>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</si>
  <si>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</si>
  <si>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</si>
  <si>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</si>
  <si>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</si>
  <si>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</si>
  <si>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</si>
  <si>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</si>
  <si>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</si>
  <si>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</si>
  <si>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</si>
  <si>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</si>
  <si>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</si>
  <si>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</si>
  <si>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</si>
  <si>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</si>
  <si>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</si>
  <si>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</si>
  <si>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</si>
  <si>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</si>
  <si>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</si>
  <si>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</si>
  <si>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</si>
  <si>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</si>
  <si>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</si>
  <si>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</si>
  <si>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</si>
  <si>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</si>
  <si>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</si>
  <si>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</si>
  <si>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</si>
  <si>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</si>
  <si>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</si>
  <si>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</si>
  <si>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</si>
  <si>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</si>
  <si>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</si>
  <si>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</si>
  <si>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</si>
  <si>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</si>
  <si>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</si>
  <si>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</si>
  <si>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</si>
  <si>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</si>
  <si>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</si>
  <si>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</si>
  <si>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</si>
  <si>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</si>
  <si>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</si>
  <si>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</si>
  <si>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</si>
  <si>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</si>
  <si>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</si>
  <si>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</si>
  <si>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</si>
  <si>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</si>
  <si>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</si>
  <si>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</si>
  <si>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</si>
  <si>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</si>
  <si>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</si>
  <si>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</si>
  <si>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</si>
  <si>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</si>
  <si>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</si>
  <si>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</si>
  <si>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</si>
  <si>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</si>
  <si>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</si>
  <si>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</si>
  <si>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</si>
  <si>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</si>
  <si>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</si>
  <si>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</si>
  <si>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</si>
  <si>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</si>
  <si>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</si>
  <si>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</si>
  <si>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</si>
  <si>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</si>
  <si>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</si>
  <si>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</si>
  <si>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</si>
  <si>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</si>
  <si>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</si>
  <si>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</si>
  <si>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</si>
  <si>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</si>
  <si>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</si>
  <si>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</si>
  <si>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</si>
  <si>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</si>
  <si>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</si>
  <si>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</si>
  <si>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</si>
  <si>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</si>
  <si>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</si>
  <si>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</si>
  <si>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</si>
  <si>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</si>
  <si>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</si>
  <si>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</si>
  <si>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</si>
  <si>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</si>
  <si>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</si>
  <si>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</si>
  <si>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</si>
  <si>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</si>
  <si>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</si>
  <si>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</si>
  <si>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</si>
  <si>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</si>
  <si>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</si>
  <si>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</si>
  <si>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</si>
  <si>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</si>
  <si>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</si>
  <si>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</si>
  <si>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</si>
  <si>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</si>
  <si>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</si>
  <si>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</si>
  <si>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</si>
  <si>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</si>
  <si>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</si>
  <si>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</si>
  <si>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</si>
  <si>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</si>
  <si>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</si>
  <si>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</si>
  <si>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</si>
  <si>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</si>
  <si>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</si>
  <si>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</si>
  <si>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</si>
  <si>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</si>
  <si>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</si>
  <si>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</si>
  <si>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</si>
  <si>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</si>
  <si>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</si>
  <si>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</si>
  <si>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</si>
  <si>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</si>
  <si>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</si>
  <si>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</si>
  <si>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</si>
  <si>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</si>
  <si>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</si>
  <si>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</si>
  <si>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</si>
  <si>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</si>
  <si>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</si>
  <si>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</si>
  <si>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</si>
  <si>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</si>
  <si>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</si>
  <si>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</si>
  <si>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</si>
  <si>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</si>
  <si>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</si>
  <si>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</si>
  <si>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</si>
  <si>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</si>
  <si>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</si>
  <si>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</si>
  <si>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</si>
  <si>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</si>
  <si>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</si>
  <si>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</si>
  <si>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</si>
  <si>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</si>
  <si>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</si>
  <si>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</si>
  <si>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</si>
  <si>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</si>
  <si>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</si>
  <si>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</si>
  <si>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</si>
  <si>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</si>
  <si>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</si>
  <si>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</si>
  <si>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</si>
  <si>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</si>
  <si>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</si>
  <si>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</si>
  <si>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</si>
  <si>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</si>
  <si>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</si>
  <si>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</si>
  <si>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</si>
  <si>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</si>
  <si>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</si>
  <si>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</si>
  <si>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</si>
  <si>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</si>
  <si>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</si>
  <si>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</si>
  <si>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</si>
  <si>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</si>
  <si>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</si>
  <si>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</si>
  <si>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</si>
  <si>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</si>
  <si>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</si>
  <si>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</si>
  <si>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</si>
  <si>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</si>
  <si>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</si>
  <si>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</si>
  <si>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</si>
  <si>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</si>
  <si>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</si>
  <si>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</si>
  <si>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</si>
  <si>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</si>
  <si>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</si>
  <si>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</si>
  <si>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</si>
  <si>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</si>
  <si>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</si>
  <si>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</si>
  <si>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</si>
  <si>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</si>
  <si>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</si>
  <si>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</si>
  <si>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</si>
  <si>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</si>
  <si>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</si>
  <si>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</si>
  <si>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</si>
  <si>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</si>
  <si>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</si>
  <si>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</si>
  <si>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</si>
  <si>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</si>
  <si>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</si>
  <si>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</si>
  <si>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</si>
  <si>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</si>
  <si>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</si>
  <si>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</si>
  <si>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</si>
  <si>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</si>
  <si>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</si>
  <si>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</si>
  <si>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</si>
  <si>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</si>
  <si>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</si>
  <si>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</si>
  <si>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</si>
  <si>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</si>
  <si>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</si>
  <si>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</si>
  <si>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</si>
  <si>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</si>
  <si>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</si>
  <si>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</si>
  <si>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</si>
  <si>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</si>
  <si>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</si>
  <si>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</si>
  <si>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</si>
  <si>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</si>
  <si>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</si>
  <si>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</si>
  <si>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</si>
  <si>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</si>
  <si>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</si>
  <si>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</si>
  <si>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</si>
  <si>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</si>
  <si>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</si>
  <si>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</si>
  <si>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</si>
  <si>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</si>
  <si>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</si>
  <si>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</si>
  <si>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</si>
  <si>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</si>
  <si>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</si>
  <si>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</si>
  <si>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</si>
  <si>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</si>
  <si>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</si>
  <si>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</si>
  <si>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</si>
  <si>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</si>
  <si>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</si>
  <si>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</si>
  <si>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</si>
  <si>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</si>
  <si>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</si>
  <si>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</si>
  <si>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</si>
  <si>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</si>
  <si>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</si>
  <si>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</si>
  <si>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</si>
  <si>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</si>
  <si>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</si>
  <si>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</si>
  <si>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</si>
  <si>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</si>
  <si>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</si>
  <si>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</si>
  <si>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</si>
  <si>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</si>
  <si>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</si>
  <si>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</si>
  <si>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</si>
  <si>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</si>
  <si>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</si>
  <si>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</si>
  <si>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</si>
  <si>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</si>
  <si>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</si>
  <si>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</si>
  <si>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</si>
  <si>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</si>
  <si>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</si>
  <si>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</si>
  <si>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</si>
  <si>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</si>
  <si>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</si>
  <si>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</si>
  <si>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</si>
  <si>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</si>
  <si>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</si>
  <si>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</si>
  <si>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</si>
  <si>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</si>
  <si>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</si>
  <si>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</si>
  <si>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</si>
  <si>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</si>
  <si>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</si>
  <si>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</si>
  <si>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</si>
  <si>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</si>
  <si>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</si>
  <si>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</si>
  <si>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</si>
  <si>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</si>
  <si>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</si>
  <si>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</si>
  <si>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</si>
  <si>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</si>
  <si>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</si>
  <si>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</si>
  <si>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</si>
  <si>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</si>
  <si>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</si>
  <si>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</si>
  <si>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</si>
  <si>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</si>
  <si>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</si>
  <si>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</si>
  <si>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</si>
  <si>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</si>
  <si>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</si>
  <si>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</si>
  <si>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</si>
  <si>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</si>
  <si>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</si>
  <si>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</si>
  <si>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</si>
  <si>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</si>
  <si>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</si>
  <si>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</si>
  <si>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</si>
  <si>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</si>
  <si>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</si>
  <si>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</si>
  <si>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</si>
  <si>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</si>
  <si>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</si>
  <si>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</si>
  <si>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</si>
  <si>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</si>
  <si>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</si>
  <si>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</si>
  <si>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</si>
  <si>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</si>
  <si>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</si>
  <si>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</si>
  <si>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</si>
  <si>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</si>
  <si>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</si>
  <si>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</si>
  <si>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</si>
  <si>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</si>
  <si>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</si>
  <si>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</si>
  <si>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</si>
  <si>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</si>
  <si>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</si>
  <si>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</si>
  <si>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</si>
  <si>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</si>
  <si>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</si>
  <si>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</si>
  <si>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</si>
  <si>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</si>
  <si>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</si>
  <si>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</si>
  <si>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</si>
  <si>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</si>
  <si>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</si>
  <si>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</si>
  <si>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</si>
  <si>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</si>
  <si>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</si>
  <si>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</si>
  <si>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</si>
  <si>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</si>
  <si>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</si>
  <si>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</si>
  <si>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</si>
  <si>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</si>
  <si>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</si>
  <si>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</si>
  <si>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</si>
  <si>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</si>
  <si>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</si>
  <si>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</si>
  <si>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</si>
  <si>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</si>
  <si>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</si>
  <si>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</si>
  <si>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</si>
  <si>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</si>
  <si>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</si>
  <si>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</si>
  <si>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</si>
  <si>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</si>
  <si>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</si>
  <si>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</si>
  <si>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</si>
  <si>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</si>
  <si>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</si>
  <si>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</si>
  <si>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</si>
  <si>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</si>
  <si>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</si>
  <si>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</si>
  <si>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</si>
  <si>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</si>
  <si>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</si>
  <si>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</si>
  <si>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</si>
  <si>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</si>
  <si>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</si>
  <si>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</si>
  <si>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</si>
  <si>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</si>
  <si>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</si>
  <si>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</si>
  <si>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</si>
  <si>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</si>
  <si>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</si>
  <si>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</si>
  <si>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</si>
  <si>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</si>
  <si>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</si>
  <si>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</si>
  <si>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</si>
  <si>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</si>
  <si>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</si>
  <si>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</si>
  <si>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</si>
  <si>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</si>
  <si>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</si>
  <si>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</si>
  <si>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</si>
  <si>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</si>
  <si>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</si>
  <si>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</si>
  <si>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</si>
  <si>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</si>
  <si>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</si>
  <si>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</si>
  <si>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</si>
  <si>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</si>
  <si>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</si>
  <si>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</si>
  <si>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</si>
  <si>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</si>
  <si>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</si>
  <si>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</si>
  <si>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</si>
  <si>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</si>
  <si>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</si>
  <si>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</si>
  <si>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</si>
  <si>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</si>
  <si>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</si>
  <si>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</si>
  <si>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</si>
  <si>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</si>
  <si>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</si>
  <si>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</si>
  <si>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</si>
  <si>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</si>
  <si>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</si>
  <si>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</si>
  <si>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</si>
  <si>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</si>
  <si>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</si>
  <si>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</si>
  <si>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</si>
  <si>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</si>
  <si>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</si>
  <si>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</si>
  <si>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</si>
  <si>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</si>
  <si>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</si>
  <si>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</si>
  <si>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</si>
  <si>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</si>
  <si>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</si>
  <si>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</si>
  <si>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</si>
  <si>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</si>
  <si>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</si>
  <si>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</si>
  <si>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</si>
  <si>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</si>
  <si>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</si>
  <si>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</si>
  <si>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</si>
  <si>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</si>
  <si>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</si>
  <si>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</si>
  <si>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</si>
  <si>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</si>
  <si>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</si>
  <si>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</si>
  <si>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</si>
  <si>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</si>
  <si>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</si>
  <si>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</si>
  <si>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</si>
  <si>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</si>
  <si>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</si>
  <si>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</si>
  <si>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</si>
  <si>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</si>
  <si>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</si>
  <si>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</si>
  <si>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</si>
  <si>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</si>
  <si>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</si>
  <si>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</si>
  <si>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</si>
  <si>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</si>
  <si>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</si>
  <si>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</si>
  <si>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</si>
  <si>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</si>
  <si>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</si>
  <si>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</si>
  <si>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</si>
  <si>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</si>
  <si>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</si>
  <si>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</si>
  <si>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</si>
  <si>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</si>
  <si>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</si>
  <si>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</si>
  <si>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</si>
  <si>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</si>
  <si>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</si>
  <si>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</si>
  <si>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</si>
  <si>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</si>
  <si>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</si>
  <si>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</si>
  <si>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</si>
  <si>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</si>
  <si>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</si>
  <si>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</si>
  <si>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</si>
  <si>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</si>
  <si>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</si>
  <si>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</si>
  <si>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</si>
  <si>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</si>
  <si>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</si>
  <si>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</si>
  <si>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</si>
  <si>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</si>
  <si>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</si>
  <si>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</si>
  <si>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</si>
  <si>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</si>
  <si>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</si>
  <si>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</si>
  <si>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</si>
  <si>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</si>
  <si>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</si>
  <si>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</si>
  <si>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</si>
  <si>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</si>
  <si>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</si>
  <si>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</si>
  <si>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</si>
  <si>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</si>
  <si>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</si>
  <si>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</si>
  <si>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</si>
  <si>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</si>
  <si>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</si>
  <si>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</si>
  <si>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</si>
  <si>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</si>
  <si>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</si>
  <si>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</si>
  <si>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</si>
  <si>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</si>
  <si>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</si>
  <si>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</si>
  <si>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</si>
  <si>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</si>
  <si>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</si>
  <si>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</si>
  <si>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</si>
  <si>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</si>
  <si>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</si>
  <si>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</si>
  <si>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</si>
  <si>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</si>
  <si>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</si>
  <si>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</si>
  <si>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</si>
  <si>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</si>
  <si>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</si>
  <si>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</si>
  <si>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</si>
  <si>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</si>
  <si>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</si>
  <si>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</si>
  <si>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</si>
  <si>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</si>
  <si>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</si>
  <si>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</si>
  <si>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</si>
  <si>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</si>
  <si>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</si>
  <si>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</si>
  <si>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</si>
  <si>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</si>
  <si>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</si>
  <si>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</si>
  <si>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</si>
  <si>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</si>
  <si>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</si>
  <si>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</si>
  <si>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</si>
  <si>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</si>
  <si>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</si>
  <si>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</si>
  <si>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</si>
  <si>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</si>
  <si>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</si>
  <si>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</si>
  <si>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</si>
  <si>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</si>
  <si>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</si>
  <si>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</si>
  <si>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</si>
  <si>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</si>
  <si>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</si>
  <si>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</si>
  <si>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</si>
  <si>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</si>
  <si>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</si>
  <si>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</si>
  <si>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</si>
  <si>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</si>
  <si>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</si>
  <si>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</si>
  <si>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</si>
  <si>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</si>
  <si>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</si>
  <si>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</si>
  <si>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</si>
  <si>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</si>
  <si>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</si>
  <si>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</si>
  <si>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</si>
  <si>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</si>
  <si>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</si>
  <si>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</si>
  <si>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</si>
  <si>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</si>
  <si>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</si>
  <si>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</si>
  <si>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</si>
  <si>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</si>
  <si>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</si>
  <si>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</si>
  <si>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</si>
  <si>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</si>
  <si>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</si>
  <si>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</si>
  <si>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</si>
  <si>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</si>
  <si>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</si>
  <si>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</si>
  <si>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</si>
  <si>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</si>
  <si>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</si>
  <si>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</si>
  <si>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</si>
  <si>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</si>
  <si>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</si>
  <si>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</si>
  <si>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</si>
  <si>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</si>
  <si>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</si>
  <si>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</si>
  <si>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</si>
  <si>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</si>
  <si>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</si>
  <si>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</si>
  <si>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</si>
  <si>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</si>
  <si>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</si>
  <si>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</si>
  <si>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</si>
  <si>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</si>
  <si>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</si>
  <si>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</si>
  <si>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</si>
  <si>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</si>
  <si>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</si>
  <si>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</si>
  <si>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</si>
  <si>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</si>
  <si>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</si>
  <si>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</si>
  <si>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</si>
  <si>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</si>
  <si>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</si>
  <si>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</si>
  <si>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</si>
  <si>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</si>
  <si>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</si>
  <si>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</si>
  <si>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</si>
  <si>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</si>
  <si>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</si>
  <si>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</si>
  <si>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</si>
  <si>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</si>
  <si>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</si>
  <si>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</si>
  <si>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</si>
  <si>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</si>
  <si>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</si>
  <si>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</si>
  <si>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</si>
  <si>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</si>
  <si>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</si>
  <si>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</si>
  <si>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</si>
  <si>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</si>
  <si>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</si>
  <si>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</si>
  <si>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</si>
  <si>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</si>
  <si>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</si>
  <si>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</si>
  <si>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</si>
  <si>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</si>
  <si>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</si>
  <si>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</si>
  <si>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</si>
  <si>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</si>
  <si>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</si>
  <si>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</si>
  <si>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</si>
  <si>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</si>
  <si>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</si>
  <si>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</si>
  <si>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</si>
  <si>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</si>
  <si>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</si>
  <si>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</si>
  <si>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</si>
  <si>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</si>
  <si>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</si>
  <si>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</si>
  <si>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</si>
  <si>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</si>
  <si>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</si>
  <si>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</si>
  <si>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</si>
  <si>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</si>
  <si>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</si>
  <si>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</si>
  <si>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</si>
  <si>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</si>
  <si>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</si>
  <si>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</si>
  <si>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</si>
  <si>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</si>
  <si>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</si>
  <si>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</si>
  <si>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</si>
  <si>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</si>
  <si>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</si>
  <si>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</si>
  <si>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</si>
  <si>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</si>
  <si>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</si>
  <si>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</si>
  <si>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</si>
  <si>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</si>
  <si>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</si>
  <si>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</si>
  <si>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</si>
  <si>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</si>
  <si>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</si>
  <si>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</si>
  <si>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</si>
  <si>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</si>
  <si>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</si>
  <si>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</si>
  <si>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</si>
  <si>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</si>
  <si>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</si>
  <si>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</si>
  <si>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</si>
  <si>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</si>
  <si>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</si>
  <si>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</si>
  <si>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</si>
  <si>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</si>
  <si>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</si>
  <si>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</si>
  <si>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</si>
  <si>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</si>
  <si>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</si>
  <si>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</si>
  <si>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</si>
  <si>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</si>
  <si>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</si>
  <si>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</si>
  <si>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</si>
  <si>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</si>
  <si>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</si>
  <si>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</si>
  <si>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</si>
  <si>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</si>
  <si>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</si>
  <si>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</si>
  <si>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</si>
  <si>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</si>
  <si>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</si>
  <si>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</si>
  <si>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</si>
  <si>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</si>
  <si>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</si>
  <si>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</si>
  <si>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</si>
  <si>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</si>
  <si>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</si>
  <si>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</si>
  <si>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</si>
  <si>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</si>
  <si>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</si>
  <si>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</si>
  <si>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</si>
  <si>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</si>
  <si>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</si>
  <si>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</si>
  <si>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</si>
  <si>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</si>
  <si>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</si>
  <si>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</si>
  <si>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</si>
  <si>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</si>
  <si>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</si>
  <si>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</si>
  <si>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</si>
  <si>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</si>
  <si>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</si>
  <si>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</si>
  <si>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</si>
  <si>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</si>
  <si>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</si>
  <si>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</si>
  <si>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</si>
  <si>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</si>
  <si>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</si>
  <si>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</si>
  <si>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</si>
  <si>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</si>
  <si>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</si>
  <si>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</si>
  <si>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</si>
  <si>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</si>
  <si>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</si>
  <si>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</si>
  <si>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</si>
  <si>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</si>
  <si>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</si>
  <si>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</si>
  <si>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</si>
  <si>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</si>
  <si>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</si>
  <si>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</si>
  <si>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</si>
  <si>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</si>
  <si>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</si>
  <si>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</si>
  <si>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</si>
  <si>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</si>
  <si>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</si>
  <si>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</si>
  <si>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</si>
  <si>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</si>
  <si>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</si>
  <si>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</si>
  <si>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</si>
  <si>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</si>
  <si>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</si>
  <si>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</si>
  <si>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</si>
  <si>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</si>
  <si>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</si>
  <si>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</si>
  <si>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</si>
  <si>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</si>
  <si>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</si>
  <si>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</si>
  <si>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</si>
  <si>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</si>
  <si>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</si>
  <si>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</si>
  <si>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</si>
  <si>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</si>
  <si>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</si>
  <si>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</si>
  <si>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</si>
  <si>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</si>
  <si>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</si>
  <si>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</si>
  <si>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</si>
  <si>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</si>
  <si>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</si>
  <si>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</si>
  <si>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</si>
  <si>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</si>
  <si>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</si>
  <si>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</si>
  <si>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</si>
  <si>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</si>
  <si>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</si>
  <si>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</si>
  <si>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</si>
  <si>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</si>
  <si>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</si>
  <si>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</si>
  <si>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</si>
  <si>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</si>
  <si>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</si>
  <si>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</si>
  <si>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</si>
  <si>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</si>
  <si>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</si>
  <si>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</si>
  <si>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</si>
  <si>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</si>
  <si>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</si>
  <si>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</si>
  <si>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</si>
  <si>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</si>
  <si>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</si>
  <si>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</si>
  <si>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</si>
  <si>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</si>
  <si>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</si>
  <si>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</si>
  <si>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</si>
  <si>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</si>
  <si>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</si>
  <si>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</si>
  <si>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</si>
  <si>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</si>
  <si>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</si>
  <si>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</si>
  <si>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</si>
  <si>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</si>
  <si>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</si>
  <si>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</si>
  <si>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</si>
  <si>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</si>
  <si>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</si>
  <si>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</si>
  <si>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</si>
  <si>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</si>
  <si>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</si>
  <si>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</si>
  <si>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</si>
  <si>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</si>
  <si>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</si>
  <si>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</si>
  <si>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</si>
  <si>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</si>
  <si>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</si>
  <si>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</si>
  <si>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</si>
  <si>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</si>
  <si>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</si>
  <si>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</si>
  <si>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</si>
  <si>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</si>
  <si>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</si>
  <si>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</si>
  <si>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</si>
  <si>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</si>
  <si>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</si>
  <si>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</si>
  <si>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</si>
  <si>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</si>
  <si>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</si>
  <si>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</si>
  <si>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</si>
  <si>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</si>
  <si>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</si>
  <si>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</si>
  <si>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</si>
  <si>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</si>
  <si>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</si>
  <si>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</si>
  <si>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</si>
  <si>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</si>
  <si>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</si>
  <si>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</si>
  <si>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</si>
  <si>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</si>
  <si>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</si>
  <si>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</si>
  <si>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</si>
  <si>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</si>
  <si>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</si>
  <si>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</si>
  <si>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</si>
  <si>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</si>
  <si>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</si>
  <si>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</si>
  <si>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</si>
  <si>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</si>
  <si>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</si>
  <si>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</si>
  <si>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</si>
  <si>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</si>
  <si>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</si>
  <si>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</si>
  <si>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</si>
  <si>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</si>
  <si>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</si>
  <si>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</si>
  <si>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</si>
  <si>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</si>
  <si>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</si>
  <si>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</si>
  <si>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</si>
  <si>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</si>
  <si>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</si>
  <si>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</si>
  <si>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</si>
  <si>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</si>
  <si>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</si>
  <si>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</si>
  <si>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</si>
  <si>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</si>
  <si>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</si>
  <si>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</si>
  <si>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</si>
  <si>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</si>
  <si>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</si>
  <si>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</si>
  <si>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</si>
  <si>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</si>
  <si>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</si>
  <si>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</si>
  <si>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</si>
  <si>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</si>
  <si>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</si>
  <si>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</si>
  <si>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</si>
  <si>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</si>
  <si>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</si>
  <si>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</si>
  <si>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</si>
  <si>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</si>
  <si>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</si>
  <si>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</si>
  <si>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</si>
  <si>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</si>
  <si>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</si>
  <si>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</si>
  <si>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</si>
  <si>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</si>
  <si>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</si>
  <si>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</si>
  <si>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</si>
  <si>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</si>
  <si>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</si>
  <si>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</si>
  <si>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</si>
  <si>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</si>
  <si>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</si>
  <si>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</si>
  <si>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</si>
  <si>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</si>
  <si>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</si>
  <si>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</si>
  <si>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</si>
  <si>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</si>
  <si>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</si>
  <si>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</si>
  <si>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</si>
  <si>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</si>
  <si>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</si>
  <si>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</si>
  <si>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</si>
  <si>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</si>
  <si>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</si>
  <si>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</si>
  <si>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</si>
  <si>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</si>
  <si>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</si>
  <si>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</si>
  <si>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</si>
  <si>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</si>
  <si>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</si>
  <si>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</si>
  <si>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</si>
  <si>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</si>
  <si>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</si>
  <si>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</si>
  <si>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</si>
  <si>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</si>
  <si>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</si>
  <si>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</si>
  <si>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</si>
  <si>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</si>
  <si>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</si>
  <si>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</si>
  <si>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</si>
  <si>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</si>
  <si>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</si>
  <si>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</si>
  <si>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</si>
  <si>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</si>
  <si>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</si>
  <si>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</si>
  <si>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</si>
  <si>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</si>
  <si>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</si>
  <si>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</si>
  <si>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</si>
  <si>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</si>
  <si>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</si>
  <si>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</si>
  <si>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</si>
  <si>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</si>
  <si>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</si>
  <si>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</si>
  <si>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</si>
  <si>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</si>
  <si>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</si>
  <si>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</si>
  <si>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</si>
  <si>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</si>
  <si>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</si>
  <si>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</si>
  <si>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</si>
  <si>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</si>
  <si>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</si>
  <si>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</si>
  <si>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</si>
  <si>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</si>
  <si>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</si>
  <si>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</si>
  <si>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</si>
  <si>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</si>
  <si>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</si>
  <si>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</si>
  <si>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</si>
  <si>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</si>
  <si>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</si>
  <si>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</si>
  <si>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</si>
  <si>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</si>
  <si>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</si>
  <si>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</si>
  <si>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</si>
  <si>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</si>
  <si>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</si>
  <si>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</si>
  <si>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</si>
  <si>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</si>
  <si>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</si>
  <si>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</si>
  <si>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</si>
  <si>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</si>
  <si>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</si>
  <si>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</si>
  <si>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</si>
  <si>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</si>
  <si>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</si>
  <si>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</si>
  <si>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</si>
  <si>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</si>
  <si>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</si>
  <si>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</si>
  <si>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</si>
  <si>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</si>
  <si>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</si>
  <si>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</si>
  <si>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</si>
  <si>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</si>
  <si>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</si>
  <si>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</si>
  <si>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</si>
  <si>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</si>
  <si>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</si>
  <si>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</si>
  <si>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</si>
  <si>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</si>
  <si>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</si>
  <si>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</si>
  <si>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</si>
  <si>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</si>
  <si>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</si>
  <si>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</si>
  <si>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</si>
  <si>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</si>
  <si>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</si>
  <si>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</si>
  <si>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</si>
  <si>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</si>
  <si>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</si>
  <si>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</si>
  <si>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</si>
  <si>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</si>
  <si>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</si>
  <si>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</si>
  <si>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</si>
  <si>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</si>
  <si>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</si>
  <si>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</si>
  <si>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</si>
  <si>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</si>
  <si>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</si>
  <si>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</si>
  <si>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</si>
  <si>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</si>
  <si>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</si>
  <si>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</si>
  <si>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</si>
  <si>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</si>
  <si>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</si>
  <si>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</si>
  <si>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</si>
  <si>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</si>
  <si>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</si>
  <si>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</si>
  <si>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</si>
  <si>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</si>
  <si>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</si>
  <si>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</si>
  <si>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</si>
  <si>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</si>
  <si>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</si>
  <si>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</si>
  <si>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</si>
  <si>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</si>
  <si>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</si>
  <si>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</si>
  <si>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</si>
  <si>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</si>
  <si>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</si>
  <si>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</si>
  <si>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</si>
  <si>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</si>
  <si>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</si>
  <si>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</si>
  <si>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</si>
  <si>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</si>
  <si>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</si>
  <si>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</si>
  <si>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</si>
  <si>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</si>
  <si>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</si>
  <si>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</si>
  <si>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</si>
  <si>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</si>
  <si>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</si>
  <si>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</si>
  <si>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</si>
  <si>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</si>
  <si>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</si>
  <si>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</si>
  <si>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</si>
  <si>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</si>
  <si>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</si>
  <si>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</si>
  <si>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</si>
  <si>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</si>
  <si>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</si>
  <si>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</si>
  <si>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</si>
  <si>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</si>
  <si>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</si>
  <si>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</si>
  <si>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</si>
  <si>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</si>
  <si>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</si>
  <si>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</si>
  <si>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</si>
  <si>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</si>
  <si>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</si>
  <si>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</si>
  <si>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</si>
  <si>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</si>
  <si>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</si>
  <si>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</si>
  <si>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</si>
  <si>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</si>
  <si>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</si>
  <si>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</si>
  <si>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</si>
  <si>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</si>
  <si>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</si>
  <si>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</si>
  <si>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</si>
  <si>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</si>
  <si>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</si>
  <si>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</si>
  <si>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</si>
  <si>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</si>
  <si>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</si>
  <si>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</si>
  <si>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</si>
  <si>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</si>
  <si>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</si>
  <si>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</si>
  <si>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</si>
  <si>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</si>
  <si>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</si>
  <si>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</si>
  <si>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</si>
  <si>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</si>
  <si>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</si>
  <si>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</si>
  <si>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</si>
  <si>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</si>
  <si>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</si>
  <si>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</si>
  <si>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</si>
  <si>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</si>
  <si>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</si>
  <si>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</si>
  <si>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</si>
  <si>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</si>
  <si>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</si>
  <si>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</si>
  <si>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</si>
  <si>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</si>
  <si>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</si>
  <si>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</si>
  <si>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</si>
  <si>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</si>
  <si>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</si>
  <si>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</si>
  <si>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</si>
  <si>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</si>
  <si>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</si>
  <si>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</si>
  <si>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</si>
  <si>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</si>
  <si>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</si>
  <si>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</si>
  <si>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</si>
  <si>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</si>
  <si>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</si>
  <si>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</si>
  <si>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</si>
  <si>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</si>
  <si>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</si>
  <si>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</si>
  <si>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</si>
  <si>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</si>
  <si>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</si>
  <si>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</si>
  <si>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</si>
  <si>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</si>
  <si>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</si>
  <si>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</si>
  <si>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</si>
  <si>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</si>
  <si>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</si>
  <si>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</si>
  <si>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</si>
  <si>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</si>
  <si>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</si>
  <si>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</si>
  <si>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</si>
  <si>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</si>
  <si>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</si>
  <si>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</si>
  <si>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</si>
  <si>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</si>
  <si>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</si>
  <si>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</si>
  <si>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</si>
  <si>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</si>
  <si>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</si>
  <si>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</si>
  <si>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</si>
  <si>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</si>
  <si>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</si>
  <si>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</si>
  <si>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</si>
  <si>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</si>
  <si>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</si>
  <si>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</si>
  <si>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</si>
  <si>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</si>
  <si>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</si>
  <si>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</si>
  <si>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</si>
  <si>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</si>
  <si>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</si>
  <si>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</si>
  <si>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</si>
  <si>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</si>
  <si>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</si>
  <si>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</si>
  <si>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</si>
  <si>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</si>
  <si>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</si>
  <si>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</si>
  <si>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</si>
  <si>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</si>
  <si>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</si>
  <si>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</si>
  <si>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</si>
  <si>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</si>
  <si>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</si>
  <si>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</si>
  <si>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</si>
  <si>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</si>
  <si>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</si>
  <si>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</si>
  <si>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</si>
  <si>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</si>
  <si>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</si>
  <si>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</si>
  <si>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</si>
  <si>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</si>
  <si>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</si>
  <si>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</si>
  <si>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</si>
  <si>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</si>
  <si>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</si>
  <si>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</si>
  <si>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</si>
  <si>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</si>
  <si>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</si>
  <si>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</si>
  <si>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</si>
  <si>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</si>
  <si>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</si>
  <si>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</si>
  <si>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</si>
  <si>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</si>
  <si>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</si>
  <si>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</si>
  <si>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</si>
  <si>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</si>
  <si>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</si>
  <si>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</si>
  <si>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</si>
  <si>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</si>
  <si>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</si>
  <si>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</si>
  <si>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</si>
  <si>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</si>
  <si>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</si>
  <si>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</si>
  <si>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</si>
  <si>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</si>
  <si>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</si>
  <si>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</si>
  <si>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</si>
  <si>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</si>
  <si>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</si>
  <si>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</si>
  <si>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</si>
  <si>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</si>
  <si>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</si>
  <si>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</si>
  <si>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</si>
  <si>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</si>
  <si>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</si>
  <si>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</si>
  <si>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</si>
  <si>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</si>
  <si>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</si>
  <si>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</si>
  <si>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</si>
  <si>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</si>
  <si>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</si>
  <si>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</si>
  <si>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</si>
  <si>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</si>
  <si>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</si>
  <si>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</si>
  <si>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</si>
  <si>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</si>
  <si>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</si>
  <si>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</si>
  <si>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</si>
  <si>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</si>
  <si>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</si>
  <si>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</si>
  <si>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</si>
  <si>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</si>
  <si>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</si>
  <si>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</si>
  <si>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</si>
  <si>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</si>
  <si>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</si>
  <si>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</si>
  <si>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</si>
  <si>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</si>
  <si>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</si>
  <si>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</si>
  <si>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</si>
  <si>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</si>
  <si>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</si>
  <si>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</si>
  <si>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</si>
  <si>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</si>
  <si>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</si>
  <si>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</si>
  <si>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</si>
  <si>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</si>
  <si>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</si>
  <si>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</si>
  <si>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</si>
  <si>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</si>
  <si>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</si>
  <si>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</si>
  <si>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</si>
  <si>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</si>
  <si>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</si>
  <si>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</si>
  <si>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</si>
  <si>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</si>
  <si>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</si>
  <si>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</si>
  <si>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</si>
  <si>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</si>
  <si>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</si>
  <si>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</si>
  <si>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</si>
  <si>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</si>
  <si>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</si>
  <si>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</si>
  <si>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</si>
  <si>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</si>
  <si>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</si>
  <si>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</si>
  <si>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</si>
  <si>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</si>
  <si>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</si>
  <si>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</si>
  <si>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</si>
  <si>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</si>
  <si>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</si>
  <si>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</si>
  <si>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</si>
  <si>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</si>
  <si>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</si>
  <si>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</si>
  <si>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</si>
  <si>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</si>
  <si>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</si>
  <si>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</si>
  <si>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</si>
  <si>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</si>
  <si>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</si>
  <si>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</si>
  <si>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</si>
  <si>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</si>
  <si>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</si>
  <si>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</si>
  <si>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</si>
  <si>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</si>
  <si>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</si>
  <si>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</si>
  <si>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</si>
  <si>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</si>
  <si>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</si>
  <si>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</si>
  <si>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</si>
  <si>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</si>
  <si>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</si>
  <si>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</si>
  <si>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</si>
  <si>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</si>
  <si>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</si>
  <si>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</si>
  <si>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</si>
  <si>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</si>
  <si>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</si>
  <si>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</si>
  <si>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</si>
  <si>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</si>
  <si>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</si>
  <si>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</si>
  <si>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</si>
  <si>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</si>
  <si>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</si>
  <si>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</si>
  <si>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</si>
  <si>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</si>
  <si>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</si>
  <si>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</si>
  <si>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</si>
  <si>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</si>
  <si>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</si>
  <si>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</si>
  <si>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</si>
  <si>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</si>
  <si>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</si>
  <si>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</si>
  <si>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</si>
  <si>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</si>
  <si>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</si>
  <si>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</si>
  <si>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</si>
  <si>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</si>
  <si>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</si>
  <si>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</si>
  <si>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</si>
  <si>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</si>
  <si>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</si>
  <si>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</si>
  <si>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</si>
  <si>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</si>
  <si>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</si>
  <si>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</si>
  <si>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</si>
  <si>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</si>
  <si>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</si>
  <si>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</si>
  <si>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</si>
  <si>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</si>
  <si>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</si>
  <si>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</si>
  <si>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</si>
  <si>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</si>
  <si>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</si>
  <si>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</si>
  <si>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</si>
  <si>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</si>
  <si>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</si>
  <si>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</si>
  <si>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</si>
  <si>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</si>
  <si>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</si>
  <si>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</si>
  <si>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</si>
  <si>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</si>
  <si>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</si>
  <si>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</si>
  <si>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</si>
  <si>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</si>
  <si>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</si>
  <si>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</si>
  <si>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</si>
  <si>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</si>
  <si>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</si>
  <si>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</si>
  <si>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</si>
  <si>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</si>
  <si>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</si>
  <si>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</si>
  <si>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</si>
  <si>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</si>
  <si>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</si>
  <si>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</si>
  <si>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</si>
  <si>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</si>
  <si>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</si>
  <si>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</si>
  <si>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</si>
  <si>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</si>
  <si>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</si>
  <si>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</si>
  <si>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</si>
  <si>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</si>
  <si>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</si>
  <si>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</si>
  <si>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</si>
  <si>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</si>
  <si>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</si>
  <si>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</si>
  <si>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</si>
  <si>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</si>
  <si>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</si>
  <si>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</si>
  <si>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</si>
  <si>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</si>
  <si>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</si>
  <si>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</si>
  <si>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</si>
  <si>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</si>
  <si>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</si>
  <si>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</si>
  <si>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</si>
  <si>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</si>
  <si>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</si>
  <si>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</si>
  <si>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</si>
  <si>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</si>
  <si>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</si>
  <si>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</si>
  <si>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</si>
  <si>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</si>
  <si>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</si>
  <si>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</si>
  <si>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</si>
  <si>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</si>
  <si>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</si>
  <si>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</si>
  <si>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</si>
  <si>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</si>
  <si>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</si>
  <si>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</si>
  <si>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</si>
  <si>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</si>
  <si>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</si>
  <si>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</si>
  <si>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</si>
  <si>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</si>
  <si>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</si>
  <si>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</si>
  <si>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</si>
  <si>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</si>
  <si>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</si>
  <si>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</si>
  <si>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</si>
  <si>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</si>
  <si>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</si>
  <si>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</si>
  <si>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</si>
  <si>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</si>
  <si>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</si>
  <si>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</si>
  <si>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</si>
  <si>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</si>
  <si>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</si>
  <si>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</si>
  <si>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</si>
  <si>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</si>
  <si>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</si>
  <si>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</si>
  <si>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</si>
  <si>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</si>
  <si>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</si>
  <si>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</si>
  <si>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</si>
  <si>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</si>
  <si>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</si>
  <si>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</si>
  <si>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</si>
  <si>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</si>
  <si>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</si>
  <si>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</si>
  <si>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</si>
  <si>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</si>
  <si>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</si>
  <si>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</si>
  <si>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</si>
  <si>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</si>
  <si>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</si>
  <si>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</si>
  <si>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</si>
  <si>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</si>
  <si>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</si>
  <si>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</si>
  <si>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</si>
  <si>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</si>
  <si>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</si>
  <si>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</si>
  <si>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</si>
  <si>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</si>
  <si>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</si>
  <si>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</si>
  <si>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</si>
  <si>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</si>
  <si>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</si>
  <si>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</si>
  <si>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</si>
  <si>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</si>
  <si>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</si>
  <si>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</si>
  <si>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</si>
  <si>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</si>
  <si>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</si>
  <si>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</si>
  <si>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</si>
  <si>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</si>
  <si>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</si>
  <si>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</si>
  <si>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</si>
  <si>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</si>
  <si>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</si>
  <si>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</si>
  <si>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</si>
  <si>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</si>
  <si>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</si>
  <si>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</si>
  <si>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</si>
  <si>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</si>
  <si>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</si>
  <si>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</si>
  <si>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</si>
  <si>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</si>
  <si>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</si>
  <si>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</si>
  <si>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</si>
  <si>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</si>
  <si>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</si>
  <si>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</si>
  <si>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</si>
  <si>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</si>
  <si>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</si>
  <si>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</si>
  <si>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</si>
  <si>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</si>
  <si>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</si>
  <si>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</si>
  <si>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</si>
  <si>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</si>
  <si>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</si>
  <si>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</si>
  <si>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</si>
  <si>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</si>
  <si>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</si>
  <si>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</si>
  <si>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</si>
  <si>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</si>
  <si>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</si>
  <si>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</si>
  <si>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</si>
  <si>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</si>
  <si>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</si>
  <si>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</si>
  <si>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</si>
  <si>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</si>
  <si>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</si>
  <si>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</si>
  <si>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</si>
  <si>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</si>
  <si>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</si>
  <si>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</si>
  <si>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</si>
  <si>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</si>
  <si>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</si>
  <si>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</si>
  <si>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</si>
  <si>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</si>
  <si>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</si>
  <si>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</si>
  <si>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</si>
  <si>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</si>
  <si>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</si>
  <si>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</si>
  <si>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</si>
  <si>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</si>
  <si>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</si>
  <si>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</si>
  <si>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</si>
  <si>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</si>
  <si>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</si>
  <si>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</si>
  <si>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</si>
  <si>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</si>
  <si>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</si>
  <si>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</si>
  <si>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</si>
  <si>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</si>
  <si>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</si>
  <si>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</si>
  <si>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</si>
  <si>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</si>
  <si>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</si>
  <si>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</si>
  <si>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</si>
  <si>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</si>
  <si>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</si>
  <si>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</si>
  <si>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</si>
  <si>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</si>
  <si>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</si>
  <si>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</si>
  <si>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</si>
  <si>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</si>
  <si>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</si>
  <si>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</si>
  <si>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</si>
  <si>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</si>
  <si>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</si>
  <si>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</si>
  <si>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</si>
  <si>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</si>
  <si>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</si>
  <si>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</si>
  <si>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</si>
  <si>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</si>
  <si>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</si>
  <si>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</si>
  <si>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</si>
  <si>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</si>
  <si>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</si>
  <si>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</si>
  <si>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</si>
  <si>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</si>
  <si>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</si>
  <si>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</si>
  <si>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</si>
  <si>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</si>
  <si>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</si>
  <si>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</si>
  <si>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</si>
  <si>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</si>
  <si>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</si>
  <si>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</si>
  <si>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</si>
  <si>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</si>
  <si>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</si>
  <si>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</si>
  <si>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</si>
  <si>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</si>
  <si>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</si>
  <si>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</si>
  <si>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</si>
  <si>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</si>
  <si>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</si>
  <si>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</si>
  <si>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</si>
  <si>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</si>
  <si>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</si>
  <si>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</si>
  <si>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</si>
  <si>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</si>
  <si>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</si>
  <si>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</si>
  <si>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</si>
  <si>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</si>
  <si>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</si>
  <si>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</si>
  <si>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</si>
  <si>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</si>
  <si>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</si>
  <si>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</si>
  <si>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</si>
  <si>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</si>
  <si>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</si>
  <si>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</si>
  <si>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</si>
  <si>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</si>
  <si>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</si>
  <si>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</si>
  <si>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</si>
  <si>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</si>
  <si>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</si>
  <si>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</si>
  <si>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</si>
  <si>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</si>
  <si>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</si>
  <si>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</si>
  <si>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</si>
  <si>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</si>
  <si>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</si>
  <si>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</si>
  <si>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</si>
  <si>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</si>
  <si>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</si>
  <si>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</si>
  <si>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</si>
  <si>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</si>
  <si>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</si>
  <si>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</si>
  <si>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</si>
  <si>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</si>
  <si>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</si>
  <si>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</si>
  <si>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</si>
  <si>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</si>
  <si>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</si>
  <si>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</si>
  <si>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</si>
  <si>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</si>
  <si>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</si>
  <si>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</si>
  <si>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</si>
  <si>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</si>
  <si>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</si>
  <si>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</si>
  <si>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</si>
  <si>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</si>
  <si>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</si>
  <si>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</si>
  <si>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</si>
  <si>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</si>
  <si>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</si>
  <si>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</si>
  <si>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</si>
  <si>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</si>
  <si>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</si>
  <si>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</si>
  <si>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</si>
  <si>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</si>
  <si>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</si>
  <si>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</si>
  <si>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</si>
  <si>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</si>
  <si>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</si>
  <si>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</si>
  <si>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</si>
  <si>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</si>
  <si>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</si>
  <si>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</si>
  <si>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</si>
  <si>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</si>
  <si>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</si>
  <si>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</si>
  <si>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</si>
  <si>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</si>
  <si>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</si>
  <si>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</si>
  <si>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</si>
  <si>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</si>
  <si>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</si>
  <si>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</si>
  <si>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</si>
  <si>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</si>
  <si>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</si>
  <si>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</si>
  <si>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</si>
  <si>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</si>
  <si>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</si>
  <si>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</si>
  <si>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</si>
  <si>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</si>
  <si>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</si>
  <si>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</si>
  <si>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</si>
  <si>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</si>
  <si>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</si>
  <si>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</si>
  <si>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</si>
  <si>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</si>
  <si>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</si>
  <si>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</si>
  <si>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</si>
  <si>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</si>
  <si>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</si>
  <si>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</si>
  <si>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</si>
  <si>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</si>
  <si>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</si>
  <si>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</si>
  <si>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</si>
  <si>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</si>
  <si>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</si>
  <si>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</si>
  <si>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</si>
  <si>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</si>
  <si>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</si>
  <si>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</si>
  <si>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</si>
  <si>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</si>
  <si>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</si>
  <si>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</si>
  <si>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</si>
  <si>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</si>
  <si>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</si>
  <si>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</si>
  <si>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</si>
  <si>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</si>
  <si>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</si>
  <si>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t>12、13、15期</t>
    <phoneticPr fontId="141" type="noConversion"/>
  </si>
  <si>
    <t>土地面积</t>
    <phoneticPr fontId="141" type="noConversion"/>
  </si>
  <si>
    <t>建筑面积</t>
    <phoneticPr fontId="141" type="noConversion"/>
  </si>
  <si>
    <t>地上</t>
  </si>
  <si>
    <t>地上</t>
    <phoneticPr fontId="141" type="noConversion"/>
  </si>
  <si>
    <t>地下</t>
    <phoneticPr fontId="141" type="noConversion"/>
  </si>
  <si>
    <t>验算</t>
    <phoneticPr fontId="141" type="noConversion"/>
  </si>
  <si>
    <t>容积率</t>
    <phoneticPr fontId="141" type="noConversion"/>
  </si>
  <si>
    <t>合计</t>
    <phoneticPr fontId="141" type="noConversion"/>
  </si>
  <si>
    <t>计容</t>
    <phoneticPr fontId="141" type="noConversion"/>
  </si>
  <si>
    <r>
      <t>1</t>
    </r>
    <r>
      <rPr>
        <sz val="11"/>
        <color theme="1"/>
        <rFont val="宋体"/>
        <family val="3"/>
        <charset val="134"/>
        <scheme val="minor"/>
      </rPr>
      <t>1期规证</t>
    </r>
    <phoneticPr fontId="141" type="noConversion"/>
  </si>
  <si>
    <t>产权酒店</t>
    <phoneticPr fontId="141" type="noConversion"/>
  </si>
  <si>
    <t>商业</t>
    <phoneticPr fontId="141" type="noConversion"/>
  </si>
  <si>
    <t>车位</t>
    <phoneticPr fontId="141" type="noConversion"/>
  </si>
  <si>
    <t>抵押物清单</t>
  </si>
  <si>
    <t>序号</t>
  </si>
  <si>
    <t>项目名称</t>
  </si>
  <si>
    <t>楼栋号</t>
  </si>
  <si>
    <t>房号</t>
  </si>
  <si>
    <t>房屋类型</t>
    <phoneticPr fontId="257" type="noConversion"/>
  </si>
  <si>
    <t>建筑结构</t>
    <phoneticPr fontId="257" type="noConversion"/>
  </si>
  <si>
    <t>套内建筑面积（㎡）</t>
    <phoneticPr fontId="257" type="noConversion"/>
  </si>
  <si>
    <t>建筑面积（㎡）</t>
    <phoneticPr fontId="257" type="noConversion"/>
  </si>
  <si>
    <t>状态</t>
  </si>
  <si>
    <t>产权式酒店建筑面积</t>
    <phoneticPr fontId="257" type="noConversion"/>
  </si>
  <si>
    <t>恒大·海口文化旅游城十一期</t>
  </si>
  <si>
    <t>111#</t>
  </si>
  <si>
    <t>产权式酒店</t>
    <phoneticPr fontId="257" type="noConversion"/>
  </si>
  <si>
    <t>钢混</t>
    <phoneticPr fontId="257" type="noConversion"/>
  </si>
  <si>
    <t>未售</t>
  </si>
  <si>
    <t>汤屋合计建筑面积</t>
    <phoneticPr fontId="257" type="noConversion"/>
  </si>
  <si>
    <t>112#</t>
  </si>
  <si>
    <t>113#</t>
  </si>
  <si>
    <t>114#</t>
  </si>
  <si>
    <t>115#</t>
  </si>
  <si>
    <t>116#</t>
  </si>
  <si>
    <t>117#</t>
  </si>
  <si>
    <t>118#</t>
  </si>
  <si>
    <t>119#</t>
  </si>
  <si>
    <t>120#</t>
  </si>
  <si>
    <t>121#</t>
  </si>
  <si>
    <t>122#</t>
  </si>
  <si>
    <t>123#</t>
  </si>
  <si>
    <t>124#</t>
  </si>
  <si>
    <t>125#</t>
  </si>
  <si>
    <t>126#</t>
  </si>
  <si>
    <t>127#</t>
  </si>
  <si>
    <t>128#</t>
  </si>
  <si>
    <t>129#</t>
  </si>
  <si>
    <t>130#</t>
  </si>
  <si>
    <t>131#</t>
  </si>
  <si>
    <t>132#</t>
  </si>
  <si>
    <t>133-134#</t>
  </si>
  <si>
    <t>133#101</t>
  </si>
  <si>
    <t>133#102</t>
  </si>
  <si>
    <t>134#101</t>
  </si>
  <si>
    <t>134#102</t>
  </si>
  <si>
    <t>133#201</t>
  </si>
  <si>
    <t>133#202</t>
  </si>
  <si>
    <t>134#201</t>
  </si>
  <si>
    <t>134#202</t>
  </si>
  <si>
    <t>133#301</t>
  </si>
  <si>
    <t>133#302</t>
  </si>
  <si>
    <t>134#301</t>
  </si>
  <si>
    <t>134#302</t>
  </si>
  <si>
    <t>133#401</t>
  </si>
  <si>
    <t>133#402</t>
  </si>
  <si>
    <t>134#401</t>
  </si>
  <si>
    <t>134#402</t>
  </si>
  <si>
    <t>133#501</t>
  </si>
  <si>
    <t>133#502</t>
  </si>
  <si>
    <t>134#501</t>
  </si>
  <si>
    <t>134#502</t>
  </si>
  <si>
    <t>133#601</t>
  </si>
  <si>
    <t>133#602</t>
  </si>
  <si>
    <t>134#601</t>
  </si>
  <si>
    <t>134#602</t>
  </si>
  <si>
    <t>135-137#</t>
  </si>
  <si>
    <t>135#101</t>
  </si>
  <si>
    <t>135#102</t>
  </si>
  <si>
    <t>136#101</t>
  </si>
  <si>
    <t>136#102</t>
  </si>
  <si>
    <t>137#101</t>
  </si>
  <si>
    <t>137#102</t>
  </si>
  <si>
    <t>135#201</t>
  </si>
  <si>
    <t>135#202</t>
  </si>
  <si>
    <t>136#201</t>
  </si>
  <si>
    <t>136#202</t>
  </si>
  <si>
    <t>137#201</t>
  </si>
  <si>
    <t>137#202</t>
  </si>
  <si>
    <t>135#301</t>
  </si>
  <si>
    <t>135#302</t>
  </si>
  <si>
    <t>136#301</t>
  </si>
  <si>
    <t>136#302</t>
  </si>
  <si>
    <t>137#301</t>
  </si>
  <si>
    <t>137#302</t>
  </si>
  <si>
    <t>135#401</t>
  </si>
  <si>
    <t>135#402</t>
  </si>
  <si>
    <t>136#401</t>
  </si>
  <si>
    <t>136#402</t>
  </si>
  <si>
    <t>137#401</t>
  </si>
  <si>
    <t>137#402</t>
  </si>
  <si>
    <t>135#501</t>
  </si>
  <si>
    <t>135#502</t>
  </si>
  <si>
    <t>136#501</t>
  </si>
  <si>
    <t>136#502</t>
  </si>
  <si>
    <t>137#501</t>
  </si>
  <si>
    <t>137#502</t>
  </si>
  <si>
    <t>135#601</t>
  </si>
  <si>
    <t>135#602</t>
  </si>
  <si>
    <t>136#601</t>
  </si>
  <si>
    <t>136#602</t>
  </si>
  <si>
    <t>137#601</t>
  </si>
  <si>
    <t>137#602</t>
  </si>
  <si>
    <t>138-140#</t>
  </si>
  <si>
    <t>138#101</t>
  </si>
  <si>
    <t>138#102</t>
  </si>
  <si>
    <t>139#101</t>
  </si>
  <si>
    <t>139#102</t>
  </si>
  <si>
    <t>140#101</t>
  </si>
  <si>
    <t>140#102</t>
  </si>
  <si>
    <t>138#201</t>
  </si>
  <si>
    <t>138#202</t>
  </si>
  <si>
    <t>139#201</t>
  </si>
  <si>
    <t>139#202</t>
  </si>
  <si>
    <t>140#201</t>
  </si>
  <si>
    <t>140#202</t>
  </si>
  <si>
    <t>138#301</t>
  </si>
  <si>
    <t>138#302</t>
  </si>
  <si>
    <t>139#301</t>
  </si>
  <si>
    <t>139#302</t>
  </si>
  <si>
    <t>140#301</t>
  </si>
  <si>
    <t>140#302</t>
  </si>
  <si>
    <t>138#401</t>
  </si>
  <si>
    <t>138#402</t>
  </si>
  <si>
    <t>139#401</t>
  </si>
  <si>
    <t>139#402</t>
  </si>
  <si>
    <t>140#401</t>
  </si>
  <si>
    <t>140#402</t>
  </si>
  <si>
    <t>138#501</t>
  </si>
  <si>
    <t>138#502</t>
  </si>
  <si>
    <t>139#501</t>
  </si>
  <si>
    <t>139#502</t>
  </si>
  <si>
    <t>140#501</t>
  </si>
  <si>
    <t>140#502</t>
  </si>
  <si>
    <t>138#601</t>
  </si>
  <si>
    <t>138#602</t>
  </si>
  <si>
    <t>139#601</t>
  </si>
  <si>
    <t>139#602</t>
  </si>
  <si>
    <t>140#601</t>
  </si>
  <si>
    <t>140#602</t>
  </si>
  <si>
    <t>141-143#</t>
  </si>
  <si>
    <t>141#101</t>
  </si>
  <si>
    <t>141#102</t>
  </si>
  <si>
    <t>142#101</t>
  </si>
  <si>
    <t>142#102</t>
  </si>
  <si>
    <t>143#101</t>
  </si>
  <si>
    <t>143#102</t>
  </si>
  <si>
    <t>141#201</t>
  </si>
  <si>
    <t>141#202</t>
  </si>
  <si>
    <t>142#201</t>
  </si>
  <si>
    <t>142#202</t>
  </si>
  <si>
    <t>143#201</t>
  </si>
  <si>
    <t>143#202</t>
  </si>
  <si>
    <t>141#301</t>
  </si>
  <si>
    <t>141#302</t>
  </si>
  <si>
    <t>142#301</t>
  </si>
  <si>
    <t>142#302</t>
  </si>
  <si>
    <t>143#301</t>
  </si>
  <si>
    <t>143#302</t>
  </si>
  <si>
    <t>141#401</t>
  </si>
  <si>
    <t>141#402</t>
  </si>
  <si>
    <t>142#401</t>
  </si>
  <si>
    <t>142#402</t>
  </si>
  <si>
    <t>143#401</t>
  </si>
  <si>
    <t>143#402</t>
  </si>
  <si>
    <t>141#501</t>
  </si>
  <si>
    <t>141#502</t>
  </si>
  <si>
    <t>142#501</t>
  </si>
  <si>
    <t>142#502</t>
  </si>
  <si>
    <t>143#501</t>
  </si>
  <si>
    <t>143#502</t>
  </si>
  <si>
    <t>141#601</t>
  </si>
  <si>
    <t>141#602</t>
  </si>
  <si>
    <t>142#601</t>
  </si>
  <si>
    <t>142#602</t>
  </si>
  <si>
    <t>143#601</t>
  </si>
  <si>
    <t>143#602</t>
  </si>
  <si>
    <t>144#</t>
  </si>
  <si>
    <t>145-147#</t>
  </si>
  <si>
    <t>145#101</t>
  </si>
  <si>
    <t>145#102</t>
  </si>
  <si>
    <t>146#101</t>
  </si>
  <si>
    <t>146#102</t>
  </si>
  <si>
    <t>147#101</t>
  </si>
  <si>
    <t>147#102</t>
  </si>
  <si>
    <t>145#201</t>
  </si>
  <si>
    <t>145#202</t>
  </si>
  <si>
    <t>146#201</t>
  </si>
  <si>
    <t>146#202</t>
  </si>
  <si>
    <t>147#201</t>
  </si>
  <si>
    <t>147#202</t>
  </si>
  <si>
    <t>145#301</t>
  </si>
  <si>
    <t>145#302</t>
  </si>
  <si>
    <t>146#301</t>
  </si>
  <si>
    <t>146#302</t>
  </si>
  <si>
    <t>147#301</t>
  </si>
  <si>
    <t>147#302</t>
  </si>
  <si>
    <t>145#401</t>
  </si>
  <si>
    <t>145#402</t>
  </si>
  <si>
    <t>146#401</t>
  </si>
  <si>
    <t>146#402</t>
  </si>
  <si>
    <t>147#401</t>
  </si>
  <si>
    <t>147#402</t>
  </si>
  <si>
    <t>145#501</t>
  </si>
  <si>
    <t>145#502</t>
  </si>
  <si>
    <t>146#501</t>
  </si>
  <si>
    <t>146#502</t>
  </si>
  <si>
    <t>147#501</t>
  </si>
  <si>
    <t>147#502</t>
  </si>
  <si>
    <t>145#601</t>
  </si>
  <si>
    <t>145#602</t>
  </si>
  <si>
    <t>146#601</t>
  </si>
  <si>
    <t>146#602</t>
  </si>
  <si>
    <t>147#601</t>
  </si>
  <si>
    <t>147#602</t>
  </si>
  <si>
    <t>148-149#</t>
  </si>
  <si>
    <t>148#201</t>
  </si>
  <si>
    <t>148#202</t>
  </si>
  <si>
    <t>149#202</t>
  </si>
  <si>
    <t>149#302</t>
  </si>
  <si>
    <t>148#401</t>
  </si>
  <si>
    <t>148#402</t>
  </si>
  <si>
    <t>149#401</t>
  </si>
  <si>
    <t>148#501</t>
  </si>
  <si>
    <t>148#502</t>
  </si>
  <si>
    <t>148#602</t>
  </si>
  <si>
    <t>149#601</t>
  </si>
  <si>
    <t>149#602</t>
  </si>
  <si>
    <t>148#701</t>
  </si>
  <si>
    <t>148#702</t>
  </si>
  <si>
    <t>149#701</t>
  </si>
  <si>
    <t>149#702</t>
  </si>
  <si>
    <t>150-152#</t>
  </si>
  <si>
    <t>150#101</t>
  </si>
  <si>
    <t>150#102</t>
  </si>
  <si>
    <t>151#101</t>
  </si>
  <si>
    <t>151#102</t>
  </si>
  <si>
    <t>152#101</t>
  </si>
  <si>
    <t>152#102</t>
  </si>
  <si>
    <t>150#201</t>
  </si>
  <si>
    <t>150#202</t>
  </si>
  <si>
    <t>151#201</t>
  </si>
  <si>
    <t>151#202</t>
  </si>
  <si>
    <t>152#201</t>
  </si>
  <si>
    <t>152#202</t>
  </si>
  <si>
    <t>150#301</t>
  </si>
  <si>
    <t>150#302</t>
  </si>
  <si>
    <t>151#301</t>
  </si>
  <si>
    <t>151#302</t>
  </si>
  <si>
    <t>152#301</t>
  </si>
  <si>
    <t>152#302</t>
  </si>
  <si>
    <t>150#401</t>
  </si>
  <si>
    <t>150#402</t>
  </si>
  <si>
    <t>151#401</t>
  </si>
  <si>
    <t>151#402</t>
  </si>
  <si>
    <t>152#401</t>
  </si>
  <si>
    <t>152#402</t>
  </si>
  <si>
    <t>151#501</t>
  </si>
  <si>
    <t>151#502</t>
  </si>
  <si>
    <t>152#501</t>
  </si>
  <si>
    <t>152#502</t>
  </si>
  <si>
    <t>150#601</t>
  </si>
  <si>
    <t>151#601</t>
  </si>
  <si>
    <t>151#602</t>
  </si>
  <si>
    <t>152#601</t>
  </si>
  <si>
    <t>152#602</t>
  </si>
  <si>
    <t>153-155#</t>
  </si>
  <si>
    <t>154#101</t>
  </si>
  <si>
    <t>154#102</t>
  </si>
  <si>
    <t>155#101</t>
  </si>
  <si>
    <t>153#201</t>
  </si>
  <si>
    <t>153#202</t>
  </si>
  <si>
    <t>154#201</t>
  </si>
  <si>
    <t>154#202</t>
  </si>
  <si>
    <t>155#201</t>
  </si>
  <si>
    <t>155#202</t>
  </si>
  <si>
    <t>154#302</t>
  </si>
  <si>
    <t>153#401</t>
  </si>
  <si>
    <t>153#402</t>
  </si>
  <si>
    <t>154#402</t>
  </si>
  <si>
    <t>155#401</t>
  </si>
  <si>
    <t>155#402</t>
  </si>
  <si>
    <t>153#502</t>
  </si>
  <si>
    <t>154#501</t>
  </si>
  <si>
    <t>154#502</t>
  </si>
  <si>
    <t>155#501</t>
  </si>
  <si>
    <t>153#602</t>
  </si>
  <si>
    <t>154#601</t>
  </si>
  <si>
    <t>154#602</t>
  </si>
  <si>
    <t>155#601</t>
  </si>
  <si>
    <t>155#602</t>
  </si>
  <si>
    <t>153#701</t>
  </si>
  <si>
    <t>153#702</t>
  </si>
  <si>
    <t>154#701</t>
  </si>
  <si>
    <t>154#702</t>
  </si>
  <si>
    <t>155#701</t>
  </si>
  <si>
    <t>155#702</t>
  </si>
  <si>
    <t>156-158#</t>
  </si>
  <si>
    <t>156#101</t>
  </si>
  <si>
    <t>156#102</t>
  </si>
  <si>
    <t>157#101</t>
  </si>
  <si>
    <t>157#102</t>
  </si>
  <si>
    <t>158#101</t>
  </si>
  <si>
    <t>158#102</t>
  </si>
  <si>
    <t>156#201</t>
  </si>
  <si>
    <t>156#202</t>
  </si>
  <si>
    <t>157#201</t>
  </si>
  <si>
    <t>157#202</t>
  </si>
  <si>
    <t>158#201</t>
  </si>
  <si>
    <t>158#202</t>
  </si>
  <si>
    <t>156#301</t>
  </si>
  <si>
    <t>156#302</t>
  </si>
  <si>
    <t>157#301</t>
  </si>
  <si>
    <t>157#302</t>
  </si>
  <si>
    <t>158#301</t>
  </si>
  <si>
    <t>158#302</t>
  </si>
  <si>
    <t>156#401</t>
  </si>
  <si>
    <t>156#402</t>
  </si>
  <si>
    <t>157#401</t>
  </si>
  <si>
    <t>157#402</t>
  </si>
  <si>
    <t>158#401</t>
  </si>
  <si>
    <t>158#402</t>
  </si>
  <si>
    <t>156#501</t>
  </si>
  <si>
    <t>156#502</t>
  </si>
  <si>
    <t>157#501</t>
  </si>
  <si>
    <t>157#502</t>
  </si>
  <si>
    <t>158#501</t>
  </si>
  <si>
    <t>158#502</t>
  </si>
  <si>
    <t>156#601</t>
  </si>
  <si>
    <t>156#602</t>
  </si>
  <si>
    <t>157#601</t>
  </si>
  <si>
    <t>157#602</t>
  </si>
  <si>
    <t>158#601</t>
  </si>
  <si>
    <t>158#602</t>
  </si>
  <si>
    <t>159-161#</t>
  </si>
  <si>
    <t>159#101</t>
  </si>
  <si>
    <t>159#102</t>
  </si>
  <si>
    <t>160#101</t>
  </si>
  <si>
    <t>160#102</t>
  </si>
  <si>
    <t>161#101</t>
  </si>
  <si>
    <t>161#102</t>
  </si>
  <si>
    <t>159#201</t>
  </si>
  <si>
    <t>159#202</t>
  </si>
  <si>
    <t>160#201</t>
  </si>
  <si>
    <t>160#202</t>
  </si>
  <si>
    <t>161#201</t>
  </si>
  <si>
    <t>161#202</t>
  </si>
  <si>
    <t>159#301</t>
  </si>
  <si>
    <t>159#302</t>
  </si>
  <si>
    <t>160#301</t>
  </si>
  <si>
    <t>160#302</t>
  </si>
  <si>
    <t>161#301</t>
  </si>
  <si>
    <t>161#302</t>
  </si>
  <si>
    <t>159#401</t>
  </si>
  <si>
    <t>159#402</t>
  </si>
  <si>
    <t>160#401</t>
  </si>
  <si>
    <t>160#402</t>
  </si>
  <si>
    <t>161#401</t>
  </si>
  <si>
    <t>161#402</t>
  </si>
  <si>
    <t>159#501</t>
  </si>
  <si>
    <t>159#502</t>
  </si>
  <si>
    <t>160#501</t>
  </si>
  <si>
    <t>160#502</t>
  </si>
  <si>
    <t>161#501</t>
  </si>
  <si>
    <t>161#502</t>
  </si>
  <si>
    <t>159#601</t>
  </si>
  <si>
    <t>159#602</t>
  </si>
  <si>
    <t>160#601</t>
  </si>
  <si>
    <t>160#602</t>
  </si>
  <si>
    <t>161#601</t>
  </si>
  <si>
    <t>161#602</t>
  </si>
  <si>
    <t>159#701</t>
  </si>
  <si>
    <t>159#702</t>
  </si>
  <si>
    <t>160#701</t>
  </si>
  <si>
    <t>160#702</t>
  </si>
  <si>
    <t>161#701</t>
  </si>
  <si>
    <t>161#702</t>
  </si>
  <si>
    <t>162-164#</t>
  </si>
  <si>
    <t>162#101</t>
  </si>
  <si>
    <t>162#102</t>
  </si>
  <si>
    <t>163#101</t>
  </si>
  <si>
    <t>163#102</t>
  </si>
  <si>
    <t>164#101</t>
  </si>
  <si>
    <t>164#102</t>
  </si>
  <si>
    <t>162#201</t>
  </si>
  <si>
    <t>162#202</t>
  </si>
  <si>
    <t>163#201</t>
  </si>
  <si>
    <t>163#202</t>
  </si>
  <si>
    <t>164#201</t>
  </si>
  <si>
    <t>164#202</t>
  </si>
  <si>
    <t>162#301</t>
  </si>
  <si>
    <t>162#302</t>
  </si>
  <si>
    <t>163#301</t>
  </si>
  <si>
    <t>163#302</t>
  </si>
  <si>
    <t>164#301</t>
  </si>
  <si>
    <t>164#302</t>
  </si>
  <si>
    <t>162#401</t>
  </si>
  <si>
    <t>162#402</t>
  </si>
  <si>
    <t>163#401</t>
  </si>
  <si>
    <t>163#402</t>
  </si>
  <si>
    <t>164#401</t>
  </si>
  <si>
    <t>164#402</t>
  </si>
  <si>
    <t>162#501</t>
  </si>
  <si>
    <t>162#502</t>
  </si>
  <si>
    <t>163#501</t>
  </si>
  <si>
    <t>163#502</t>
  </si>
  <si>
    <t>164#501</t>
  </si>
  <si>
    <t>164#502</t>
  </si>
  <si>
    <t>162#601</t>
  </si>
  <si>
    <t>162#602</t>
  </si>
  <si>
    <t>163#601</t>
  </si>
  <si>
    <t>163#602</t>
  </si>
  <si>
    <t>164#601</t>
  </si>
  <si>
    <t>164#602</t>
  </si>
  <si>
    <t>165-166#</t>
  </si>
  <si>
    <t>165#101</t>
  </si>
  <si>
    <t>165#102</t>
  </si>
  <si>
    <t>166#101</t>
  </si>
  <si>
    <t>166#102</t>
  </si>
  <si>
    <t>165#201</t>
  </si>
  <si>
    <t>165#202</t>
  </si>
  <si>
    <t>166#201</t>
  </si>
  <si>
    <t>166#202</t>
  </si>
  <si>
    <t>165#301</t>
  </si>
  <si>
    <t>165#302</t>
  </si>
  <si>
    <t>166#301</t>
  </si>
  <si>
    <t>166#302</t>
  </si>
  <si>
    <t>165#401</t>
  </si>
  <si>
    <t>165#402</t>
  </si>
  <si>
    <t>166#401</t>
  </si>
  <si>
    <t>166#402</t>
  </si>
  <si>
    <t>165#501</t>
  </si>
  <si>
    <t>165#502</t>
  </si>
  <si>
    <t>166#501</t>
  </si>
  <si>
    <t>166#502</t>
  </si>
  <si>
    <t>165#601</t>
  </si>
  <si>
    <t>165#602</t>
  </si>
  <si>
    <t>166#601</t>
  </si>
  <si>
    <t>166#602</t>
  </si>
  <si>
    <t>165#701</t>
  </si>
  <si>
    <t>165#702</t>
  </si>
  <si>
    <t>166#701</t>
  </si>
  <si>
    <t>166#702</t>
  </si>
  <si>
    <t>167-169#</t>
  </si>
  <si>
    <t>167#102</t>
  </si>
  <si>
    <t>168#101</t>
  </si>
  <si>
    <t>168#102</t>
  </si>
  <si>
    <t>169#101</t>
  </si>
  <si>
    <t>169#102</t>
  </si>
  <si>
    <t>167#202</t>
  </si>
  <si>
    <t>168#201</t>
  </si>
  <si>
    <t>168#202</t>
  </si>
  <si>
    <t>169#201</t>
  </si>
  <si>
    <t>169#202</t>
  </si>
  <si>
    <t>167#301</t>
  </si>
  <si>
    <t>167#302</t>
  </si>
  <si>
    <t>168#301</t>
  </si>
  <si>
    <t>168#302</t>
  </si>
  <si>
    <t>169#301</t>
  </si>
  <si>
    <t>169#302</t>
  </si>
  <si>
    <t>167#401</t>
  </si>
  <si>
    <t>167#402</t>
  </si>
  <si>
    <t>168#401</t>
  </si>
  <si>
    <t>168#402</t>
  </si>
  <si>
    <t>169#401</t>
  </si>
  <si>
    <t>169#402</t>
  </si>
  <si>
    <t>167#501</t>
  </si>
  <si>
    <t>167#502</t>
  </si>
  <si>
    <t>168#501</t>
  </si>
  <si>
    <t>168#502</t>
  </si>
  <si>
    <t>169#501</t>
  </si>
  <si>
    <t>169#502</t>
  </si>
  <si>
    <t>167#601</t>
  </si>
  <si>
    <t>167#602</t>
  </si>
  <si>
    <t>168#601</t>
  </si>
  <si>
    <t>168#602</t>
  </si>
  <si>
    <t>169#601</t>
  </si>
  <si>
    <t>169#602</t>
  </si>
  <si>
    <t>芬兰温泉馆</t>
  </si>
  <si>
    <t>商业服务</t>
    <phoneticPr fontId="257" type="noConversion"/>
  </si>
  <si>
    <t>芬兰汤屋II型D01</t>
    <phoneticPr fontId="257" type="noConversion"/>
  </si>
  <si>
    <t>芬兰汤屋II型D01</t>
  </si>
  <si>
    <t>芬兰汤屋II型D02</t>
  </si>
  <si>
    <t>芬兰汤屋I型D03</t>
  </si>
  <si>
    <t>芬兰汤屋I型D04</t>
  </si>
  <si>
    <t>芬兰汤屋I型D05</t>
  </si>
  <si>
    <t>芬兰汤屋I型D06</t>
  </si>
  <si>
    <t>日式温泉馆</t>
  </si>
  <si>
    <t>日式II型汤屋A01</t>
  </si>
  <si>
    <t>日式II型汤屋A02</t>
  </si>
  <si>
    <t>日式I型汤屋A03</t>
  </si>
  <si>
    <t>日式I型汤屋A04</t>
  </si>
  <si>
    <t>日式I型汤屋A05</t>
  </si>
  <si>
    <t>日式I型汤屋A06</t>
  </si>
  <si>
    <t>泰式温泉馆</t>
  </si>
  <si>
    <t>土耳其式温泉馆</t>
  </si>
  <si>
    <t>土耳其II型汤屋C01</t>
  </si>
  <si>
    <t>土耳其II型汤屋C02</t>
  </si>
  <si>
    <t>土耳其I型汤屋C03</t>
  </si>
  <si>
    <t>土耳其I型汤屋C04</t>
  </si>
  <si>
    <t>土耳其I型汤屋C05</t>
  </si>
  <si>
    <t>土耳其I型汤屋C06</t>
  </si>
  <si>
    <t>意大利主馆</t>
  </si>
  <si>
    <t>意大利II型汤屋B01</t>
  </si>
  <si>
    <t>意大利II型汤屋B02</t>
  </si>
  <si>
    <t>意大利I型汤屋B03</t>
  </si>
  <si>
    <t>意大利I型汤屋B04</t>
  </si>
  <si>
    <t>意大利I型汤屋B05</t>
  </si>
  <si>
    <t>意大利I型汤屋B06</t>
  </si>
  <si>
    <t>土地证号</t>
  </si>
  <si>
    <t>说明</t>
  </si>
  <si>
    <t>海口市国用（2011）第000447号</t>
  </si>
  <si>
    <t>在建工程抵押物相对应分摊的土地使用权一并抵押</t>
  </si>
  <si>
    <t>产权已售</t>
    <phoneticPr fontId="141" type="noConversion"/>
  </si>
  <si>
    <t>汤屋未统计</t>
    <phoneticPr fontId="141" type="noConversion"/>
  </si>
  <si>
    <t>地下设备</t>
    <phoneticPr fontId="141" type="noConversion"/>
  </si>
  <si>
    <t>汤屋分摊土地面积</t>
    <phoneticPr fontId="141" type="noConversion"/>
  </si>
  <si>
    <t>房地产抵押价值</t>
  </si>
  <si>
    <t>其他：</t>
  </si>
  <si>
    <t>企业</t>
  </si>
  <si>
    <t>出让</t>
  </si>
  <si>
    <t>剩余土地</t>
    <phoneticPr fontId="141" type="noConversion"/>
  </si>
  <si>
    <t>是</t>
  </si>
  <si>
    <t>独栋</t>
  </si>
  <si>
    <t>商业</t>
    <phoneticPr fontId="8" type="noConversion"/>
  </si>
  <si>
    <t>收益法</t>
  </si>
  <si>
    <t>在建（套用方法）</t>
  </si>
  <si>
    <t>总价</t>
  </si>
  <si>
    <t>成本比率</t>
  </si>
  <si>
    <t>成本法</t>
  </si>
  <si>
    <t>假设开发法</t>
  </si>
  <si>
    <t>押一</t>
  </si>
  <si>
    <t>按租金收入计税</t>
  </si>
  <si>
    <t>钢混</t>
  </si>
  <si>
    <t>非生产用房</t>
  </si>
  <si>
    <t>未包含在土地购买价格中</t>
  </si>
  <si>
    <t>全部缴纳</t>
  </si>
  <si>
    <t>已包含在土地取得成本中</t>
  </si>
  <si>
    <t>分摊土地</t>
    <phoneticPr fontId="141" type="noConversion"/>
  </si>
  <si>
    <t>地上计容</t>
    <phoneticPr fontId="141" type="noConversion"/>
  </si>
  <si>
    <t>地上不计容</t>
    <phoneticPr fontId="141" type="noConversion"/>
  </si>
  <si>
    <t>芬兰温泉馆</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</si>
</sst>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20"/>
      <color rgb="FF000000"/>
      <name val="宋体"/>
      <family val="3"/>
      <charset val="134"/>
    </font>
    <font>
      <sz val="11"/>
      <color rgb="FF000000"/>
      <name val="宋体"/>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cellStyleXfs>
  <cellXfs count="34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99" fillId="0" borderId="0" xfId="0" applyFont="1">
      <alignment vertical="center"/>
    </xf>
    <xf numFmtId="0" fontId="256" fillId="0" borderId="1" xfId="0" applyFont="1" applyBorder="1" applyAlignment="1">
      <alignment horizontal="center" vertical="center" wrapText="1"/>
    </xf>
    <xf numFmtId="0" fontId="194" fillId="0" borderId="1" xfId="0" applyFont="1" applyBorder="1" applyAlignment="1">
      <alignment horizontal="center" vertical="center" wrapText="1"/>
    </xf>
    <xf numFmtId="0" fontId="194" fillId="0" borderId="58" xfId="0" applyFont="1" applyBorder="1" applyAlignment="1">
      <alignment horizontal="center" vertical="center" wrapText="1"/>
    </xf>
    <xf numFmtId="0" fontId="99" fillId="0" borderId="0" xfId="0" applyFont="1" applyAlignment="1">
      <alignment horizontal="center" vertical="center"/>
    </xf>
    <xf numFmtId="0" fontId="194" fillId="5" borderId="1" xfId="0" applyFont="1" applyFill="1" applyBorder="1" applyAlignment="1">
      <alignment horizontal="center" vertical="center" wrapText="1"/>
    </xf>
    <xf numFmtId="0" fontId="194" fillId="7" borderId="1" xfId="0" applyFont="1" applyFill="1" applyBorder="1" applyAlignment="1">
      <alignment horizontal="center" vertical="center" wrapText="1"/>
    </xf>
    <xf numFmtId="0" fontId="256" fillId="0" borderId="1" xfId="0" applyFont="1" applyBorder="1" applyAlignment="1">
      <alignment horizontal="justify" vertical="center" wrapText="1"/>
    </xf>
    <xf numFmtId="0" fontId="194" fillId="0" borderId="0" xfId="0" applyFont="1" applyFill="1" applyBorder="1" applyAlignment="1">
      <alignment horizontal="center" vertical="center" wrapText="1"/>
    </xf>
    <xf numFmtId="0" fontId="99" fillId="0" borderId="0" xfId="0" applyFont="1" applyFill="1" applyBorder="1">
      <alignment vertical="center"/>
    </xf>
    <xf numFmtId="0" fontId="99" fillId="9" borderId="0" xfId="0" applyFont="1" applyFill="1">
      <alignment vertical="center"/>
    </xf>
    <xf numFmtId="177" fontId="80" fillId="0" borderId="1" xfId="1" applyNumberFormat="1" applyFont="1" applyFill="1" applyBorder="1" applyAlignment="1" applyProtection="1">
      <alignment vertical="center"/>
      <protection locked="0" hidden="1"/>
    </xf>
    <xf numFmtId="58" fontId="99" fillId="0" borderId="0" xfId="0" applyNumberFormat="1"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77" fontId="50" fillId="20" borderId="1" xfId="1" applyNumberFormat="1" applyFont="1" applyFill="1" applyBorder="1" applyAlignment="1" applyProtection="1">
      <alignment horizontal="center" vertical="center"/>
      <protection locked="0"/>
    </xf>
    <xf numFmtId="0" fontId="169" fillId="0" borderId="13" xfId="17" applyFont="1" applyFill="1" applyBorder="1" applyAlignment="1" applyProtection="1">
      <alignment horizontal="left"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194" fillId="0" borderId="13" xfId="0" applyFont="1" applyBorder="1" applyAlignment="1">
      <alignment horizontal="center" vertical="center" wrapText="1"/>
    </xf>
    <xf numFmtId="0" fontId="194" fillId="0" borderId="2" xfId="0" applyFont="1" applyBorder="1" applyAlignment="1">
      <alignment horizontal="center" vertical="center" wrapText="1"/>
    </xf>
    <xf numFmtId="0" fontId="255" fillId="0" borderId="16" xfId="0" applyFont="1" applyBorder="1" applyAlignment="1">
      <alignment horizontal="center" vertical="center" wrapText="1"/>
    </xf>
    <xf numFmtId="0" fontId="255" fillId="0" borderId="19" xfId="0" applyFont="1" applyBorder="1" applyAlignment="1">
      <alignment horizontal="center" vertical="center" wrapText="1"/>
    </xf>
    <xf numFmtId="0" fontId="255" fillId="0" borderId="31" xfId="0" applyFont="1" applyBorder="1" applyAlignment="1">
      <alignment horizontal="center" vertical="center" wrapText="1"/>
    </xf>
    <xf numFmtId="0" fontId="194" fillId="0" borderId="15" xfId="0" applyFont="1" applyBorder="1" applyAlignment="1">
      <alignment horizontal="center" vertical="center" wrapText="1"/>
    </xf>
    <xf numFmtId="0" fontId="256" fillId="0" borderId="5" xfId="0" applyFont="1" applyBorder="1" applyAlignment="1">
      <alignment horizontal="center" vertical="center" wrapText="1"/>
    </xf>
    <xf numFmtId="0" fontId="256" fillId="0" borderId="54" xfId="0" applyFont="1" applyBorder="1" applyAlignment="1">
      <alignment horizontal="center" vertical="center" wrapText="1"/>
    </xf>
    <xf numFmtId="0" fontId="256" fillId="0" borderId="3" xfId="0" applyFont="1" applyBorder="1" applyAlignment="1">
      <alignment horizontal="center" vertical="center" wrapText="1"/>
    </xf>
    <xf numFmtId="0" fontId="256"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常规 9 2" xfId="17" xr:uid="{108149EB-3D9D-47E6-BDA3-D5CF3EDEAF5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609600</xdr:colOff>
      <xdr:row>1</xdr:row>
      <xdr:rowOff>9525</xdr:rowOff>
    </xdr:from>
    <xdr:to>
      <xdr:col>19</xdr:col>
      <xdr:colOff>161113</xdr:colOff>
      <xdr:row>59</xdr:row>
      <xdr:rowOff>123825</xdr:rowOff>
    </xdr:to>
    <xdr:pic>
      <xdr:nvPicPr>
        <xdr:cNvPr id="3" name="图片 2">
          <a:extLst>
            <a:ext uri="{FF2B5EF4-FFF2-40B4-BE49-F238E27FC236}">
              <a16:creationId xmlns:a16="http://schemas.microsoft.com/office/drawing/2014/main" id="{E5BA87A3-3E7E-44ED-B716-0741A4546B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1175" y="180975"/>
          <a:ext cx="7095313" cy="1005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估价对象为房地产，为所有。根据，估价对象（分摊）出让国有建设用地使用权面积为22306.23平方米，建筑面积为13829.86平方米。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估价对象为房地产,属开发建设的，该项目尚在开发建设中。根据，估价对象（分摊）出让国有建设用地使用权面积为22306.23平方米，规划建筑面积为13829.86平方米。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2020年12月22日（评估专业人员实地查勘之日）</v>
      </c>
    </row>
    <row r="13" spans="1:2" s="1365" customFormat="1">
      <c r="A13" s="1363" t="s">
        <v>1194</v>
      </c>
      <c r="B13" s="1364"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12320</v>
      </c>
    </row>
    <row r="21" spans="1:2" s="1365" customFormat="1">
      <c r="A21" s="1363" t="s">
        <v>1202</v>
      </c>
      <c r="B21" s="1364">
        <f ca="1">'预评函-2'!D7</f>
        <v>8908</v>
      </c>
    </row>
    <row r="22" spans="1:2" s="1365" customFormat="1">
      <c r="A22" s="1363" t="s">
        <v>1203</v>
      </c>
      <c r="B22" s="1364" t="str">
        <f ca="1">'预评函-2'!D6</f>
        <v>壹亿贰仟叁佰贰拾万元整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12320</v>
      </c>
    </row>
    <row r="31" spans="1:2" s="1365" customFormat="1">
      <c r="A31" s="1363" t="s">
        <v>1241</v>
      </c>
      <c r="B31" s="1364">
        <f ca="1">'预评函-2'!D15</f>
        <v>8908</v>
      </c>
    </row>
    <row r="32" spans="1:2" s="1365" customFormat="1">
      <c r="A32" s="1363" t="s">
        <v>1208</v>
      </c>
      <c r="B32" s="1364" t="str">
        <f ca="1">'预评函-2'!D14</f>
        <v>壹亿贰仟叁佰贰拾万元整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13829.859999999995</v>
      </c>
    </row>
    <row r="44" spans="1:2" s="1365" customFormat="1">
      <c r="A44" s="1363" t="s">
        <v>1240</v>
      </c>
      <c r="B44" s="1364" t="str">
        <f>'预评函-3'!C2</f>
        <v>(分摊)土地面积</v>
      </c>
    </row>
    <row r="45" spans="1:2" s="1365" customFormat="1">
      <c r="A45" s="1363" t="s">
        <v>1212</v>
      </c>
      <c r="B45" s="1364">
        <f>'预评函-3'!C4</f>
        <v>22306.23</v>
      </c>
    </row>
    <row r="46" spans="1:2" s="1365" customFormat="1">
      <c r="A46" s="1363" t="s">
        <v>1238</v>
      </c>
      <c r="B46" s="1364" t="str">
        <f>'预评函-3'!D2</f>
        <v>出让国有建设用地使用权价值</v>
      </c>
    </row>
    <row r="47" spans="1:2" s="1365" customFormat="1">
      <c r="A47" s="1363" t="s">
        <v>1213</v>
      </c>
      <c r="B47" s="1364">
        <f ca="1">'预评函-3'!D4</f>
        <v>7909</v>
      </c>
    </row>
    <row r="48" spans="1:2" s="1365" customFormat="1">
      <c r="A48" s="1363" t="s">
        <v>1214</v>
      </c>
      <c r="B48" s="1364">
        <f ca="1">'预评函-3'!E4</f>
        <v>5719</v>
      </c>
    </row>
    <row r="49" spans="1:2" s="1365" customFormat="1">
      <c r="A49" s="1363" t="s">
        <v>1215</v>
      </c>
      <c r="B49" s="1364" t="str">
        <f ca="1">'预评函-3'!D5</f>
        <v>柒仟玖佰零玖万元整</v>
      </c>
    </row>
    <row r="50" spans="1:2" s="1365" customFormat="1">
      <c r="A50" s="1363" t="s">
        <v>1239</v>
      </c>
      <c r="B50" s="1364" t="str">
        <f>'预评函-3'!F2</f>
        <v>在建建筑物价值</v>
      </c>
    </row>
    <row r="51" spans="1:2" s="1365" customFormat="1">
      <c r="A51" s="1363" t="s">
        <v>1216</v>
      </c>
      <c r="B51" s="1364">
        <f ca="1">'预评函-3'!F4</f>
        <v>4411</v>
      </c>
    </row>
    <row r="52" spans="1:2" s="1365" customFormat="1">
      <c r="A52" s="1363" t="s">
        <v>1217</v>
      </c>
      <c r="B52" s="1364">
        <f ca="1">'预评函-3'!G4</f>
        <v>3189</v>
      </c>
    </row>
    <row r="53" spans="1:2" s="1365" customFormat="1">
      <c r="A53" s="1363" t="s">
        <v>1245</v>
      </c>
      <c r="B53" s="1364" t="str">
        <f ca="1">'预评函-3'!F5</f>
        <v>肆仟肆佰壹拾壹万元整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3037</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41" t="s">
        <v>832</v>
      </c>
      <c r="C54" s="1738" t="s">
        <v>1248</v>
      </c>
    </row>
    <row r="55" spans="1:4">
      <c r="A55" s="3104"/>
      <c r="B55" s="1741" t="s">
        <v>833</v>
      </c>
      <c r="C55" s="1738" t="s">
        <v>1249</v>
      </c>
    </row>
    <row r="56" spans="1:4">
      <c r="A56" s="3104"/>
      <c r="B56" s="1741" t="s">
        <v>834</v>
      </c>
      <c r="C56" s="1738" t="s">
        <v>1253</v>
      </c>
    </row>
    <row r="57" spans="1:4">
      <c r="A57" s="310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13" t="str">
        <f>IF(B10="北京市","北京市",C10)&amp;F10&amp;IF(结果表!G1="在建","出让国有建设用地使用权及在建建筑物",IF(结果表!G1="土地","出让国有建设用地使用权",))&amp;B9&amp;"预评估"</f>
        <v>房地产抵押价值预评估</v>
      </c>
      <c r="C1" s="3114"/>
      <c r="D1" s="3114"/>
      <c r="E1" s="3114"/>
      <c r="F1" s="3114"/>
      <c r="G1" s="3114"/>
      <c r="H1" s="3114"/>
      <c r="I1" s="3115"/>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2915</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2916</v>
      </c>
      <c r="B3" s="2599">
        <v>44187</v>
      </c>
      <c r="C3" s="2600" t="s">
        <v>2917</v>
      </c>
      <c r="D3" s="2599">
        <f>B3</f>
        <v>44187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c r="C8" s="2616"/>
      <c r="D8" s="3116" t="s">
        <v>2923</v>
      </c>
      <c r="E8" s="2617"/>
      <c r="F8" s="2618"/>
      <c r="G8" s="2892"/>
      <c r="H8" s="2892"/>
      <c r="I8" s="2892"/>
      <c r="J8" s="2667"/>
      <c r="K8" s="2842"/>
      <c r="L8" s="2841"/>
      <c r="M8" s="2841"/>
      <c r="N8" s="2667"/>
      <c r="O8" s="2678"/>
      <c r="P8" s="2667"/>
      <c r="Q8" s="2667"/>
      <c r="R8" s="2667"/>
    </row>
    <row r="9" spans="1:28" ht="13.5" thickBot="1">
      <c r="A9" s="2619" t="s">
        <v>2924</v>
      </c>
      <c r="B9" s="2620" t="s">
        <v>3587</v>
      </c>
      <c r="C9" s="2621"/>
      <c r="D9" s="3117"/>
      <c r="E9" s="2620"/>
      <c r="F9" s="2622"/>
      <c r="G9" s="2894"/>
      <c r="H9" s="2894"/>
      <c r="I9" s="2894"/>
      <c r="J9" s="2667"/>
      <c r="K9" s="2844"/>
      <c r="L9" s="2841"/>
      <c r="M9" s="2841"/>
      <c r="N9" s="2667"/>
      <c r="O9" s="2678"/>
      <c r="P9" s="2667"/>
      <c r="Q9" s="2667"/>
      <c r="R9" s="2667"/>
    </row>
    <row r="10" spans="1:28" ht="13.5" thickTop="1">
      <c r="A10" s="2623" t="s">
        <v>2925</v>
      </c>
      <c r="B10" s="2624" t="s">
        <v>3588</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3589</v>
      </c>
      <c r="C11" s="2629"/>
      <c r="D11" s="2630"/>
      <c r="E11" s="2596"/>
      <c r="F11" s="2596"/>
      <c r="G11" s="2596"/>
      <c r="H11" s="2596"/>
      <c r="I11" s="2596"/>
      <c r="J11" s="2667"/>
      <c r="K11" s="2844"/>
      <c r="L11" s="2841"/>
      <c r="M11" s="2841"/>
      <c r="N11" s="2667"/>
      <c r="O11" s="2678"/>
      <c r="P11" s="2667"/>
      <c r="Q11" s="2667"/>
      <c r="R11" s="2667"/>
    </row>
    <row r="12" spans="1:28">
      <c r="A12" s="2631" t="s">
        <v>2928</v>
      </c>
      <c r="B12" s="2628" t="s">
        <v>3590</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v>59849</v>
      </c>
      <c r="F13" s="965"/>
      <c r="G13" s="965"/>
      <c r="H13" s="965"/>
      <c r="I13" s="965"/>
      <c r="J13" s="2667"/>
      <c r="K13" s="2844"/>
      <c r="L13" s="2841"/>
      <c r="M13" s="2841"/>
      <c r="N13" s="2667"/>
      <c r="O13" s="2678"/>
      <c r="P13" s="2667"/>
      <c r="Q13" s="2667"/>
      <c r="R13" s="2667"/>
    </row>
    <row r="14" spans="1:28">
      <c r="A14" s="1241"/>
      <c r="B14" s="2633"/>
      <c r="C14" s="2634" t="s">
        <v>2937</v>
      </c>
      <c r="D14" s="2635"/>
      <c r="E14" s="3060">
        <v>40</v>
      </c>
      <c r="F14" s="2635"/>
      <c r="G14" s="2635"/>
      <c r="H14" s="2635"/>
      <c r="I14" s="2635"/>
      <c r="J14" s="2667"/>
      <c r="K14" s="2845"/>
      <c r="L14" s="2841"/>
      <c r="M14" s="2841"/>
      <c r="N14" s="2667"/>
      <c r="O14" s="2678"/>
      <c r="P14" s="2667"/>
      <c r="Q14" s="2667"/>
      <c r="R14" s="2667"/>
    </row>
    <row r="15" spans="1:28">
      <c r="A15" s="326"/>
      <c r="B15" s="2636"/>
      <c r="C15" s="2637" t="s">
        <v>2938</v>
      </c>
      <c r="D15" s="2638" t="str">
        <f>IF(B12="出让",IF(D13="","",ROUNDDOWN(MIN((D13-$D$3)/365,D14),2)),D14)</f>
        <v/>
      </c>
      <c r="E15" s="2638">
        <f>IF(B12="出让",IF(E13="","",ROUNDDOWN(MIN((E13-$D$3)/365,E14),2)),E14)</f>
        <v>40</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2939</v>
      </c>
      <c r="B16" s="3123"/>
      <c r="C16" s="3124"/>
      <c r="D16" s="3125"/>
      <c r="E16" s="2641" t="s">
        <v>2940</v>
      </c>
      <c r="F16" s="3126"/>
      <c r="G16" s="3127"/>
      <c r="H16" s="3127"/>
      <c r="I16" s="3128"/>
      <c r="J16" s="2667"/>
      <c r="K16" s="2846"/>
      <c r="L16" s="2679"/>
      <c r="M16" s="2679"/>
      <c r="N16" s="2737"/>
      <c r="O16" s="2679"/>
      <c r="P16" s="2737"/>
      <c r="Q16" s="2667"/>
      <c r="R16" s="2667"/>
    </row>
    <row r="17" spans="1:28">
      <c r="A17" s="319" t="s">
        <v>2941</v>
      </c>
      <c r="B17" s="308" t="s">
        <v>2942</v>
      </c>
      <c r="C17" s="11">
        <f>'数据-汇总表'!E3</f>
        <v>13829.859999999995</v>
      </c>
      <c r="D17" s="2547" t="s">
        <v>2943</v>
      </c>
      <c r="E17" s="3129"/>
      <c r="F17" s="3130"/>
      <c r="G17" s="3130"/>
      <c r="H17" s="3130"/>
      <c r="I17" s="3131"/>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22306.23</v>
      </c>
      <c r="D18" s="1252" t="s">
        <v>2946</v>
      </c>
      <c r="E18" s="3132"/>
      <c r="F18" s="3133"/>
      <c r="G18" s="3133"/>
      <c r="H18" s="3133"/>
      <c r="I18" s="3134"/>
      <c r="J18" s="2667"/>
      <c r="K18" s="2847"/>
      <c r="L18" s="2679"/>
      <c r="M18" s="2679"/>
      <c r="N18" s="2737"/>
      <c r="O18" s="2679"/>
      <c r="P18" s="2737"/>
      <c r="Q18" s="2667"/>
      <c r="R18" s="2667"/>
      <c r="S18" s="2667"/>
      <c r="T18" s="2667"/>
      <c r="U18" s="2667"/>
      <c r="V18" s="2667"/>
    </row>
    <row r="19" spans="1:28" ht="37.5" thickTop="1" thickBot="1">
      <c r="A19" s="333" t="s">
        <v>1741</v>
      </c>
      <c r="B19" s="313" t="s">
        <v>2947</v>
      </c>
      <c r="C19" s="1750"/>
      <c r="D19" s="1751" t="s">
        <v>2948</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2949</v>
      </c>
      <c r="B20" s="3119" t="s">
        <v>2950</v>
      </c>
      <c r="C20" s="3120"/>
      <c r="D20" s="3121" t="s">
        <v>2951</v>
      </c>
      <c r="E20" s="3122"/>
      <c r="F20" s="2876" t="s">
        <v>1742</v>
      </c>
      <c r="G20" s="2893"/>
      <c r="H20" s="2893"/>
      <c r="I20" s="2893"/>
      <c r="J20" s="2667"/>
      <c r="K20" s="3118"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2953</v>
      </c>
      <c r="C21" s="2863" t="s">
        <v>1743</v>
      </c>
      <c r="D21" s="1755" t="s">
        <v>2954</v>
      </c>
      <c r="E21" s="2864" t="s">
        <v>1743</v>
      </c>
      <c r="F21" s="2877"/>
      <c r="G21" s="2893"/>
      <c r="H21" s="2893"/>
      <c r="I21" s="2893"/>
      <c r="J21" s="2667"/>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2955</v>
      </c>
      <c r="C22" s="2863" t="s">
        <v>1744</v>
      </c>
      <c r="D22" s="2892"/>
      <c r="E22" s="2892"/>
      <c r="F22" s="2892"/>
      <c r="G22" s="2893"/>
      <c r="H22" s="2893"/>
      <c r="I22" s="2893"/>
      <c r="J22" s="2667"/>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2956</v>
      </c>
      <c r="B23" s="2730" t="s">
        <v>2957</v>
      </c>
      <c r="C23" s="2867"/>
      <c r="D23" s="2868" t="s">
        <v>2957</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06" t="s">
        <v>2958</v>
      </c>
      <c r="B27" s="326" t="s">
        <v>2959</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06"/>
      <c r="B28" s="308" t="s">
        <v>2960</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06"/>
      <c r="B29" s="308" t="s">
        <v>2961</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07"/>
      <c r="B30" s="308" t="s">
        <v>2962</v>
      </c>
      <c r="C30" s="3108"/>
      <c r="D30" s="3109"/>
      <c r="E30" s="2893"/>
      <c r="F30" s="2893"/>
      <c r="G30" s="2893"/>
      <c r="H30" s="2893"/>
      <c r="I30" s="2893"/>
      <c r="J30" s="2667"/>
      <c r="K30" s="2844"/>
      <c r="L30" s="2841"/>
      <c r="M30" s="2841"/>
      <c r="N30" s="2667"/>
      <c r="O30" s="2678"/>
      <c r="P30" s="2667"/>
      <c r="Q30" s="2667"/>
      <c r="R30" s="2667"/>
      <c r="S30" s="2667"/>
      <c r="T30" s="2667"/>
      <c r="U30" s="2667"/>
      <c r="V30" s="2667"/>
    </row>
    <row r="31" spans="1:28">
      <c r="A31" s="3110" t="s">
        <v>2963</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1"/>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1"/>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2964</v>
      </c>
      <c r="B34" s="2216"/>
      <c r="C34" s="2216"/>
      <c r="D34" s="2216"/>
      <c r="E34" s="2216"/>
      <c r="F34" s="2216"/>
      <c r="G34" s="2216"/>
      <c r="H34" s="2216"/>
      <c r="I34" s="2893"/>
      <c r="J34" s="2667"/>
      <c r="K34" s="2655">
        <f>COUNTIF(B34:H34,"——")</f>
        <v>0</v>
      </c>
      <c r="L34" s="329" t="s">
        <v>2965</v>
      </c>
      <c r="M34" s="329" t="s">
        <v>2966</v>
      </c>
      <c r="N34" s="329" t="s">
        <v>2967</v>
      </c>
      <c r="O34" s="329" t="s">
        <v>2968</v>
      </c>
      <c r="P34" s="329" t="s">
        <v>2969</v>
      </c>
      <c r="Q34" s="329" t="s">
        <v>2970</v>
      </c>
      <c r="R34" s="329" t="s">
        <v>2971</v>
      </c>
      <c r="S34" s="3105" t="s">
        <v>2972</v>
      </c>
      <c r="T34" s="2656" t="str">
        <f>NUMBERSTRING(7-K34,1)&amp;"通"</f>
        <v>七通</v>
      </c>
      <c r="U34" s="2667"/>
      <c r="V34" s="2667"/>
    </row>
    <row r="35" spans="1:30">
      <c r="A35" s="2657"/>
      <c r="B35" s="3112" t="s">
        <v>2973</v>
      </c>
      <c r="C35" s="3112"/>
      <c r="D35" s="3112"/>
      <c r="E35" s="3112"/>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5"/>
      <c r="T35" s="335" t="str">
        <f>IF(T34="一通",L35,IF(T34="二通",M35,IF(T34="三通",N35,IF(T34="四通",O35,IF(T34="五通",P35,IF(T34="六通",Q35,R35))))))</f>
        <v>、、、、、、</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2974</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2975</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2976</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2977</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2978</v>
      </c>
      <c r="B42" s="11" t="s">
        <v>2979</v>
      </c>
      <c r="C42" s="11" t="s">
        <v>2980</v>
      </c>
      <c r="D42" s="11" t="s">
        <v>2981</v>
      </c>
      <c r="E42" s="11" t="s">
        <v>2982</v>
      </c>
      <c r="F42" s="11" t="s">
        <v>2983</v>
      </c>
      <c r="G42" s="11" t="s">
        <v>2984</v>
      </c>
      <c r="H42" s="11" t="s">
        <v>2985</v>
      </c>
      <c r="I42" s="11" t="s">
        <v>2986</v>
      </c>
      <c r="J42" s="2855" t="s">
        <v>2987</v>
      </c>
      <c r="K42" s="2856" t="s">
        <v>2988</v>
      </c>
      <c r="L42" s="2856" t="s">
        <v>2989</v>
      </c>
      <c r="M42" s="2856" t="s">
        <v>2990</v>
      </c>
      <c r="N42" s="2849" t="s">
        <v>2991</v>
      </c>
      <c r="O42" s="2849" t="s">
        <v>2992</v>
      </c>
      <c r="P42" s="2849" t="s">
        <v>2993</v>
      </c>
      <c r="Q42" s="2850" t="s">
        <v>2994</v>
      </c>
      <c r="R42" s="2850" t="s">
        <v>2995</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'11期具体面积表'!K9</f>
        <v>22306.23</v>
      </c>
      <c r="B3" s="14">
        <f>IF(C3="否",G5-AT5,G5)</f>
        <v>13829.859999999995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13829.859999999995</v>
      </c>
      <c r="H5" s="16">
        <f t="shared" ref="H5:AT5" si="0">SUM(H13:H656)</f>
        <v>13829.859999999995</v>
      </c>
      <c r="I5" s="16">
        <f t="shared" si="0"/>
        <v>13829.859999999995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13829.859999999995</v>
      </c>
      <c r="BA5" s="18">
        <f t="shared" si="1"/>
        <v>13829.859999999995</v>
      </c>
      <c r="BB5" s="18">
        <f t="shared" si="1"/>
        <v>13829.859999999995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22306.23</v>
      </c>
      <c r="F6" s="16" t="s">
        <v>1</v>
      </c>
      <c r="G6" s="16" t="s">
        <v>2</v>
      </c>
      <c r="H6" s="20">
        <f>SUMIF(I$12:AB$12,"总值",I6:AB6)</f>
        <v>22306.23</v>
      </c>
      <c r="I6" s="16">
        <f t="shared" ref="I6:AB6" si="2">ROUND($A$3*I5/$B$3,2)</f>
        <v>22306.23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22306.23</v>
      </c>
      <c r="AZ6" s="16" t="s">
        <v>3</v>
      </c>
      <c r="BA6" s="16">
        <f>ROUND($AY$6*BA5/$AZ$5,2)</f>
        <v>22306.23</v>
      </c>
      <c r="BB6" s="16">
        <f>ROUND($AY$6*BB5/$AZ$5,2)</f>
        <v>22306.23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3062</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3593</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独栋</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3592</v>
      </c>
      <c r="E13" s="16">
        <f>IF($C$3="是",ROUND($A$3*G13/$B$3,2),ROUND($A$3*(G13-AT13)/$B$3,2))</f>
        <v>22306.23</v>
      </c>
      <c r="F13" s="32"/>
      <c r="G13" s="33">
        <f>H13+AC13+AT13</f>
        <v>13829.859999999995</v>
      </c>
      <c r="H13" s="20">
        <f>SUMIF(I$12:AB$12,"总值",I13:AB13)</f>
        <v>13829.859999999995</v>
      </c>
      <c r="I13" s="1813">
        <f>'11期具体面积表'!K3</f>
        <v>13829.859999999995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22306.23</v>
      </c>
      <c r="AZ13" s="16">
        <f>BA13+BL13</f>
        <v>13829.859999999995</v>
      </c>
      <c r="BA13" s="16">
        <f>SUM(BB13:BK13)</f>
        <v>13829.859999999995</v>
      </c>
      <c r="BB13" s="16">
        <f>IF($D13="是",I13-J13,0)</f>
        <v>13829.859999999995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90" zoomScaleNormal="100" zoomScaleSheetLayoutView="90" workbookViewId="0">
      <selection activeCell="N3" sqref="N2:N3"/>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6" t="s">
        <v>1817</v>
      </c>
      <c r="B2" s="3146"/>
      <c r="C2" s="3146"/>
      <c r="D2" s="904" t="s">
        <v>1793</v>
      </c>
      <c r="E2" s="1826" t="s">
        <v>1794</v>
      </c>
      <c r="F2" s="2888"/>
      <c r="G2" s="2879"/>
      <c r="H2" s="2880"/>
      <c r="I2" s="2550" t="s">
        <v>1818</v>
      </c>
      <c r="J2" s="2888"/>
      <c r="K2" s="2888"/>
      <c r="L2" s="2888"/>
      <c r="M2" s="2888"/>
      <c r="N2" s="2890"/>
      <c r="O2" s="2888"/>
      <c r="P2" s="2888"/>
    </row>
    <row r="3" spans="1:16" ht="15.75" thickBot="1">
      <c r="A3" s="3147" t="s">
        <v>1791</v>
      </c>
      <c r="B3" s="3147"/>
      <c r="C3" s="3147"/>
      <c r="D3" s="46">
        <f>'数据-基础表'!AY6</f>
        <v>22306.23</v>
      </c>
      <c r="E3" s="46">
        <f>'数据-基础表'!AZ5</f>
        <v>13829.859999999995</v>
      </c>
      <c r="F3" s="2888"/>
      <c r="G3" s="1307"/>
      <c r="H3" s="1157" t="s">
        <v>1792</v>
      </c>
      <c r="I3" s="964">
        <f>ROUND('数据-基础表'!B3/'数据-基础表'!A3,2)</f>
        <v>0.62</v>
      </c>
      <c r="J3" s="2888"/>
      <c r="K3" s="2888"/>
      <c r="L3" s="2888"/>
      <c r="M3" s="2888"/>
      <c r="N3" s="2890"/>
      <c r="O3" s="2888"/>
      <c r="P3" s="2888"/>
    </row>
    <row r="4" spans="1:16" ht="15">
      <c r="A4" s="3148"/>
      <c r="B4" s="3149"/>
      <c r="C4" s="3150"/>
      <c r="D4" s="1828" t="s">
        <v>1793</v>
      </c>
      <c r="E4" s="1829" t="s">
        <v>1794</v>
      </c>
      <c r="F4" s="2888"/>
      <c r="G4" s="2881" t="s">
        <v>1819</v>
      </c>
      <c r="H4" s="1157" t="s">
        <v>1799</v>
      </c>
      <c r="I4" s="964">
        <f>ROUND(SUMIF('数据-基础表'!I9:AS9,"地上",'数据-基础表'!I5:AS5)/'数据-基础表'!A3,2)</f>
        <v>0.62</v>
      </c>
      <c r="J4" s="2888"/>
      <c r="K4" s="2888"/>
      <c r="L4" s="2888"/>
      <c r="M4" s="2888"/>
      <c r="N4" s="2890"/>
      <c r="O4" s="2888"/>
      <c r="P4" s="2888"/>
    </row>
    <row r="5" spans="1:16">
      <c r="A5" s="47" t="s">
        <v>1795</v>
      </c>
      <c r="B5" s="3151" t="s">
        <v>1796</v>
      </c>
      <c r="C5" s="3151"/>
      <c r="D5" s="48">
        <f>ROUND($D$3*E5/$E$3,2)</f>
        <v>0</v>
      </c>
      <c r="E5" s="49">
        <f>SUMIF('数据-基础表'!$11:$11,"住宅",'数据-基础表'!$5:$5)</f>
        <v>0</v>
      </c>
      <c r="F5" s="2888"/>
      <c r="G5" s="1307"/>
      <c r="H5" s="1157" t="s">
        <v>1792</v>
      </c>
      <c r="I5" s="964">
        <f>ROUND(E31/D31,2)</f>
        <v>0.62</v>
      </c>
      <c r="J5" s="2888"/>
      <c r="K5" s="2888"/>
      <c r="L5" s="2888"/>
      <c r="M5" s="2888"/>
      <c r="N5" s="2888"/>
      <c r="O5" s="2888"/>
      <c r="P5" s="2888"/>
    </row>
    <row r="6" spans="1:16" ht="15" thickBot="1">
      <c r="A6" s="1831"/>
      <c r="B6" s="3151" t="s">
        <v>1797</v>
      </c>
      <c r="C6" s="3151"/>
      <c r="D6" s="48">
        <f>ROUND($D$3*E6/$E$3,2)</f>
        <v>22306.23</v>
      </c>
      <c r="E6" s="49">
        <f>E3-E5</f>
        <v>13829.859999999995</v>
      </c>
      <c r="F6" s="2888"/>
      <c r="G6" s="2882" t="s">
        <v>1798</v>
      </c>
      <c r="H6" s="1308" t="s">
        <v>1799</v>
      </c>
      <c r="I6" s="2883">
        <f>ROUND(F31/D31,2)</f>
        <v>0.62</v>
      </c>
      <c r="J6" s="2888"/>
      <c r="K6" s="2888"/>
      <c r="L6" s="2888"/>
      <c r="M6" s="2888"/>
      <c r="N6" s="2888"/>
      <c r="O6" s="2888"/>
      <c r="P6" s="2888"/>
    </row>
    <row r="7" spans="1:16" ht="15.75" thickBot="1">
      <c r="A7" s="3143"/>
      <c r="B7" s="3144"/>
      <c r="C7" s="3145"/>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22306.23</v>
      </c>
      <c r="E8" s="51">
        <f>SUMIF('数据-基础表'!BB10:BK10,"地上",'数据-基础表'!BB5:BK5)</f>
        <v>13829.859999999995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22306.23</v>
      </c>
      <c r="E16" s="53">
        <f>SUM(E8:E15)</f>
        <v>13829.859999999995</v>
      </c>
      <c r="F16" s="2888"/>
      <c r="G16" s="2889"/>
      <c r="H16" s="1835" t="s">
        <v>1821</v>
      </c>
      <c r="I16" s="1836"/>
      <c r="J16" s="1301"/>
      <c r="K16" s="3140" t="s">
        <v>1821</v>
      </c>
      <c r="L16" s="3141"/>
      <c r="M16" s="3141"/>
      <c r="N16" s="3141"/>
      <c r="O16" s="3141"/>
      <c r="P16" s="3142"/>
    </row>
    <row r="17" spans="1:19" ht="15">
      <c r="A17" s="1837" t="s">
        <v>1822</v>
      </c>
      <c r="B17" s="1838" t="s">
        <v>1823</v>
      </c>
      <c r="C17" s="1839" t="s">
        <v>1824</v>
      </c>
      <c r="D17" s="1840" t="s">
        <v>1812</v>
      </c>
      <c r="E17" s="1841" t="s">
        <v>1813</v>
      </c>
      <c r="F17" s="1842"/>
      <c r="G17" s="1843"/>
      <c r="H17" s="1844" t="s">
        <v>1825</v>
      </c>
      <c r="I17" s="1845" t="s">
        <v>1810</v>
      </c>
      <c r="J17" s="1301"/>
      <c r="K17" s="3137" t="s">
        <v>1826</v>
      </c>
      <c r="L17" s="3138"/>
      <c r="M17" s="3139"/>
      <c r="N17" s="3137" t="s">
        <v>1827</v>
      </c>
      <c r="O17" s="3138"/>
      <c r="P17" s="3139"/>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6" t="s">
        <v>3594</v>
      </c>
      <c r="D19" s="48">
        <f>ROUND($D$3*E19/$E$3,2)</f>
        <v>22306.23</v>
      </c>
      <c r="E19" s="56">
        <f t="shared" ref="E19:E26" si="1">SUM(F19:G19)</f>
        <v>13829.859999999995</v>
      </c>
      <c r="F19" s="3028">
        <f>'数据-基础表'!I13</f>
        <v>13829.859999999995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22306.23</v>
      </c>
      <c r="S19" s="1158">
        <f t="shared" si="5"/>
        <v>13829.859999999995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22306.23</v>
      </c>
      <c r="E27" s="1303">
        <f>IF(SUM(E19:E26)='数据-基础表'!BA5,SUM(E19:E26),IF(F27="地上面积有误","面积有误","地下面积有误"))</f>
        <v>13829.859999999995</v>
      </c>
      <c r="F27" s="1302">
        <f>IF(SUM(F19:F26)=E8,SUM(F19:F26),"地上面积有误")</f>
        <v>13829.859999999995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22306.23</v>
      </c>
      <c r="S27" s="1157">
        <f>IF(SUM(S19:S26)=$E$3,SUM(S19:S26),SUM(S19:S26)&amp;"误差"&amp;ROUND(SUM(S19:S26)-E3,2))</f>
        <v>13829.859999999995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22306.23</v>
      </c>
      <c r="E31" s="685">
        <f>E27+E30</f>
        <v>13829.859999999995</v>
      </c>
      <c r="F31" s="686">
        <f>F27+F30</f>
        <v>13829.859999999995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44187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1867</v>
      </c>
      <c r="O5" s="1890" t="s">
        <v>1868</v>
      </c>
      <c r="P5" s="1893" t="s">
        <v>1869</v>
      </c>
      <c r="Q5" s="65" t="s">
        <v>1870</v>
      </c>
      <c r="R5" s="1894" t="s">
        <v>1871</v>
      </c>
      <c r="S5" s="1895" t="s">
        <v>1872</v>
      </c>
      <c r="T5" s="1896" t="s">
        <v>1873</v>
      </c>
      <c r="U5" s="1177" t="s">
        <v>1874</v>
      </c>
      <c r="V5" s="1178" t="s">
        <v>1875</v>
      </c>
      <c r="W5" s="1178" t="s">
        <v>1876</v>
      </c>
      <c r="X5" s="67"/>
      <c r="Y5" s="66" t="s">
        <v>1877</v>
      </c>
      <c r="Z5" s="1897" t="s">
        <v>1874</v>
      </c>
      <c r="AA5" s="1178" t="s">
        <v>1875</v>
      </c>
      <c r="AB5" s="1178" t="s">
        <v>1876</v>
      </c>
      <c r="AC5" s="67"/>
      <c r="AD5" s="67" t="s">
        <v>1877</v>
      </c>
      <c r="AE5" s="1177" t="s">
        <v>1878</v>
      </c>
      <c r="AF5" s="1178" t="s">
        <v>1879</v>
      </c>
      <c r="AG5" s="66" t="s">
        <v>1880</v>
      </c>
      <c r="AH5" s="1177" t="s">
        <v>1881</v>
      </c>
      <c r="AI5" s="1897" t="s">
        <v>1882</v>
      </c>
      <c r="AJ5" s="1897" t="s">
        <v>1883</v>
      </c>
      <c r="AK5" s="1178" t="s">
        <v>1884</v>
      </c>
      <c r="AL5" s="1178" t="s">
        <v>1885</v>
      </c>
      <c r="AM5" s="66" t="s">
        <v>1886</v>
      </c>
      <c r="AN5" s="1898" t="s">
        <v>1887</v>
      </c>
      <c r="AO5" s="1749" t="s">
        <v>1888</v>
      </c>
      <c r="AP5" s="1159" t="s">
        <v>1889</v>
      </c>
      <c r="AQ5" s="1899" t="s">
        <v>1890</v>
      </c>
      <c r="AR5" s="1899" t="s">
        <v>1891</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59849</v>
      </c>
      <c r="F6" s="68">
        <f>SUMIF(项目基本情况!D$12:I$12,C6,项目基本情况!D$15:I$15)</f>
        <v>40</v>
      </c>
      <c r="G6" s="69">
        <f>IF(ISERROR(ROUND(POWER(1+H6,D6-F6)*(POWER(1+H6,F6)-1)/(POWER(1+H6,D6)-1),3)),0,ROUND(POWER(1+H6,D6-F6)*(POWER(1+H6,F6)-1)/(POWER(1+H6,D6)-1),3))</f>
        <v>1</v>
      </c>
      <c r="H6" s="741">
        <v>0.05</v>
      </c>
      <c r="I6" s="741">
        <v>5.5E-2</v>
      </c>
      <c r="J6" s="70">
        <v>8.5000000000000006E-2</v>
      </c>
      <c r="K6" s="1161">
        <f>SUMIF('数据-汇总表'!C$19:C$33,A6,'数据-汇总表'!E$19:E$33)</f>
        <v>13829.859999999995</v>
      </c>
      <c r="L6" s="742">
        <f>3500+1000</f>
        <v>4500</v>
      </c>
      <c r="M6" s="71">
        <f t="shared" ref="M6:M14" si="0">ROUND(K6*L6/10000,0)</f>
        <v>6223</v>
      </c>
      <c r="N6" s="740">
        <v>0.6</v>
      </c>
      <c r="O6" s="71">
        <f>IF($N$5="成新度","——",ROUND(M6*N6,0))</f>
        <v>3734</v>
      </c>
      <c r="P6" s="72">
        <f>IF($N$5="成新度","——",M6-O6)</f>
        <v>2489</v>
      </c>
      <c r="Q6" s="743">
        <v>0.15</v>
      </c>
      <c r="R6" s="73">
        <f ca="1">SUMIF('数据-汇总表'!C$19:C$33,A6,'数据-汇总表'!R$19:R$27)</f>
        <v>22306.23</v>
      </c>
      <c r="S6" s="54">
        <f>IF('数据-汇总表'!$I$17="按面积比例",SUMIF('数据-汇总表'!C$19:C$33,A6,'数据-汇总表'!K$19:K$33),SUMIF('数据-汇总表'!C$19:C$33,A6,'数据-汇总表'!N$19:N$33))</f>
        <v>0</v>
      </c>
      <c r="T6" s="1334">
        <f>ROUND($L$14*S6/10000,0)</f>
        <v>0</v>
      </c>
      <c r="U6" s="74">
        <v>2.5</v>
      </c>
      <c r="V6" s="75">
        <v>2.5000000000000001E-2</v>
      </c>
      <c r="W6" s="75">
        <v>0.15</v>
      </c>
      <c r="X6" s="1171"/>
      <c r="Y6" s="76">
        <v>1</v>
      </c>
      <c r="Z6" s="77"/>
      <c r="AA6" s="70"/>
      <c r="AB6" s="70"/>
      <c r="AC6" s="1171"/>
      <c r="AD6" s="78"/>
      <c r="AE6" s="1172">
        <f ca="1">IF(AN6="",0,SUMIF(INDIRECT("'"&amp;AN6&amp;"'"&amp;"!E:E"),$AE$5,INDIRECT("'"&amp;AN6&amp;"'"&amp;"!F:F")))</f>
        <v>39.200000000000003</v>
      </c>
      <c r="AF6" s="1534"/>
      <c r="AG6" s="143">
        <f>IF(AF6="",0,AE6-AF6)</f>
        <v>0</v>
      </c>
      <c r="AH6" s="79"/>
      <c r="AI6" s="81">
        <v>365</v>
      </c>
      <c r="AJ6" s="82"/>
      <c r="AK6" s="83">
        <v>1.4999999999999999E-2</v>
      </c>
      <c r="AL6" s="84">
        <v>1.5E-3</v>
      </c>
      <c r="AM6" s="85">
        <v>0.02</v>
      </c>
      <c r="AN6" s="1903" t="s">
        <v>3595</v>
      </c>
      <c r="AO6" s="55">
        <f ca="1">SUMIF(INDIRECT("'"&amp;AN6&amp;"'"&amp;"!A:A"),"总价",INDIRECT("'"&amp;AN6&amp;"'"&amp;"!B:B"))</f>
        <v>15441</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1892</v>
      </c>
      <c r="B14" s="1901" t="s">
        <v>1893</v>
      </c>
      <c r="C14" s="1906" t="s">
        <v>1892</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1894</v>
      </c>
      <c r="B15" s="1901" t="s">
        <v>1893</v>
      </c>
      <c r="C15" s="1906"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1896</v>
      </c>
      <c r="B16" s="93"/>
      <c r="C16" s="942"/>
      <c r="D16" s="1908"/>
      <c r="E16" s="93"/>
      <c r="F16" s="93"/>
      <c r="G16" s="94">
        <f>ROUND(SUMPRODUCT(G6:G13,K6:K13)/SUMPRODUCT((G6:G13&gt;0)*(K6:K13)),3)</f>
        <v>1</v>
      </c>
      <c r="H16" s="95">
        <f>ROUND(SUMPRODUCT(H6:H13,K6:K13)/SUMPRODUCT((H6:H13&gt;0)*(K6:K13)),3)</f>
        <v>0.05</v>
      </c>
      <c r="I16" s="96"/>
      <c r="J16" s="96"/>
      <c r="K16" s="97">
        <f>SUM(K6:K15)</f>
        <v>13829.859999999995</v>
      </c>
      <c r="L16" s="98">
        <f>ROUND(M16*10000/SUM(K6:K14),0)</f>
        <v>4500</v>
      </c>
      <c r="M16" s="98">
        <f>SUM(M6:M14)</f>
        <v>6223</v>
      </c>
      <c r="N16" s="99">
        <f>ROUND(SUMPRODUCT(M6:M14,N6:N14)/M16,3)</f>
        <v>0.6</v>
      </c>
      <c r="O16" s="98">
        <f>SUM(O6:O14)</f>
        <v>3734</v>
      </c>
      <c r="P16" s="98">
        <f>SUM(P6:P14)</f>
        <v>2489</v>
      </c>
      <c r="Q16" s="100">
        <f>ROUND(SUMPRODUCT(Q6:Q13,K6:K13)/SUMPRODUCT((Q6:Q13&gt;0)*(K6:K13)),2)</f>
        <v>0.15</v>
      </c>
      <c r="R16" s="1165">
        <f ca="1">SUM(R6:R13)</f>
        <v>22306.23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1897</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1898</v>
      </c>
      <c r="B19" s="108">
        <v>0</v>
      </c>
      <c r="C19" s="3032" t="s">
        <v>3050</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1899</v>
      </c>
      <c r="B20" s="109">
        <v>2</v>
      </c>
      <c r="C20" s="3033" t="s">
        <v>3048</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1900</v>
      </c>
      <c r="B21" s="109">
        <f>B20*N16</f>
        <v>1.2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1901</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1902</v>
      </c>
      <c r="B23" s="110">
        <f>B19+B21</f>
        <v>1.2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1903</v>
      </c>
      <c r="B24" s="111">
        <f>B20-B21</f>
        <v>0.8</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1904</v>
      </c>
      <c r="B26" s="1914" t="s">
        <v>1905</v>
      </c>
      <c r="C26" s="2908" t="s">
        <v>1906</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1907</v>
      </c>
      <c r="B27" s="112">
        <v>220</v>
      </c>
      <c r="C27" s="3034" t="s">
        <v>3052</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1908</v>
      </c>
      <c r="B28" s="115">
        <v>220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1909</v>
      </c>
      <c r="B29" s="117">
        <f ca="1">成本法!C10</f>
        <v>304</v>
      </c>
      <c r="C29" s="3035" t="s">
        <v>3038</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1910</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1911</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1912</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1913</v>
      </c>
      <c r="B33" s="682">
        <v>0.03</v>
      </c>
      <c r="C33" s="3036" t="s">
        <v>3039</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1914</v>
      </c>
      <c r="B34" s="118">
        <v>0</v>
      </c>
      <c r="C34" s="3036" t="s">
        <v>3040</v>
      </c>
      <c r="D34" s="2915" t="s">
        <v>3049</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1915</v>
      </c>
      <c r="B35" s="115">
        <v>200</v>
      </c>
      <c r="C35" s="3036" t="s">
        <v>3041</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1916</v>
      </c>
      <c r="B36" s="119">
        <v>1.4999999999999999E-2</v>
      </c>
      <c r="C36" s="3036" t="s">
        <v>3042</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1917</v>
      </c>
      <c r="B37" s="120">
        <v>0.02</v>
      </c>
      <c r="C37" s="3036" t="s">
        <v>3043</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1918</v>
      </c>
      <c r="B38" s="118">
        <v>0.02</v>
      </c>
      <c r="C38" s="3036" t="s">
        <v>3043</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1919</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1920</v>
      </c>
      <c r="B40" s="1210">
        <f ca="1">存贷款利率!G1</f>
        <v>4.7500000000000001E-2</v>
      </c>
      <c r="C40" s="3036" t="s">
        <v>3044</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1921</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1922</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1923</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1924</v>
      </c>
      <c r="B44" s="124">
        <v>7.0000000000000007E-2</v>
      </c>
      <c r="C44" s="3036" t="s">
        <v>3053</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1925</v>
      </c>
      <c r="B45" s="122">
        <v>0.03</v>
      </c>
      <c r="C45" s="3035" t="s">
        <v>3045</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1926</v>
      </c>
      <c r="B46" s="122">
        <v>0.02</v>
      </c>
      <c r="C46" s="3035" t="s">
        <v>3046</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1927</v>
      </c>
      <c r="B47" s="125"/>
      <c r="C47" s="3038" t="s">
        <v>3054</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1928</v>
      </c>
      <c r="B48" s="126">
        <v>0.04</v>
      </c>
      <c r="C48" s="3035" t="s">
        <v>3045</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1929</v>
      </c>
      <c r="B49" s="122">
        <v>5.0000000000000001E-4</v>
      </c>
      <c r="C49" s="3035" t="s">
        <v>3047</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1930</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1931</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1932</v>
      </c>
      <c r="B52" s="129">
        <f>SUMIF(A54:A63,B53,B54:B63)</f>
        <v>18</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1933</v>
      </c>
      <c r="B53" s="1926" t="s">
        <v>212</v>
      </c>
      <c r="C53" s="2890" t="s">
        <v>1934</v>
      </c>
      <c r="D53" s="3037" t="s">
        <v>3051</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1935</v>
      </c>
      <c r="B54" s="80">
        <v>18</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1936</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1937</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1938</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1939</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1940</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1941</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1942</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1943</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1944</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52" t="s">
        <v>3030</v>
      </c>
      <c r="B1" s="3153"/>
      <c r="C1" s="3153"/>
      <c r="D1" s="3153"/>
      <c r="E1" s="3153"/>
      <c r="F1" s="3153"/>
      <c r="G1" s="3153"/>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3025</v>
      </c>
      <c r="D2" s="2689"/>
      <c r="E2" s="2686"/>
      <c r="F2" s="2690"/>
      <c r="G2" s="2688" t="s">
        <v>3026</v>
      </c>
      <c r="H2" s="907"/>
      <c r="I2" s="907"/>
      <c r="J2" s="907"/>
      <c r="K2" s="907"/>
      <c r="L2" s="907"/>
      <c r="M2" s="907"/>
      <c r="N2" s="907"/>
      <c r="O2" s="907"/>
      <c r="P2" s="907"/>
      <c r="Q2" s="907"/>
      <c r="R2" s="907"/>
    </row>
    <row r="3" spans="1:29" ht="48">
      <c r="A3" s="2669" t="s">
        <v>3027</v>
      </c>
      <c r="B3" s="2691" t="s">
        <v>2996</v>
      </c>
      <c r="C3" s="2692" t="s">
        <v>3028</v>
      </c>
      <c r="D3" s="2693"/>
      <c r="E3" s="2670" t="s">
        <v>3027</v>
      </c>
      <c r="F3" s="2694" t="s">
        <v>2997</v>
      </c>
      <c r="G3" s="2695" t="s">
        <v>3029</v>
      </c>
      <c r="H3" s="907"/>
      <c r="I3" s="907"/>
      <c r="J3" s="907"/>
      <c r="K3" s="907"/>
      <c r="L3" s="907"/>
      <c r="M3" s="907"/>
      <c r="N3" s="907"/>
      <c r="O3" s="907"/>
      <c r="P3" s="907"/>
      <c r="Q3" s="907"/>
      <c r="R3" s="907"/>
    </row>
    <row r="4" spans="1:29" ht="36.75">
      <c r="A4" s="2670"/>
      <c r="B4" s="329" t="s">
        <v>2998</v>
      </c>
      <c r="C4" s="2696" t="s">
        <v>2999</v>
      </c>
      <c r="D4" s="2693"/>
      <c r="E4" s="2697"/>
      <c r="F4" s="1559" t="s">
        <v>3000</v>
      </c>
      <c r="G4" s="2698" t="s">
        <v>3001</v>
      </c>
      <c r="H4" s="907"/>
      <c r="I4" s="907"/>
      <c r="J4" s="907"/>
      <c r="K4" s="907"/>
      <c r="L4" s="907"/>
      <c r="M4" s="907"/>
      <c r="N4" s="907"/>
      <c r="O4" s="907"/>
      <c r="P4" s="907"/>
      <c r="Q4" s="907"/>
      <c r="R4" s="907"/>
    </row>
    <row r="5" spans="1:29" ht="36.75">
      <c r="A5" s="2670"/>
      <c r="B5" s="329" t="s">
        <v>3002</v>
      </c>
      <c r="C5" s="2696" t="s">
        <v>3003</v>
      </c>
      <c r="D5" s="2693"/>
      <c r="E5" s="2697"/>
      <c r="F5" s="329" t="s">
        <v>3004</v>
      </c>
      <c r="G5" s="2698" t="s">
        <v>3005</v>
      </c>
      <c r="H5" s="907"/>
      <c r="I5" s="907"/>
      <c r="J5" s="907"/>
      <c r="K5" s="907"/>
      <c r="L5" s="907"/>
      <c r="M5" s="907"/>
      <c r="N5" s="907"/>
      <c r="O5" s="907"/>
      <c r="P5" s="907"/>
      <c r="Q5" s="907"/>
      <c r="R5" s="907"/>
    </row>
    <row r="6" spans="1:29" ht="36">
      <c r="A6" s="2670"/>
      <c r="B6" s="329" t="s">
        <v>3006</v>
      </c>
      <c r="C6" s="2698" t="s">
        <v>3001</v>
      </c>
      <c r="D6" s="2693"/>
      <c r="E6" s="2697"/>
      <c r="F6" s="329" t="s">
        <v>3007</v>
      </c>
      <c r="G6" s="2698" t="s">
        <v>3008</v>
      </c>
      <c r="H6" s="907"/>
      <c r="I6" s="907"/>
      <c r="J6" s="907"/>
      <c r="K6" s="907"/>
      <c r="L6" s="907"/>
      <c r="M6" s="907"/>
      <c r="N6" s="907"/>
      <c r="O6" s="907"/>
      <c r="P6" s="907"/>
      <c r="Q6" s="907"/>
      <c r="R6" s="907"/>
    </row>
    <row r="7" spans="1:29" ht="24.75" thickBot="1">
      <c r="A7" s="2670"/>
      <c r="B7" s="329" t="s">
        <v>3004</v>
      </c>
      <c r="C7" s="2698" t="s">
        <v>3005</v>
      </c>
      <c r="D7" s="2699"/>
      <c r="E7" s="2700"/>
      <c r="F7" s="2701" t="s">
        <v>3009</v>
      </c>
      <c r="G7" s="2702" t="s">
        <v>3010</v>
      </c>
      <c r="H7" s="907"/>
      <c r="I7" s="907"/>
      <c r="J7" s="907"/>
      <c r="K7" s="907"/>
      <c r="L7" s="907"/>
      <c r="M7" s="907"/>
      <c r="N7" s="907"/>
      <c r="O7" s="907"/>
      <c r="P7" s="907"/>
      <c r="Q7" s="907"/>
      <c r="R7" s="907"/>
    </row>
    <row r="8" spans="1:29">
      <c r="A8" s="2670"/>
      <c r="B8" s="329" t="s">
        <v>3007</v>
      </c>
      <c r="C8" s="2698" t="s">
        <v>3008</v>
      </c>
      <c r="D8" s="2699"/>
      <c r="E8" s="2699"/>
      <c r="F8" s="2703"/>
      <c r="G8" s="2703"/>
      <c r="H8" s="907"/>
      <c r="I8" s="907"/>
      <c r="J8" s="907"/>
      <c r="K8" s="907"/>
      <c r="L8" s="907"/>
      <c r="M8" s="907"/>
      <c r="N8" s="907"/>
      <c r="O8" s="907"/>
      <c r="P8" s="907"/>
      <c r="Q8" s="907"/>
      <c r="R8" s="907"/>
    </row>
    <row r="9" spans="1:29" ht="24">
      <c r="A9" s="2670"/>
      <c r="B9" s="329" t="s">
        <v>3011</v>
      </c>
      <c r="C9" s="2696" t="s">
        <v>3012</v>
      </c>
      <c r="D9" s="2693"/>
      <c r="E9" s="2699"/>
      <c r="F9" s="2703"/>
      <c r="G9" s="2703"/>
      <c r="H9" s="907"/>
      <c r="I9" s="907"/>
      <c r="J9" s="907"/>
      <c r="K9" s="907"/>
      <c r="L9" s="907"/>
      <c r="M9" s="907"/>
      <c r="N9" s="907"/>
      <c r="O9" s="907"/>
      <c r="P9" s="907"/>
      <c r="Q9" s="907"/>
      <c r="R9" s="907"/>
    </row>
    <row r="10" spans="1:29" s="2709" customFormat="1" ht="15" thickBot="1">
      <c r="A10" s="2671"/>
      <c r="B10" s="2704" t="s">
        <v>3013</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3031</v>
      </c>
      <c r="B13" s="2712"/>
      <c r="C13" s="2712"/>
      <c r="D13" s="2710"/>
      <c r="E13" s="2712"/>
      <c r="F13" s="2712"/>
      <c r="G13" s="2712"/>
    </row>
    <row r="14" spans="1:29" ht="15" thickBot="1">
      <c r="A14" s="2722"/>
      <c r="B14" s="2722"/>
      <c r="C14" s="2723" t="s">
        <v>3014</v>
      </c>
      <c r="D14" s="2693"/>
      <c r="E14" s="2724"/>
      <c r="F14" s="2724"/>
      <c r="G14" s="2688" t="s">
        <v>3015</v>
      </c>
    </row>
    <row r="15" spans="1:29" ht="51">
      <c r="A15" s="2672" t="s">
        <v>3016</v>
      </c>
      <c r="B15" s="2725" t="s">
        <v>2996</v>
      </c>
      <c r="C15" s="2726" t="str">
        <f>C3</f>
        <v>估价对象周边居住用地比例、居住小区规模和社区发展完善程度，综合评价居住社区成熟度一般</v>
      </c>
      <c r="D15" s="2693"/>
      <c r="E15" s="2673" t="s">
        <v>3017</v>
      </c>
      <c r="F15" s="2725" t="s">
        <v>3018</v>
      </c>
      <c r="G15" s="2727" t="str">
        <f>G3</f>
        <v>估价对象位于XX开发区，园区建设成熟度XX，产业集聚程度XX</v>
      </c>
    </row>
    <row r="16" spans="1:29" ht="38.25">
      <c r="A16" s="2674"/>
      <c r="B16" s="2728" t="s">
        <v>2998</v>
      </c>
      <c r="C16" s="2729" t="str">
        <f>C4</f>
        <v>估价对象位于XX商圈，周边商业氛围成熟，人流量大，商业繁华度好</v>
      </c>
      <c r="D16" s="2693"/>
      <c r="E16" s="2675"/>
      <c r="F16" s="2730" t="s">
        <v>3000</v>
      </c>
      <c r="G16" s="2731" t="str">
        <f>G4</f>
        <v>估价对象周边道路状况、公共交通通达情况、停车便捷程度，综合评价交通便捷度较好</v>
      </c>
    </row>
    <row r="17" spans="1:18" ht="38.25">
      <c r="A17" s="2674"/>
      <c r="B17" s="2728" t="s">
        <v>3002</v>
      </c>
      <c r="C17" s="2729" t="str">
        <f>C5</f>
        <v>估价对象位于XX商圈，周边办公楼项目较多，入驻率高，办公集聚程度较好</v>
      </c>
      <c r="D17" s="2699"/>
      <c r="E17" s="2675"/>
      <c r="F17" s="2730" t="s">
        <v>3019</v>
      </c>
      <c r="G17" s="2732"/>
    </row>
    <row r="18" spans="1:18" ht="38.25">
      <c r="A18" s="2674"/>
      <c r="B18" s="2730" t="s">
        <v>3006</v>
      </c>
      <c r="C18" s="2731" t="str">
        <f>C6</f>
        <v>估价对象周边道路状况、公共交通通达情况、停车便捷程度，综合评价交通便捷度较好</v>
      </c>
      <c r="D18" s="2699"/>
      <c r="E18" s="2675"/>
      <c r="F18" s="2730" t="s">
        <v>3009</v>
      </c>
      <c r="G18" s="2731" t="str">
        <f>G7</f>
        <v>该园区内是否有污染型企业，绿化情况，卫生条件，整体环境状况判断</v>
      </c>
    </row>
    <row r="19" spans="1:18" ht="25.5">
      <c r="A19" s="2674"/>
      <c r="B19" s="2730" t="s">
        <v>3020</v>
      </c>
      <c r="C19" s="2732"/>
      <c r="D19" s="2693"/>
      <c r="E19" s="2675"/>
      <c r="F19" s="329" t="s">
        <v>3004</v>
      </c>
      <c r="G19" s="2731" t="str">
        <f>G5</f>
        <v>估价对象所在区域公共配套设施齐备情况</v>
      </c>
    </row>
    <row r="20" spans="1:18" ht="25.5">
      <c r="A20" s="2674"/>
      <c r="B20" s="2730" t="s">
        <v>3021</v>
      </c>
      <c r="C20" s="2729" t="str">
        <f>C9</f>
        <v>区域自然环境：；人文环境；综合评价环境状况一般</v>
      </c>
      <c r="D20" s="2699"/>
      <c r="E20" s="2675"/>
      <c r="F20" s="329" t="s">
        <v>3007</v>
      </c>
      <c r="G20" s="2731" t="str">
        <f>G6</f>
        <v>估价对象所在区域基础设施水平</v>
      </c>
    </row>
    <row r="21" spans="1:18" ht="25.5">
      <c r="A21" s="2674"/>
      <c r="B21" s="329" t="s">
        <v>3004</v>
      </c>
      <c r="C21" s="2731" t="str">
        <f>C7</f>
        <v>估价对象所在区域公共配套设施齐备情况</v>
      </c>
      <c r="D21" s="2693"/>
      <c r="E21" s="2675"/>
      <c r="F21" s="2730" t="s">
        <v>3022</v>
      </c>
      <c r="G21" s="2733"/>
    </row>
    <row r="22" spans="1:18" ht="13.5" customHeight="1">
      <c r="A22" s="2674"/>
      <c r="B22" s="329" t="s">
        <v>3007</v>
      </c>
      <c r="C22" s="2731" t="str">
        <f>C8</f>
        <v>估价对象所在区域基础设施水平</v>
      </c>
      <c r="D22" s="2693"/>
      <c r="E22" s="2675"/>
      <c r="F22" s="2730" t="s">
        <v>3013</v>
      </c>
      <c r="G22" s="2732"/>
    </row>
    <row r="23" spans="1:18" s="907" customFormat="1" ht="15" thickBot="1">
      <c r="A23" s="2674"/>
      <c r="B23" s="2730" t="s">
        <v>3022</v>
      </c>
      <c r="C23" s="2733"/>
      <c r="D23" s="1929"/>
      <c r="E23" s="2676"/>
      <c r="F23" s="2734" t="s">
        <v>3023</v>
      </c>
      <c r="G23" s="2735"/>
      <c r="H23" s="2719"/>
      <c r="I23" s="2720"/>
      <c r="J23" s="2719"/>
      <c r="K23" s="2719"/>
      <c r="L23" s="2720"/>
      <c r="M23" s="2719"/>
      <c r="N23" s="2719"/>
      <c r="O23" s="2720"/>
      <c r="P23" s="2719"/>
      <c r="Q23" s="2719"/>
      <c r="R23" s="2721"/>
    </row>
    <row r="24" spans="1:18" s="907" customFormat="1" ht="15" thickBot="1">
      <c r="A24" s="2677"/>
      <c r="B24" s="2734" t="s">
        <v>3024</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3521-8437-4DD2-B0D1-026A69475547}">
  <dimension ref="A2:H24"/>
  <sheetViews>
    <sheetView workbookViewId="0">
      <selection activeCell="C27" sqref="C27"/>
    </sheetView>
  </sheetViews>
  <sheetFormatPr defaultRowHeight="13.5"/>
  <cols>
    <col min="1" max="1" width="9.25" bestFit="1" customWidth="1"/>
    <col min="2" max="2" width="12.125" customWidth="1"/>
    <col min="3" max="3" width="9.875" customWidth="1"/>
    <col min="4" max="4" width="12.75" bestFit="1" customWidth="1"/>
    <col min="5" max="5" width="12.625" customWidth="1"/>
  </cols>
  <sheetData>
    <row r="2" spans="1:8">
      <c r="A2" s="3045" t="s">
        <v>3059</v>
      </c>
    </row>
    <row r="3" spans="1:8">
      <c r="B3" s="3045" t="s">
        <v>3060</v>
      </c>
      <c r="C3" s="3045" t="s">
        <v>3061</v>
      </c>
      <c r="D3" s="3045" t="s">
        <v>3063</v>
      </c>
      <c r="E3" s="3045" t="s">
        <v>3064</v>
      </c>
      <c r="F3" s="3045" t="s">
        <v>3068</v>
      </c>
      <c r="G3" s="3045" t="s">
        <v>3065</v>
      </c>
      <c r="H3" s="3045" t="s">
        <v>3066</v>
      </c>
    </row>
    <row r="4" spans="1:8">
      <c r="A4">
        <v>12</v>
      </c>
      <c r="B4">
        <v>107262.19</v>
      </c>
      <c r="C4">
        <v>205726.29</v>
      </c>
      <c r="D4">
        <v>137758.29</v>
      </c>
      <c r="E4">
        <v>67968</v>
      </c>
      <c r="G4">
        <f>D4+E4-C4</f>
        <v>0</v>
      </c>
      <c r="H4">
        <f>D4/B4</f>
        <v>1.2843136057542737</v>
      </c>
    </row>
    <row r="5" spans="1:8">
      <c r="A5">
        <v>13</v>
      </c>
      <c r="B5">
        <v>16438.45</v>
      </c>
      <c r="C5">
        <v>124393</v>
      </c>
      <c r="D5">
        <v>93893</v>
      </c>
      <c r="E5">
        <v>30500</v>
      </c>
      <c r="G5">
        <f t="shared" ref="G5:G8" si="0">D5+E5-C5</f>
        <v>0</v>
      </c>
      <c r="H5">
        <f>D5/B5</f>
        <v>5.7117915618565007</v>
      </c>
    </row>
    <row r="6" spans="1:8">
      <c r="A6">
        <v>15</v>
      </c>
      <c r="B6">
        <v>26148.81</v>
      </c>
      <c r="C6">
        <v>229453.86</v>
      </c>
      <c r="D6">
        <v>169953.86</v>
      </c>
      <c r="E6">
        <v>59500</v>
      </c>
      <c r="G6">
        <f t="shared" si="0"/>
        <v>0</v>
      </c>
      <c r="H6">
        <f>D6/B6</f>
        <v>6.4994873571684515</v>
      </c>
    </row>
    <row r="7" spans="1:8">
      <c r="A7">
        <v>11</v>
      </c>
      <c r="B7">
        <v>143657.93</v>
      </c>
      <c r="C7">
        <v>125118.75</v>
      </c>
      <c r="D7">
        <v>97483.75</v>
      </c>
      <c r="E7">
        <v>27635</v>
      </c>
      <c r="G7">
        <f t="shared" si="0"/>
        <v>0</v>
      </c>
      <c r="H7">
        <f>D7/B7</f>
        <v>0.67858244929465439</v>
      </c>
    </row>
    <row r="8" spans="1:8">
      <c r="A8" s="3045" t="s">
        <v>3067</v>
      </c>
      <c r="B8">
        <f>SUM(B4:B7)</f>
        <v>293507.38</v>
      </c>
      <c r="C8">
        <f t="shared" ref="C8:E8" si="1">SUM(C4:C7)</f>
        <v>684691.9</v>
      </c>
      <c r="D8">
        <f>SUM(D4:D7)</f>
        <v>499088.9</v>
      </c>
      <c r="E8">
        <f t="shared" si="1"/>
        <v>185603</v>
      </c>
      <c r="G8">
        <f t="shared" si="0"/>
        <v>0</v>
      </c>
      <c r="H8">
        <f>D8/B8</f>
        <v>1.7004304968413402</v>
      </c>
    </row>
    <row r="9" spans="1:8">
      <c r="A9" s="3057" t="s">
        <v>3059</v>
      </c>
      <c r="B9">
        <f>B4+B5+B6</f>
        <v>149849.45000000001</v>
      </c>
      <c r="C9">
        <f>C4+C5+C6</f>
        <v>559573.15</v>
      </c>
      <c r="D9">
        <f t="shared" ref="D9:E9" si="2">D4+D5+D6</f>
        <v>401605.15</v>
      </c>
      <c r="E9">
        <f t="shared" si="2"/>
        <v>157968</v>
      </c>
    </row>
    <row r="10" spans="1:8">
      <c r="A10" s="3045"/>
    </row>
    <row r="11" spans="1:8">
      <c r="B11" s="3045" t="s">
        <v>3060</v>
      </c>
      <c r="C11" s="3045" t="s">
        <v>3061</v>
      </c>
      <c r="D11" s="3045" t="s">
        <v>3063</v>
      </c>
      <c r="E11" s="3045" t="s">
        <v>3064</v>
      </c>
      <c r="F11" s="3045" t="s">
        <v>3068</v>
      </c>
      <c r="G11" s="3045" t="s">
        <v>3065</v>
      </c>
      <c r="H11" s="3045" t="s">
        <v>3066</v>
      </c>
    </row>
    <row r="12" spans="1:8">
      <c r="A12" s="3045" t="s">
        <v>3069</v>
      </c>
      <c r="B12">
        <v>143657.93</v>
      </c>
      <c r="C12">
        <v>136714.97</v>
      </c>
      <c r="D12">
        <v>92883.91</v>
      </c>
      <c r="E12">
        <v>43831.06</v>
      </c>
      <c r="F12">
        <v>89218.47</v>
      </c>
      <c r="H12">
        <f>D12/B12</f>
        <v>0.64656305433330419</v>
      </c>
    </row>
    <row r="13" spans="1:8">
      <c r="A13" s="3045" t="s">
        <v>3070</v>
      </c>
      <c r="B13">
        <v>75128.28</v>
      </c>
      <c r="H13">
        <v>0.62</v>
      </c>
    </row>
    <row r="14" spans="1:8">
      <c r="A14" s="3045" t="s">
        <v>3071</v>
      </c>
      <c r="B14">
        <v>17755.63</v>
      </c>
      <c r="C14">
        <f>B13+B14</f>
        <v>92883.91</v>
      </c>
    </row>
    <row r="15" spans="1:8">
      <c r="A15" s="3045" t="s">
        <v>3072</v>
      </c>
      <c r="B15">
        <v>1329</v>
      </c>
    </row>
    <row r="18" spans="1:7">
      <c r="A18" s="3045" t="s">
        <v>3591</v>
      </c>
      <c r="B18">
        <f>B19-B12</f>
        <v>153925.47000000003</v>
      </c>
      <c r="D18">
        <f>'11期具体面积表'!K4+'11期具体面积表'!K6</f>
        <v>90262.89</v>
      </c>
    </row>
    <row r="19" spans="1:7">
      <c r="A19" s="3045" t="s">
        <v>3060</v>
      </c>
      <c r="B19">
        <v>297583.40000000002</v>
      </c>
      <c r="C19">
        <f>B19*1.65</f>
        <v>491012.61</v>
      </c>
      <c r="D19">
        <f>C19-D18</f>
        <v>400749.72</v>
      </c>
      <c r="F19" s="3045"/>
    </row>
    <row r="20" spans="1:7">
      <c r="A20" s="3058"/>
      <c r="B20" s="3058" t="s">
        <v>3608</v>
      </c>
      <c r="C20" s="3058" t="s">
        <v>3061</v>
      </c>
      <c r="D20" s="3058" t="s">
        <v>3609</v>
      </c>
      <c r="E20" s="3058" t="s">
        <v>3610</v>
      </c>
      <c r="F20" s="3058" t="s">
        <v>3064</v>
      </c>
      <c r="G20" s="3058" t="s">
        <v>3066</v>
      </c>
    </row>
    <row r="21" spans="1:7">
      <c r="A21" s="3059">
        <v>12</v>
      </c>
      <c r="B21" s="3059">
        <f>ROUND(B4/$B$9*$B$18,2)</f>
        <v>110179.8</v>
      </c>
      <c r="C21" s="3059">
        <f>D21+E21+F21</f>
        <v>205726.29</v>
      </c>
      <c r="D21" s="3059">
        <f>ROUND(D4/$D$9*$D$19,2)</f>
        <v>137464.85999999999</v>
      </c>
      <c r="E21" s="3059">
        <f>D4-D21</f>
        <v>293.43000000002212</v>
      </c>
      <c r="F21" s="3059">
        <f>E4</f>
        <v>67968</v>
      </c>
      <c r="G21" s="3059">
        <f>ROUND(D21/B21,2)</f>
        <v>1.25</v>
      </c>
    </row>
    <row r="22" spans="1:7">
      <c r="A22" s="3059">
        <v>13</v>
      </c>
      <c r="B22" s="3059">
        <f t="shared" ref="B22" si="3">ROUND(B5/$B$9*$B$18,2)</f>
        <v>16885.59</v>
      </c>
      <c r="C22" s="3059">
        <f t="shared" ref="C22" si="4">D22+E22+F22</f>
        <v>124393</v>
      </c>
      <c r="D22" s="3059">
        <f t="shared" ref="D22" si="5">ROUND(D5/$D$9*$D$19,2)</f>
        <v>93693.01</v>
      </c>
      <c r="E22" s="3059">
        <f t="shared" ref="E22" si="6">D5-D22</f>
        <v>199.99000000000524</v>
      </c>
      <c r="F22" s="3059">
        <f>E5</f>
        <v>30500</v>
      </c>
      <c r="G22" s="3059">
        <f t="shared" ref="G22:G23" si="7">ROUND(D22/B22,2)</f>
        <v>5.55</v>
      </c>
    </row>
    <row r="23" spans="1:7">
      <c r="A23" s="3059">
        <v>15</v>
      </c>
      <c r="B23" s="3058">
        <f>B18-B21-B22</f>
        <v>26860.080000000027</v>
      </c>
      <c r="C23" s="3059">
        <f>D23+E23+F23</f>
        <v>229453.86</v>
      </c>
      <c r="D23" s="3059">
        <f>D19-D21-D22</f>
        <v>169591.84999999998</v>
      </c>
      <c r="E23" s="3059">
        <f>D6-D23</f>
        <v>362.01000000000931</v>
      </c>
      <c r="F23" s="3059">
        <f>E6</f>
        <v>59500</v>
      </c>
      <c r="G23" s="3059">
        <f t="shared" si="7"/>
        <v>6.31</v>
      </c>
    </row>
    <row r="24" spans="1:7">
      <c r="A24" s="3058" t="s">
        <v>3067</v>
      </c>
      <c r="B24" s="3059">
        <f>SUM(B21:B23)</f>
        <v>153925.47000000003</v>
      </c>
      <c r="C24" s="3059">
        <f>SUM(C21:C23)</f>
        <v>559573.15</v>
      </c>
      <c r="D24" s="3059">
        <f t="shared" ref="D24:F24" si="8">SUM(D21:D23)</f>
        <v>400749.72</v>
      </c>
      <c r="E24" s="3059">
        <f t="shared" si="8"/>
        <v>855.43000000003667</v>
      </c>
      <c r="F24" s="3059">
        <f t="shared" si="8"/>
        <v>157968</v>
      </c>
      <c r="G24" s="3059"/>
    </row>
  </sheetData>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73FDB-D969-4285-BBEC-A1AC1CA96BA2}">
  <dimension ref="A1:L515"/>
  <sheetViews>
    <sheetView workbookViewId="0">
      <selection activeCell="K2" sqref="K2"/>
    </sheetView>
  </sheetViews>
  <sheetFormatPr defaultRowHeight="13.5"/>
  <cols>
    <col min="1" max="1" width="5" style="3045" customWidth="1"/>
    <col min="2" max="2" width="31.125" style="3045" hidden="1" customWidth="1"/>
    <col min="3" max="3" width="21.75" style="3045" customWidth="1"/>
    <col min="4" max="4" width="24.625" style="3045" customWidth="1"/>
    <col min="5" max="5" width="14.25" style="3045" customWidth="1"/>
    <col min="6" max="6" width="10.875" style="3045" customWidth="1"/>
    <col min="7" max="7" width="19.75" style="3045" customWidth="1"/>
    <col min="8" max="8" width="16.75" style="3045" customWidth="1"/>
    <col min="9" max="9" width="16.875" style="3045" hidden="1" customWidth="1"/>
    <col min="10" max="10" width="22.5" style="3045" customWidth="1"/>
    <col min="11" max="29" width="17.75" style="3045" customWidth="1"/>
    <col min="30" max="16384" width="9" style="3045"/>
  </cols>
  <sheetData>
    <row r="1" spans="1:11" ht="25.5">
      <c r="A1" s="3156" t="s">
        <v>3073</v>
      </c>
      <c r="B1" s="3157"/>
      <c r="C1" s="3157"/>
      <c r="D1" s="3157"/>
      <c r="E1" s="3157"/>
      <c r="F1" s="3157"/>
      <c r="G1" s="3157"/>
      <c r="H1" s="3157"/>
      <c r="I1" s="3158"/>
    </row>
    <row r="2" spans="1:11" ht="22.5" customHeight="1">
      <c r="A2" s="3046" t="s">
        <v>3074</v>
      </c>
      <c r="B2" s="3047" t="s">
        <v>3075</v>
      </c>
      <c r="C2" s="3047" t="s">
        <v>3076</v>
      </c>
      <c r="D2" s="3047" t="s">
        <v>3077</v>
      </c>
      <c r="E2" s="3047" t="s">
        <v>3078</v>
      </c>
      <c r="F2" s="3047" t="s">
        <v>3079</v>
      </c>
      <c r="G2" s="3047" t="s">
        <v>3080</v>
      </c>
      <c r="H2" s="3047" t="s">
        <v>3081</v>
      </c>
      <c r="I2" s="3047" t="s">
        <v>3082</v>
      </c>
      <c r="J2" s="3048" t="s">
        <v>3083</v>
      </c>
      <c r="K2" s="3045">
        <f>SUM(H3:H483)</f>
        <v>75498.789999999994</v>
      </c>
    </row>
    <row r="3" spans="1:11" ht="22.5" hidden="1" customHeight="1">
      <c r="A3" s="3046">
        <v>1</v>
      </c>
      <c r="B3" s="3047" t="s">
        <v>3084</v>
      </c>
      <c r="C3" s="3047" t="s">
        <v>3085</v>
      </c>
      <c r="D3" s="3047">
        <v>101</v>
      </c>
      <c r="E3" s="3047" t="s">
        <v>3086</v>
      </c>
      <c r="F3" s="3047" t="s">
        <v>3087</v>
      </c>
      <c r="G3" s="3047">
        <v>200.46</v>
      </c>
      <c r="H3" s="3154">
        <v>429.57</v>
      </c>
      <c r="I3" s="3047" t="s">
        <v>3088</v>
      </c>
      <c r="J3" s="3049" t="s">
        <v>3089</v>
      </c>
      <c r="K3" s="3055">
        <f>SUM(H484:H512)</f>
        <v>13829.859999999995</v>
      </c>
    </row>
    <row r="4" spans="1:11" ht="22.5" hidden="1" customHeight="1">
      <c r="A4" s="3046">
        <f>A3+1</f>
        <v>2</v>
      </c>
      <c r="B4" s="3047" t="s">
        <v>3084</v>
      </c>
      <c r="C4" s="3047" t="s">
        <v>3085</v>
      </c>
      <c r="D4" s="3047">
        <v>102</v>
      </c>
      <c r="E4" s="3047" t="str">
        <f>E3</f>
        <v>产权式酒店</v>
      </c>
      <c r="F4" s="3047" t="str">
        <f>F3</f>
        <v>钢混</v>
      </c>
      <c r="G4" s="3047">
        <v>200.46</v>
      </c>
      <c r="H4" s="3155"/>
      <c r="I4" s="3047" t="s">
        <v>3088</v>
      </c>
      <c r="K4" s="3045">
        <f>SUM(K2:K3)</f>
        <v>89328.65</v>
      </c>
    </row>
    <row r="5" spans="1:11" ht="22.5" hidden="1" customHeight="1">
      <c r="A5" s="3046">
        <f t="shared" ref="A5:A68" si="0">A4+1</f>
        <v>3</v>
      </c>
      <c r="B5" s="3047" t="s">
        <v>3084</v>
      </c>
      <c r="C5" s="3050" t="s">
        <v>3090</v>
      </c>
      <c r="D5" s="3050">
        <v>101</v>
      </c>
      <c r="E5" s="3050" t="str">
        <f t="shared" ref="E5:F20" si="1">E4</f>
        <v>产权式酒店</v>
      </c>
      <c r="F5" s="3050" t="str">
        <f t="shared" si="1"/>
        <v>钢混</v>
      </c>
      <c r="G5" s="3050">
        <v>200.46</v>
      </c>
      <c r="H5" s="3154">
        <f>H3</f>
        <v>429.57</v>
      </c>
      <c r="I5" s="3047" t="s">
        <v>3088</v>
      </c>
      <c r="J5" s="3045" t="s">
        <v>3583</v>
      </c>
    </row>
    <row r="6" spans="1:11" ht="22.5" hidden="1" customHeight="1">
      <c r="A6" s="3046">
        <f t="shared" si="0"/>
        <v>4</v>
      </c>
      <c r="B6" s="3047" t="s">
        <v>3084</v>
      </c>
      <c r="C6" s="3047" t="s">
        <v>3090</v>
      </c>
      <c r="D6" s="3047">
        <v>102</v>
      </c>
      <c r="E6" s="3047" t="str">
        <f t="shared" si="1"/>
        <v>产权式酒店</v>
      </c>
      <c r="F6" s="3047" t="str">
        <f t="shared" si="1"/>
        <v>钢混</v>
      </c>
      <c r="G6" s="3047">
        <v>200.46</v>
      </c>
      <c r="H6" s="3155"/>
      <c r="I6" s="3047" t="s">
        <v>3088</v>
      </c>
      <c r="J6" s="3054" t="s">
        <v>3584</v>
      </c>
      <c r="K6" s="3045">
        <f>K500</f>
        <v>934.24</v>
      </c>
    </row>
    <row r="7" spans="1:11" ht="22.5" hidden="1" customHeight="1">
      <c r="A7" s="3046">
        <f t="shared" si="0"/>
        <v>5</v>
      </c>
      <c r="B7" s="3047" t="s">
        <v>3084</v>
      </c>
      <c r="C7" s="3047" t="s">
        <v>3091</v>
      </c>
      <c r="D7" s="3047">
        <v>101</v>
      </c>
      <c r="E7" s="3047" t="str">
        <f t="shared" si="1"/>
        <v>产权式酒店</v>
      </c>
      <c r="F7" s="3047" t="str">
        <f t="shared" si="1"/>
        <v>钢混</v>
      </c>
      <c r="G7" s="3047">
        <v>200.46</v>
      </c>
      <c r="H7" s="3154">
        <f>H5</f>
        <v>429.57</v>
      </c>
      <c r="I7" s="3047" t="s">
        <v>3088</v>
      </c>
      <c r="J7" s="3054" t="s">
        <v>3585</v>
      </c>
      <c r="K7" s="3045">
        <f>K506</f>
        <v>548.35</v>
      </c>
    </row>
    <row r="8" spans="1:11" ht="22.5" hidden="1" customHeight="1">
      <c r="A8" s="3046">
        <f t="shared" si="0"/>
        <v>6</v>
      </c>
      <c r="B8" s="3047" t="s">
        <v>3084</v>
      </c>
      <c r="C8" s="3047" t="s">
        <v>3091</v>
      </c>
      <c r="D8" s="3047">
        <v>102</v>
      </c>
      <c r="E8" s="3047" t="str">
        <f t="shared" si="1"/>
        <v>产权式酒店</v>
      </c>
      <c r="F8" s="3047" t="str">
        <f t="shared" si="1"/>
        <v>钢混</v>
      </c>
      <c r="G8" s="3047">
        <v>200.46</v>
      </c>
      <c r="H8" s="3155"/>
      <c r="I8" s="3047" t="s">
        <v>3088</v>
      </c>
    </row>
    <row r="9" spans="1:11" ht="22.5" hidden="1" customHeight="1">
      <c r="A9" s="3046">
        <f t="shared" si="0"/>
        <v>7</v>
      </c>
      <c r="B9" s="3047" t="s">
        <v>3084</v>
      </c>
      <c r="C9" s="3047" t="s">
        <v>3092</v>
      </c>
      <c r="D9" s="3047">
        <v>101</v>
      </c>
      <c r="E9" s="3047" t="str">
        <f t="shared" si="1"/>
        <v>产权式酒店</v>
      </c>
      <c r="F9" s="3047" t="str">
        <f t="shared" si="1"/>
        <v>钢混</v>
      </c>
      <c r="G9" s="3047">
        <v>200.46</v>
      </c>
      <c r="H9" s="3154">
        <f>H7</f>
        <v>429.57</v>
      </c>
      <c r="I9" s="3047" t="s">
        <v>3088</v>
      </c>
      <c r="J9" s="3045" t="s">
        <v>3586</v>
      </c>
      <c r="K9" s="3055">
        <f>ROUND(K3/0.62,2)</f>
        <v>22306.23</v>
      </c>
    </row>
    <row r="10" spans="1:11" ht="22.5" hidden="1" customHeight="1">
      <c r="A10" s="3046">
        <f t="shared" si="0"/>
        <v>8</v>
      </c>
      <c r="B10" s="3047" t="s">
        <v>3084</v>
      </c>
      <c r="C10" s="3047" t="s">
        <v>3092</v>
      </c>
      <c r="D10" s="3047">
        <v>102</v>
      </c>
      <c r="E10" s="3047" t="str">
        <f t="shared" si="1"/>
        <v>产权式酒店</v>
      </c>
      <c r="F10" s="3047" t="str">
        <f t="shared" si="1"/>
        <v>钢混</v>
      </c>
      <c r="G10" s="3047">
        <v>200.46</v>
      </c>
      <c r="H10" s="3155"/>
      <c r="I10" s="3047" t="s">
        <v>3088</v>
      </c>
    </row>
    <row r="11" spans="1:11" ht="22.5" hidden="1" customHeight="1">
      <c r="A11" s="3046">
        <f t="shared" si="0"/>
        <v>9</v>
      </c>
      <c r="B11" s="3047" t="s">
        <v>3084</v>
      </c>
      <c r="C11" s="3047" t="s">
        <v>3093</v>
      </c>
      <c r="D11" s="3047">
        <v>101</v>
      </c>
      <c r="E11" s="3047" t="str">
        <f t="shared" si="1"/>
        <v>产权式酒店</v>
      </c>
      <c r="F11" s="3047" t="str">
        <f t="shared" si="1"/>
        <v>钢混</v>
      </c>
      <c r="G11" s="3047">
        <v>200.46</v>
      </c>
      <c r="H11" s="3154">
        <f>H9</f>
        <v>429.57</v>
      </c>
      <c r="I11" s="3047" t="s">
        <v>3088</v>
      </c>
    </row>
    <row r="12" spans="1:11" ht="22.5" hidden="1" customHeight="1">
      <c r="A12" s="3046">
        <f t="shared" si="0"/>
        <v>10</v>
      </c>
      <c r="B12" s="3047" t="s">
        <v>3084</v>
      </c>
      <c r="C12" s="3047" t="s">
        <v>3093</v>
      </c>
      <c r="D12" s="3047">
        <v>102</v>
      </c>
      <c r="E12" s="3047" t="str">
        <f t="shared" si="1"/>
        <v>产权式酒店</v>
      </c>
      <c r="F12" s="3047" t="str">
        <f t="shared" si="1"/>
        <v>钢混</v>
      </c>
      <c r="G12" s="3047">
        <v>200.46</v>
      </c>
      <c r="H12" s="3155"/>
      <c r="I12" s="3047" t="s">
        <v>3088</v>
      </c>
    </row>
    <row r="13" spans="1:11" ht="22.5" hidden="1" customHeight="1">
      <c r="A13" s="3046">
        <f t="shared" si="0"/>
        <v>11</v>
      </c>
      <c r="B13" s="3047" t="s">
        <v>3084</v>
      </c>
      <c r="C13" s="3047" t="s">
        <v>3094</v>
      </c>
      <c r="D13" s="3047">
        <v>101</v>
      </c>
      <c r="E13" s="3047" t="str">
        <f t="shared" si="1"/>
        <v>产权式酒店</v>
      </c>
      <c r="F13" s="3047" t="str">
        <f t="shared" si="1"/>
        <v>钢混</v>
      </c>
      <c r="G13" s="3047">
        <v>200.46</v>
      </c>
      <c r="H13" s="3154">
        <f>H11</f>
        <v>429.57</v>
      </c>
      <c r="I13" s="3047" t="s">
        <v>3088</v>
      </c>
    </row>
    <row r="14" spans="1:11" ht="22.5" hidden="1" customHeight="1">
      <c r="A14" s="3046">
        <f t="shared" si="0"/>
        <v>12</v>
      </c>
      <c r="B14" s="3047" t="s">
        <v>3084</v>
      </c>
      <c r="C14" s="3047" t="s">
        <v>3094</v>
      </c>
      <c r="D14" s="3047">
        <v>102</v>
      </c>
      <c r="E14" s="3047" t="str">
        <f t="shared" si="1"/>
        <v>产权式酒店</v>
      </c>
      <c r="F14" s="3047" t="str">
        <f t="shared" si="1"/>
        <v>钢混</v>
      </c>
      <c r="G14" s="3047">
        <v>200.46</v>
      </c>
      <c r="H14" s="3155"/>
      <c r="I14" s="3047" t="s">
        <v>3088</v>
      </c>
    </row>
    <row r="15" spans="1:11" ht="22.5" hidden="1" customHeight="1">
      <c r="A15" s="3046">
        <f t="shared" si="0"/>
        <v>13</v>
      </c>
      <c r="B15" s="3047" t="s">
        <v>3084</v>
      </c>
      <c r="C15" s="3047" t="s">
        <v>3095</v>
      </c>
      <c r="D15" s="3047">
        <v>101</v>
      </c>
      <c r="E15" s="3047" t="str">
        <f t="shared" si="1"/>
        <v>产权式酒店</v>
      </c>
      <c r="F15" s="3047" t="str">
        <f t="shared" si="1"/>
        <v>钢混</v>
      </c>
      <c r="G15" s="3047">
        <v>200.46</v>
      </c>
      <c r="H15" s="3154">
        <f>H13</f>
        <v>429.57</v>
      </c>
      <c r="I15" s="3047" t="s">
        <v>3088</v>
      </c>
    </row>
    <row r="16" spans="1:11" ht="22.5" hidden="1" customHeight="1">
      <c r="A16" s="3046">
        <f t="shared" si="0"/>
        <v>14</v>
      </c>
      <c r="B16" s="3047" t="s">
        <v>3084</v>
      </c>
      <c r="C16" s="3047" t="s">
        <v>3095</v>
      </c>
      <c r="D16" s="3047">
        <v>102</v>
      </c>
      <c r="E16" s="3047" t="str">
        <f t="shared" si="1"/>
        <v>产权式酒店</v>
      </c>
      <c r="F16" s="3047" t="str">
        <f t="shared" si="1"/>
        <v>钢混</v>
      </c>
      <c r="G16" s="3047">
        <v>200.46</v>
      </c>
      <c r="H16" s="3155"/>
      <c r="I16" s="3047" t="s">
        <v>3088</v>
      </c>
    </row>
    <row r="17" spans="1:9" ht="22.5" hidden="1" customHeight="1">
      <c r="A17" s="3046">
        <f t="shared" si="0"/>
        <v>15</v>
      </c>
      <c r="B17" s="3047" t="s">
        <v>3084</v>
      </c>
      <c r="C17" s="3047" t="s">
        <v>3096</v>
      </c>
      <c r="D17" s="3047">
        <v>101</v>
      </c>
      <c r="E17" s="3047" t="str">
        <f t="shared" si="1"/>
        <v>产权式酒店</v>
      </c>
      <c r="F17" s="3047" t="str">
        <f t="shared" si="1"/>
        <v>钢混</v>
      </c>
      <c r="G17" s="3047">
        <v>200.31</v>
      </c>
      <c r="H17" s="3154">
        <v>426.9</v>
      </c>
      <c r="I17" s="3047" t="s">
        <v>3088</v>
      </c>
    </row>
    <row r="18" spans="1:9" ht="22.5" hidden="1" customHeight="1">
      <c r="A18" s="3046">
        <f t="shared" si="0"/>
        <v>16</v>
      </c>
      <c r="B18" s="3047" t="s">
        <v>3084</v>
      </c>
      <c r="C18" s="3047" t="s">
        <v>3096</v>
      </c>
      <c r="D18" s="3047">
        <v>102</v>
      </c>
      <c r="E18" s="3047" t="str">
        <f t="shared" si="1"/>
        <v>产权式酒店</v>
      </c>
      <c r="F18" s="3047" t="str">
        <f t="shared" si="1"/>
        <v>钢混</v>
      </c>
      <c r="G18" s="3047">
        <v>200.31</v>
      </c>
      <c r="H18" s="3155"/>
      <c r="I18" s="3047" t="s">
        <v>3088</v>
      </c>
    </row>
    <row r="19" spans="1:9" ht="22.5" hidden="1" customHeight="1">
      <c r="A19" s="3046">
        <f t="shared" si="0"/>
        <v>17</v>
      </c>
      <c r="B19" s="3047" t="s">
        <v>3084</v>
      </c>
      <c r="C19" s="3047" t="s">
        <v>3097</v>
      </c>
      <c r="D19" s="3047">
        <v>101</v>
      </c>
      <c r="E19" s="3047" t="str">
        <f t="shared" si="1"/>
        <v>产权式酒店</v>
      </c>
      <c r="F19" s="3047" t="str">
        <f t="shared" si="1"/>
        <v>钢混</v>
      </c>
      <c r="G19" s="3047">
        <v>200.31</v>
      </c>
      <c r="H19" s="3154">
        <f>H17</f>
        <v>426.9</v>
      </c>
      <c r="I19" s="3047" t="s">
        <v>3088</v>
      </c>
    </row>
    <row r="20" spans="1:9" ht="22.5" hidden="1" customHeight="1">
      <c r="A20" s="3046">
        <f t="shared" si="0"/>
        <v>18</v>
      </c>
      <c r="B20" s="3047" t="s">
        <v>3084</v>
      </c>
      <c r="C20" s="3050" t="s">
        <v>3097</v>
      </c>
      <c r="D20" s="3050">
        <v>102</v>
      </c>
      <c r="E20" s="3050" t="str">
        <f t="shared" si="1"/>
        <v>产权式酒店</v>
      </c>
      <c r="F20" s="3050" t="str">
        <f t="shared" si="1"/>
        <v>钢混</v>
      </c>
      <c r="G20" s="3050">
        <v>200.31</v>
      </c>
      <c r="H20" s="3155"/>
      <c r="I20" s="3047" t="s">
        <v>3088</v>
      </c>
    </row>
    <row r="21" spans="1:9" ht="22.5" hidden="1" customHeight="1">
      <c r="A21" s="3046">
        <f t="shared" si="0"/>
        <v>19</v>
      </c>
      <c r="B21" s="3047" t="s">
        <v>3084</v>
      </c>
      <c r="C21" s="3047" t="s">
        <v>3098</v>
      </c>
      <c r="D21" s="3047">
        <v>101</v>
      </c>
      <c r="E21" s="3047" t="str">
        <f t="shared" ref="E21:F36" si="2">E20</f>
        <v>产权式酒店</v>
      </c>
      <c r="F21" s="3047" t="str">
        <f t="shared" si="2"/>
        <v>钢混</v>
      </c>
      <c r="G21" s="3047">
        <v>200.31</v>
      </c>
      <c r="H21" s="3154">
        <f t="shared" ref="H21" si="3">H19</f>
        <v>426.9</v>
      </c>
      <c r="I21" s="3047" t="s">
        <v>3088</v>
      </c>
    </row>
    <row r="22" spans="1:9" ht="22.5" hidden="1" customHeight="1">
      <c r="A22" s="3046">
        <f t="shared" si="0"/>
        <v>20</v>
      </c>
      <c r="B22" s="3047" t="s">
        <v>3084</v>
      </c>
      <c r="C22" s="3047" t="s">
        <v>3098</v>
      </c>
      <c r="D22" s="3047">
        <v>102</v>
      </c>
      <c r="E22" s="3047" t="str">
        <f t="shared" si="2"/>
        <v>产权式酒店</v>
      </c>
      <c r="F22" s="3047" t="str">
        <f t="shared" si="2"/>
        <v>钢混</v>
      </c>
      <c r="G22" s="3047">
        <v>200.31</v>
      </c>
      <c r="H22" s="3155"/>
      <c r="I22" s="3047" t="s">
        <v>3088</v>
      </c>
    </row>
    <row r="23" spans="1:9" ht="22.5" hidden="1" customHeight="1">
      <c r="A23" s="3046">
        <f t="shared" si="0"/>
        <v>21</v>
      </c>
      <c r="B23" s="3047" t="s">
        <v>3084</v>
      </c>
      <c r="C23" s="3047" t="s">
        <v>3099</v>
      </c>
      <c r="D23" s="3047">
        <v>101</v>
      </c>
      <c r="E23" s="3047" t="str">
        <f t="shared" si="2"/>
        <v>产权式酒店</v>
      </c>
      <c r="F23" s="3047" t="str">
        <f t="shared" si="2"/>
        <v>钢混</v>
      </c>
      <c r="G23" s="3047">
        <v>200.31</v>
      </c>
      <c r="H23" s="3154">
        <f t="shared" ref="H23" si="4">H21</f>
        <v>426.9</v>
      </c>
      <c r="I23" s="3047" t="s">
        <v>3088</v>
      </c>
    </row>
    <row r="24" spans="1:9" ht="22.5" hidden="1" customHeight="1">
      <c r="A24" s="3046">
        <f t="shared" si="0"/>
        <v>22</v>
      </c>
      <c r="B24" s="3047" t="s">
        <v>3084</v>
      </c>
      <c r="C24" s="3047" t="s">
        <v>3099</v>
      </c>
      <c r="D24" s="3047">
        <v>102</v>
      </c>
      <c r="E24" s="3047" t="str">
        <f t="shared" si="2"/>
        <v>产权式酒店</v>
      </c>
      <c r="F24" s="3047" t="str">
        <f t="shared" si="2"/>
        <v>钢混</v>
      </c>
      <c r="G24" s="3047">
        <v>200.31</v>
      </c>
      <c r="H24" s="3155"/>
      <c r="I24" s="3047" t="s">
        <v>3088</v>
      </c>
    </row>
    <row r="25" spans="1:9" ht="22.5" hidden="1" customHeight="1">
      <c r="A25" s="3046">
        <f t="shared" si="0"/>
        <v>23</v>
      </c>
      <c r="B25" s="3047" t="s">
        <v>3084</v>
      </c>
      <c r="C25" s="3047" t="s">
        <v>3100</v>
      </c>
      <c r="D25" s="3047">
        <v>101</v>
      </c>
      <c r="E25" s="3047" t="str">
        <f t="shared" si="2"/>
        <v>产权式酒店</v>
      </c>
      <c r="F25" s="3047" t="str">
        <f t="shared" si="2"/>
        <v>钢混</v>
      </c>
      <c r="G25" s="3047">
        <v>200.31</v>
      </c>
      <c r="H25" s="3154">
        <f t="shared" ref="H25" si="5">H23</f>
        <v>426.9</v>
      </c>
      <c r="I25" s="3047" t="s">
        <v>3088</v>
      </c>
    </row>
    <row r="26" spans="1:9" ht="22.5" hidden="1" customHeight="1">
      <c r="A26" s="3046">
        <f t="shared" si="0"/>
        <v>24</v>
      </c>
      <c r="B26" s="3047" t="s">
        <v>3084</v>
      </c>
      <c r="C26" s="3047" t="s">
        <v>3100</v>
      </c>
      <c r="D26" s="3047">
        <v>102</v>
      </c>
      <c r="E26" s="3047" t="str">
        <f t="shared" si="2"/>
        <v>产权式酒店</v>
      </c>
      <c r="F26" s="3047" t="str">
        <f t="shared" si="2"/>
        <v>钢混</v>
      </c>
      <c r="G26" s="3047">
        <v>200.31</v>
      </c>
      <c r="H26" s="3155"/>
      <c r="I26" s="3047" t="s">
        <v>3088</v>
      </c>
    </row>
    <row r="27" spans="1:9" ht="22.5" hidden="1" customHeight="1">
      <c r="A27" s="3046">
        <f t="shared" si="0"/>
        <v>25</v>
      </c>
      <c r="B27" s="3047" t="s">
        <v>3084</v>
      </c>
      <c r="C27" s="3047" t="s">
        <v>3101</v>
      </c>
      <c r="D27" s="3047">
        <v>101</v>
      </c>
      <c r="E27" s="3047" t="str">
        <f t="shared" si="2"/>
        <v>产权式酒店</v>
      </c>
      <c r="F27" s="3047" t="str">
        <f t="shared" si="2"/>
        <v>钢混</v>
      </c>
      <c r="G27" s="3047">
        <v>200.31</v>
      </c>
      <c r="H27" s="3154">
        <f t="shared" ref="H27" si="6">H25</f>
        <v>426.9</v>
      </c>
      <c r="I27" s="3047" t="s">
        <v>3088</v>
      </c>
    </row>
    <row r="28" spans="1:9" ht="22.5" hidden="1" customHeight="1">
      <c r="A28" s="3046">
        <f t="shared" si="0"/>
        <v>26</v>
      </c>
      <c r="B28" s="3047" t="s">
        <v>3084</v>
      </c>
      <c r="C28" s="3047" t="s">
        <v>3101</v>
      </c>
      <c r="D28" s="3047">
        <v>102</v>
      </c>
      <c r="E28" s="3047" t="str">
        <f t="shared" si="2"/>
        <v>产权式酒店</v>
      </c>
      <c r="F28" s="3047" t="str">
        <f t="shared" si="2"/>
        <v>钢混</v>
      </c>
      <c r="G28" s="3047">
        <v>200.31</v>
      </c>
      <c r="H28" s="3155"/>
      <c r="I28" s="3047" t="s">
        <v>3088</v>
      </c>
    </row>
    <row r="29" spans="1:9" ht="22.5" hidden="1" customHeight="1">
      <c r="A29" s="3046">
        <f t="shared" si="0"/>
        <v>27</v>
      </c>
      <c r="B29" s="3047" t="s">
        <v>3084</v>
      </c>
      <c r="C29" s="3047" t="s">
        <v>3102</v>
      </c>
      <c r="D29" s="3047">
        <v>101</v>
      </c>
      <c r="E29" s="3047" t="str">
        <f t="shared" si="2"/>
        <v>产权式酒店</v>
      </c>
      <c r="F29" s="3047" t="str">
        <f t="shared" si="2"/>
        <v>钢混</v>
      </c>
      <c r="G29" s="3047">
        <v>200.31</v>
      </c>
      <c r="H29" s="3154">
        <f t="shared" ref="H29" si="7">H27</f>
        <v>426.9</v>
      </c>
      <c r="I29" s="3047" t="s">
        <v>3088</v>
      </c>
    </row>
    <row r="30" spans="1:9" ht="22.5" hidden="1" customHeight="1">
      <c r="A30" s="3046">
        <f t="shared" si="0"/>
        <v>28</v>
      </c>
      <c r="B30" s="3047" t="s">
        <v>3084</v>
      </c>
      <c r="C30" s="3047" t="s">
        <v>3102</v>
      </c>
      <c r="D30" s="3047">
        <v>102</v>
      </c>
      <c r="E30" s="3047" t="str">
        <f t="shared" si="2"/>
        <v>产权式酒店</v>
      </c>
      <c r="F30" s="3047" t="str">
        <f t="shared" si="2"/>
        <v>钢混</v>
      </c>
      <c r="G30" s="3047">
        <v>200.31</v>
      </c>
      <c r="H30" s="3155"/>
      <c r="I30" s="3047" t="s">
        <v>3088</v>
      </c>
    </row>
    <row r="31" spans="1:9" ht="22.5" hidden="1" customHeight="1">
      <c r="A31" s="3046">
        <f t="shared" si="0"/>
        <v>29</v>
      </c>
      <c r="B31" s="3047" t="s">
        <v>3084</v>
      </c>
      <c r="C31" s="3047" t="s">
        <v>3103</v>
      </c>
      <c r="D31" s="3047">
        <v>101</v>
      </c>
      <c r="E31" s="3047" t="str">
        <f t="shared" si="2"/>
        <v>产权式酒店</v>
      </c>
      <c r="F31" s="3047" t="str">
        <f t="shared" si="2"/>
        <v>钢混</v>
      </c>
      <c r="G31" s="3047">
        <v>200.31</v>
      </c>
      <c r="H31" s="3154">
        <f t="shared" ref="H31" si="8">H29</f>
        <v>426.9</v>
      </c>
      <c r="I31" s="3047" t="s">
        <v>3088</v>
      </c>
    </row>
    <row r="32" spans="1:9" ht="22.5" hidden="1" customHeight="1">
      <c r="A32" s="3046">
        <f t="shared" si="0"/>
        <v>30</v>
      </c>
      <c r="B32" s="3047" t="s">
        <v>3084</v>
      </c>
      <c r="C32" s="3047" t="s">
        <v>3103</v>
      </c>
      <c r="D32" s="3047">
        <v>102</v>
      </c>
      <c r="E32" s="3047" t="str">
        <f t="shared" si="2"/>
        <v>产权式酒店</v>
      </c>
      <c r="F32" s="3047" t="str">
        <f t="shared" si="2"/>
        <v>钢混</v>
      </c>
      <c r="G32" s="3047">
        <v>200.31</v>
      </c>
      <c r="H32" s="3155"/>
      <c r="I32" s="3047" t="s">
        <v>3088</v>
      </c>
    </row>
    <row r="33" spans="1:9" ht="22.5" hidden="1" customHeight="1">
      <c r="A33" s="3046">
        <f t="shared" si="0"/>
        <v>31</v>
      </c>
      <c r="B33" s="3047" t="s">
        <v>3084</v>
      </c>
      <c r="C33" s="3047" t="s">
        <v>3104</v>
      </c>
      <c r="D33" s="3047">
        <v>101</v>
      </c>
      <c r="E33" s="3047" t="str">
        <f t="shared" si="2"/>
        <v>产权式酒店</v>
      </c>
      <c r="F33" s="3047" t="str">
        <f t="shared" si="2"/>
        <v>钢混</v>
      </c>
      <c r="G33" s="3047">
        <v>200.31</v>
      </c>
      <c r="H33" s="3154">
        <f t="shared" ref="H33" si="9">H31</f>
        <v>426.9</v>
      </c>
      <c r="I33" s="3047" t="s">
        <v>3088</v>
      </c>
    </row>
    <row r="34" spans="1:9" ht="22.5" hidden="1" customHeight="1">
      <c r="A34" s="3046">
        <f t="shared" si="0"/>
        <v>32</v>
      </c>
      <c r="B34" s="3047" t="s">
        <v>3084</v>
      </c>
      <c r="C34" s="3047" t="s">
        <v>3104</v>
      </c>
      <c r="D34" s="3047">
        <v>102</v>
      </c>
      <c r="E34" s="3047" t="str">
        <f t="shared" si="2"/>
        <v>产权式酒店</v>
      </c>
      <c r="F34" s="3047" t="str">
        <f t="shared" si="2"/>
        <v>钢混</v>
      </c>
      <c r="G34" s="3047">
        <v>200.31</v>
      </c>
      <c r="H34" s="3155"/>
      <c r="I34" s="3047" t="s">
        <v>3088</v>
      </c>
    </row>
    <row r="35" spans="1:9" ht="22.5" hidden="1" customHeight="1">
      <c r="A35" s="3046">
        <f t="shared" si="0"/>
        <v>33</v>
      </c>
      <c r="B35" s="3047" t="s">
        <v>3084</v>
      </c>
      <c r="C35" s="3047" t="s">
        <v>3105</v>
      </c>
      <c r="D35" s="3047">
        <v>101</v>
      </c>
      <c r="E35" s="3047" t="str">
        <f t="shared" si="2"/>
        <v>产权式酒店</v>
      </c>
      <c r="F35" s="3047" t="str">
        <f t="shared" si="2"/>
        <v>钢混</v>
      </c>
      <c r="G35" s="3047">
        <v>200.31</v>
      </c>
      <c r="H35" s="3154">
        <f t="shared" ref="H35" si="10">H33</f>
        <v>426.9</v>
      </c>
      <c r="I35" s="3047" t="s">
        <v>3088</v>
      </c>
    </row>
    <row r="36" spans="1:9" ht="22.5" hidden="1" customHeight="1">
      <c r="A36" s="3046">
        <f t="shared" si="0"/>
        <v>34</v>
      </c>
      <c r="B36" s="3047" t="s">
        <v>3084</v>
      </c>
      <c r="C36" s="3047" t="s">
        <v>3105</v>
      </c>
      <c r="D36" s="3047">
        <v>102</v>
      </c>
      <c r="E36" s="3047" t="str">
        <f t="shared" si="2"/>
        <v>产权式酒店</v>
      </c>
      <c r="F36" s="3047" t="str">
        <f t="shared" si="2"/>
        <v>钢混</v>
      </c>
      <c r="G36" s="3047">
        <v>200.31</v>
      </c>
      <c r="H36" s="3155"/>
      <c r="I36" s="3047" t="s">
        <v>3088</v>
      </c>
    </row>
    <row r="37" spans="1:9" ht="22.5" hidden="1" customHeight="1">
      <c r="A37" s="3046">
        <f t="shared" si="0"/>
        <v>35</v>
      </c>
      <c r="B37" s="3047" t="s">
        <v>3084</v>
      </c>
      <c r="C37" s="3047" t="s">
        <v>3106</v>
      </c>
      <c r="D37" s="3047">
        <v>101</v>
      </c>
      <c r="E37" s="3047" t="str">
        <f t="shared" ref="E37:F52" si="11">E36</f>
        <v>产权式酒店</v>
      </c>
      <c r="F37" s="3047" t="str">
        <f t="shared" si="11"/>
        <v>钢混</v>
      </c>
      <c r="G37" s="3047">
        <v>200.31</v>
      </c>
      <c r="H37" s="3154">
        <f t="shared" ref="H37" si="12">H35</f>
        <v>426.9</v>
      </c>
      <c r="I37" s="3047" t="s">
        <v>3088</v>
      </c>
    </row>
    <row r="38" spans="1:9" ht="22.5" hidden="1" customHeight="1">
      <c r="A38" s="3046">
        <f t="shared" si="0"/>
        <v>36</v>
      </c>
      <c r="B38" s="3047" t="s">
        <v>3084</v>
      </c>
      <c r="C38" s="3047" t="s">
        <v>3106</v>
      </c>
      <c r="D38" s="3047">
        <v>102</v>
      </c>
      <c r="E38" s="3047" t="str">
        <f t="shared" si="11"/>
        <v>产权式酒店</v>
      </c>
      <c r="F38" s="3047" t="str">
        <f t="shared" si="11"/>
        <v>钢混</v>
      </c>
      <c r="G38" s="3047">
        <v>200.31</v>
      </c>
      <c r="H38" s="3155"/>
      <c r="I38" s="3047" t="s">
        <v>3088</v>
      </c>
    </row>
    <row r="39" spans="1:9" ht="22.5" hidden="1" customHeight="1">
      <c r="A39" s="3046">
        <f t="shared" si="0"/>
        <v>37</v>
      </c>
      <c r="B39" s="3047" t="s">
        <v>3084</v>
      </c>
      <c r="C39" s="3047" t="s">
        <v>3107</v>
      </c>
      <c r="D39" s="3047">
        <v>101</v>
      </c>
      <c r="E39" s="3047" t="str">
        <f t="shared" si="11"/>
        <v>产权式酒店</v>
      </c>
      <c r="F39" s="3047" t="str">
        <f t="shared" si="11"/>
        <v>钢混</v>
      </c>
      <c r="G39" s="3047">
        <v>200.31</v>
      </c>
      <c r="H39" s="3154">
        <f t="shared" ref="H39" si="13">H37</f>
        <v>426.9</v>
      </c>
      <c r="I39" s="3047" t="s">
        <v>3088</v>
      </c>
    </row>
    <row r="40" spans="1:9" ht="22.5" hidden="1" customHeight="1">
      <c r="A40" s="3046">
        <f t="shared" si="0"/>
        <v>38</v>
      </c>
      <c r="B40" s="3047" t="s">
        <v>3084</v>
      </c>
      <c r="C40" s="3047" t="s">
        <v>3107</v>
      </c>
      <c r="D40" s="3047">
        <v>102</v>
      </c>
      <c r="E40" s="3047" t="str">
        <f t="shared" si="11"/>
        <v>产权式酒店</v>
      </c>
      <c r="F40" s="3047" t="str">
        <f t="shared" si="11"/>
        <v>钢混</v>
      </c>
      <c r="G40" s="3047">
        <v>200.31</v>
      </c>
      <c r="H40" s="3155"/>
      <c r="I40" s="3047" t="s">
        <v>3088</v>
      </c>
    </row>
    <row r="41" spans="1:9" ht="22.5" hidden="1" customHeight="1">
      <c r="A41" s="3046">
        <f t="shared" si="0"/>
        <v>39</v>
      </c>
      <c r="B41" s="3047" t="s">
        <v>3084</v>
      </c>
      <c r="C41" s="3047" t="s">
        <v>3108</v>
      </c>
      <c r="D41" s="3047">
        <v>101</v>
      </c>
      <c r="E41" s="3047" t="str">
        <f t="shared" si="11"/>
        <v>产权式酒店</v>
      </c>
      <c r="F41" s="3047" t="str">
        <f t="shared" si="11"/>
        <v>钢混</v>
      </c>
      <c r="G41" s="3047">
        <v>200.31</v>
      </c>
      <c r="H41" s="3154">
        <f t="shared" ref="H41" si="14">H39</f>
        <v>426.9</v>
      </c>
      <c r="I41" s="3047" t="s">
        <v>3088</v>
      </c>
    </row>
    <row r="42" spans="1:9" ht="22.5" hidden="1" customHeight="1">
      <c r="A42" s="3046">
        <f t="shared" si="0"/>
        <v>40</v>
      </c>
      <c r="B42" s="3047" t="s">
        <v>3084</v>
      </c>
      <c r="C42" s="3047" t="s">
        <v>3108</v>
      </c>
      <c r="D42" s="3047">
        <v>102</v>
      </c>
      <c r="E42" s="3047" t="str">
        <f t="shared" si="11"/>
        <v>产权式酒店</v>
      </c>
      <c r="F42" s="3047" t="str">
        <f t="shared" si="11"/>
        <v>钢混</v>
      </c>
      <c r="G42" s="3047">
        <v>200.31</v>
      </c>
      <c r="H42" s="3155"/>
      <c r="I42" s="3047" t="s">
        <v>3088</v>
      </c>
    </row>
    <row r="43" spans="1:9" ht="22.5" hidden="1" customHeight="1">
      <c r="A43" s="3046">
        <f t="shared" si="0"/>
        <v>41</v>
      </c>
      <c r="B43" s="3047" t="s">
        <v>3084</v>
      </c>
      <c r="C43" s="3047" t="s">
        <v>3109</v>
      </c>
      <c r="D43" s="3047">
        <v>101</v>
      </c>
      <c r="E43" s="3047" t="str">
        <f t="shared" si="11"/>
        <v>产权式酒店</v>
      </c>
      <c r="F43" s="3047" t="str">
        <f t="shared" si="11"/>
        <v>钢混</v>
      </c>
      <c r="G43" s="3047">
        <v>200.31</v>
      </c>
      <c r="H43" s="3154">
        <f t="shared" ref="H43" si="15">H41</f>
        <v>426.9</v>
      </c>
      <c r="I43" s="3047" t="s">
        <v>3088</v>
      </c>
    </row>
    <row r="44" spans="1:9" ht="22.5" hidden="1" customHeight="1">
      <c r="A44" s="3046">
        <f t="shared" si="0"/>
        <v>42</v>
      </c>
      <c r="B44" s="3047" t="s">
        <v>3084</v>
      </c>
      <c r="C44" s="3047" t="s">
        <v>3109</v>
      </c>
      <c r="D44" s="3047">
        <v>102</v>
      </c>
      <c r="E44" s="3047" t="str">
        <f t="shared" si="11"/>
        <v>产权式酒店</v>
      </c>
      <c r="F44" s="3047" t="str">
        <f t="shared" si="11"/>
        <v>钢混</v>
      </c>
      <c r="G44" s="3047">
        <v>200.31</v>
      </c>
      <c r="H44" s="3155"/>
      <c r="I44" s="3047" t="s">
        <v>3088</v>
      </c>
    </row>
    <row r="45" spans="1:9" ht="22.5" hidden="1" customHeight="1">
      <c r="A45" s="3046">
        <f t="shared" si="0"/>
        <v>43</v>
      </c>
      <c r="B45" s="3047" t="s">
        <v>3084</v>
      </c>
      <c r="C45" s="3047" t="s">
        <v>3110</v>
      </c>
      <c r="D45" s="3047">
        <v>101</v>
      </c>
      <c r="E45" s="3047" t="str">
        <f t="shared" si="11"/>
        <v>产权式酒店</v>
      </c>
      <c r="F45" s="3047" t="str">
        <f t="shared" si="11"/>
        <v>钢混</v>
      </c>
      <c r="G45" s="3047">
        <v>200.31</v>
      </c>
      <c r="H45" s="3154">
        <f t="shared" ref="H45" si="16">H43</f>
        <v>426.9</v>
      </c>
      <c r="I45" s="3047" t="s">
        <v>3088</v>
      </c>
    </row>
    <row r="46" spans="1:9" ht="22.5" hidden="1" customHeight="1">
      <c r="A46" s="3046">
        <f t="shared" si="0"/>
        <v>44</v>
      </c>
      <c r="B46" s="3047" t="s">
        <v>3084</v>
      </c>
      <c r="C46" s="3047" t="s">
        <v>3110</v>
      </c>
      <c r="D46" s="3047">
        <v>102</v>
      </c>
      <c r="E46" s="3047" t="str">
        <f t="shared" si="11"/>
        <v>产权式酒店</v>
      </c>
      <c r="F46" s="3047" t="str">
        <f t="shared" si="11"/>
        <v>钢混</v>
      </c>
      <c r="G46" s="3047">
        <v>200.31</v>
      </c>
      <c r="H46" s="3155"/>
      <c r="I46" s="3047" t="s">
        <v>3088</v>
      </c>
    </row>
    <row r="47" spans="1:9" ht="22.5" hidden="1" customHeight="1">
      <c r="A47" s="3046">
        <f t="shared" si="0"/>
        <v>45</v>
      </c>
      <c r="B47" s="3047" t="s">
        <v>3084</v>
      </c>
      <c r="C47" s="3047" t="s">
        <v>3111</v>
      </c>
      <c r="D47" s="3047" t="s">
        <v>3112</v>
      </c>
      <c r="E47" s="3047" t="str">
        <f t="shared" si="11"/>
        <v>产权式酒店</v>
      </c>
      <c r="F47" s="3047" t="str">
        <f t="shared" si="11"/>
        <v>钢混</v>
      </c>
      <c r="G47" s="3047">
        <v>140.41</v>
      </c>
      <c r="H47" s="3154">
        <v>3446.65</v>
      </c>
      <c r="I47" s="3047" t="s">
        <v>3088</v>
      </c>
    </row>
    <row r="48" spans="1:9" ht="22.5" hidden="1" customHeight="1">
      <c r="A48" s="3046">
        <f t="shared" si="0"/>
        <v>46</v>
      </c>
      <c r="B48" s="3047" t="s">
        <v>3084</v>
      </c>
      <c r="C48" s="3047" t="s">
        <v>3111</v>
      </c>
      <c r="D48" s="3047" t="s">
        <v>3113</v>
      </c>
      <c r="E48" s="3047" t="str">
        <f t="shared" si="11"/>
        <v>产权式酒店</v>
      </c>
      <c r="F48" s="3047" t="str">
        <f t="shared" si="11"/>
        <v>钢混</v>
      </c>
      <c r="G48" s="3047">
        <v>140.41</v>
      </c>
      <c r="H48" s="3159"/>
      <c r="I48" s="3047" t="s">
        <v>3088</v>
      </c>
    </row>
    <row r="49" spans="1:9" ht="22.5" hidden="1" customHeight="1">
      <c r="A49" s="3046">
        <f t="shared" si="0"/>
        <v>47</v>
      </c>
      <c r="B49" s="3047" t="s">
        <v>3084</v>
      </c>
      <c r="C49" s="3047" t="s">
        <v>3111</v>
      </c>
      <c r="D49" s="3047" t="s">
        <v>3114</v>
      </c>
      <c r="E49" s="3047" t="str">
        <f t="shared" si="11"/>
        <v>产权式酒店</v>
      </c>
      <c r="F49" s="3047" t="str">
        <f t="shared" si="11"/>
        <v>钢混</v>
      </c>
      <c r="G49" s="3047">
        <v>140.41</v>
      </c>
      <c r="H49" s="3159"/>
      <c r="I49" s="3047" t="s">
        <v>3088</v>
      </c>
    </row>
    <row r="50" spans="1:9" ht="22.5" hidden="1" customHeight="1">
      <c r="A50" s="3046">
        <f t="shared" si="0"/>
        <v>48</v>
      </c>
      <c r="B50" s="3047" t="s">
        <v>3084</v>
      </c>
      <c r="C50" s="3047" t="s">
        <v>3111</v>
      </c>
      <c r="D50" s="3047" t="s">
        <v>3115</v>
      </c>
      <c r="E50" s="3047" t="str">
        <f t="shared" si="11"/>
        <v>产权式酒店</v>
      </c>
      <c r="F50" s="3047" t="str">
        <f t="shared" si="11"/>
        <v>钢混</v>
      </c>
      <c r="G50" s="3047">
        <v>140.41</v>
      </c>
      <c r="H50" s="3159"/>
      <c r="I50" s="3047" t="s">
        <v>3088</v>
      </c>
    </row>
    <row r="51" spans="1:9" ht="22.5" hidden="1" customHeight="1">
      <c r="A51" s="3046">
        <f t="shared" si="0"/>
        <v>49</v>
      </c>
      <c r="B51" s="3047" t="s">
        <v>3084</v>
      </c>
      <c r="C51" s="3047" t="s">
        <v>3111</v>
      </c>
      <c r="D51" s="3047" t="s">
        <v>3116</v>
      </c>
      <c r="E51" s="3047" t="str">
        <f t="shared" si="11"/>
        <v>产权式酒店</v>
      </c>
      <c r="F51" s="3047" t="str">
        <f t="shared" si="11"/>
        <v>钢混</v>
      </c>
      <c r="G51" s="3047">
        <v>129.22</v>
      </c>
      <c r="H51" s="3159"/>
      <c r="I51" s="3047" t="s">
        <v>3088</v>
      </c>
    </row>
    <row r="52" spans="1:9" ht="22.5" hidden="1" customHeight="1">
      <c r="A52" s="3046">
        <f t="shared" si="0"/>
        <v>50</v>
      </c>
      <c r="B52" s="3047" t="s">
        <v>3084</v>
      </c>
      <c r="C52" s="3047" t="s">
        <v>3111</v>
      </c>
      <c r="D52" s="3047" t="s">
        <v>3117</v>
      </c>
      <c r="E52" s="3047" t="str">
        <f t="shared" si="11"/>
        <v>产权式酒店</v>
      </c>
      <c r="F52" s="3047" t="str">
        <f t="shared" si="11"/>
        <v>钢混</v>
      </c>
      <c r="G52" s="3047">
        <v>129.22</v>
      </c>
      <c r="H52" s="3159"/>
      <c r="I52" s="3047" t="s">
        <v>3088</v>
      </c>
    </row>
    <row r="53" spans="1:9" ht="22.5" hidden="1" customHeight="1">
      <c r="A53" s="3046">
        <f t="shared" si="0"/>
        <v>51</v>
      </c>
      <c r="B53" s="3047" t="s">
        <v>3084</v>
      </c>
      <c r="C53" s="3047" t="s">
        <v>3111</v>
      </c>
      <c r="D53" s="3047" t="s">
        <v>3118</v>
      </c>
      <c r="E53" s="3047" t="str">
        <f t="shared" ref="E53:F68" si="17">E52</f>
        <v>产权式酒店</v>
      </c>
      <c r="F53" s="3047" t="str">
        <f t="shared" si="17"/>
        <v>钢混</v>
      </c>
      <c r="G53" s="3047">
        <v>129.22</v>
      </c>
      <c r="H53" s="3159"/>
      <c r="I53" s="3047" t="s">
        <v>3088</v>
      </c>
    </row>
    <row r="54" spans="1:9" ht="22.5" hidden="1" customHeight="1">
      <c r="A54" s="3046">
        <f t="shared" si="0"/>
        <v>52</v>
      </c>
      <c r="B54" s="3047" t="s">
        <v>3084</v>
      </c>
      <c r="C54" s="3047" t="s">
        <v>3111</v>
      </c>
      <c r="D54" s="3047" t="s">
        <v>3119</v>
      </c>
      <c r="E54" s="3047" t="str">
        <f t="shared" si="17"/>
        <v>产权式酒店</v>
      </c>
      <c r="F54" s="3047" t="str">
        <f t="shared" si="17"/>
        <v>钢混</v>
      </c>
      <c r="G54" s="3047">
        <v>129.22</v>
      </c>
      <c r="H54" s="3159"/>
      <c r="I54" s="3047" t="s">
        <v>3088</v>
      </c>
    </row>
    <row r="55" spans="1:9" ht="22.5" hidden="1" customHeight="1">
      <c r="A55" s="3046">
        <f t="shared" si="0"/>
        <v>53</v>
      </c>
      <c r="B55" s="3047" t="s">
        <v>3084</v>
      </c>
      <c r="C55" s="3047" t="s">
        <v>3111</v>
      </c>
      <c r="D55" s="3047" t="s">
        <v>3120</v>
      </c>
      <c r="E55" s="3047" t="str">
        <f t="shared" si="17"/>
        <v>产权式酒店</v>
      </c>
      <c r="F55" s="3047" t="str">
        <f t="shared" si="17"/>
        <v>钢混</v>
      </c>
      <c r="G55" s="3047">
        <v>110.19</v>
      </c>
      <c r="H55" s="3159"/>
      <c r="I55" s="3047" t="s">
        <v>3088</v>
      </c>
    </row>
    <row r="56" spans="1:9" ht="22.5" hidden="1" customHeight="1">
      <c r="A56" s="3046">
        <f t="shared" si="0"/>
        <v>54</v>
      </c>
      <c r="B56" s="3047" t="s">
        <v>3084</v>
      </c>
      <c r="C56" s="3047" t="s">
        <v>3111</v>
      </c>
      <c r="D56" s="3047" t="s">
        <v>3121</v>
      </c>
      <c r="E56" s="3047" t="str">
        <f t="shared" si="17"/>
        <v>产权式酒店</v>
      </c>
      <c r="F56" s="3047" t="str">
        <f t="shared" si="17"/>
        <v>钢混</v>
      </c>
      <c r="G56" s="3047">
        <v>110.19</v>
      </c>
      <c r="H56" s="3159"/>
      <c r="I56" s="3047" t="s">
        <v>3088</v>
      </c>
    </row>
    <row r="57" spans="1:9" ht="22.5" hidden="1" customHeight="1">
      <c r="A57" s="3046">
        <f t="shared" si="0"/>
        <v>55</v>
      </c>
      <c r="B57" s="3047" t="s">
        <v>3084</v>
      </c>
      <c r="C57" s="3047" t="s">
        <v>3111</v>
      </c>
      <c r="D57" s="3047" t="s">
        <v>3122</v>
      </c>
      <c r="E57" s="3047" t="str">
        <f t="shared" si="17"/>
        <v>产权式酒店</v>
      </c>
      <c r="F57" s="3047" t="str">
        <f t="shared" si="17"/>
        <v>钢混</v>
      </c>
      <c r="G57" s="3047">
        <v>110.19</v>
      </c>
      <c r="H57" s="3159"/>
      <c r="I57" s="3047" t="s">
        <v>3088</v>
      </c>
    </row>
    <row r="58" spans="1:9" ht="22.5" hidden="1" customHeight="1">
      <c r="A58" s="3046">
        <f t="shared" si="0"/>
        <v>56</v>
      </c>
      <c r="B58" s="3047" t="s">
        <v>3084</v>
      </c>
      <c r="C58" s="3047" t="s">
        <v>3111</v>
      </c>
      <c r="D58" s="3047" t="s">
        <v>3123</v>
      </c>
      <c r="E58" s="3047" t="str">
        <f t="shared" si="17"/>
        <v>产权式酒店</v>
      </c>
      <c r="F58" s="3047" t="str">
        <f t="shared" si="17"/>
        <v>钢混</v>
      </c>
      <c r="G58" s="3047">
        <v>110.19</v>
      </c>
      <c r="H58" s="3159"/>
      <c r="I58" s="3047" t="s">
        <v>3088</v>
      </c>
    </row>
    <row r="59" spans="1:9" ht="22.5" hidden="1" customHeight="1">
      <c r="A59" s="3046">
        <f t="shared" si="0"/>
        <v>57</v>
      </c>
      <c r="B59" s="3047" t="s">
        <v>3084</v>
      </c>
      <c r="C59" s="3047" t="s">
        <v>3111</v>
      </c>
      <c r="D59" s="3047" t="s">
        <v>3124</v>
      </c>
      <c r="E59" s="3047" t="str">
        <f t="shared" si="17"/>
        <v>产权式酒店</v>
      </c>
      <c r="F59" s="3047" t="str">
        <f t="shared" si="17"/>
        <v>钢混</v>
      </c>
      <c r="G59" s="3047">
        <v>102.45</v>
      </c>
      <c r="H59" s="3159"/>
      <c r="I59" s="3047" t="s">
        <v>3088</v>
      </c>
    </row>
    <row r="60" spans="1:9" ht="22.5" hidden="1" customHeight="1">
      <c r="A60" s="3046">
        <f t="shared" si="0"/>
        <v>58</v>
      </c>
      <c r="B60" s="3047" t="s">
        <v>3084</v>
      </c>
      <c r="C60" s="3047" t="s">
        <v>3111</v>
      </c>
      <c r="D60" s="3047" t="s">
        <v>3125</v>
      </c>
      <c r="E60" s="3047" t="str">
        <f t="shared" si="17"/>
        <v>产权式酒店</v>
      </c>
      <c r="F60" s="3047" t="str">
        <f t="shared" si="17"/>
        <v>钢混</v>
      </c>
      <c r="G60" s="3047">
        <v>102.45</v>
      </c>
      <c r="H60" s="3159"/>
      <c r="I60" s="3047" t="s">
        <v>3088</v>
      </c>
    </row>
    <row r="61" spans="1:9" ht="22.5" hidden="1" customHeight="1">
      <c r="A61" s="3046">
        <f t="shared" si="0"/>
        <v>59</v>
      </c>
      <c r="B61" s="3047" t="s">
        <v>3084</v>
      </c>
      <c r="C61" s="3047" t="s">
        <v>3111</v>
      </c>
      <c r="D61" s="3047" t="s">
        <v>3126</v>
      </c>
      <c r="E61" s="3047" t="str">
        <f t="shared" si="17"/>
        <v>产权式酒店</v>
      </c>
      <c r="F61" s="3047" t="str">
        <f t="shared" si="17"/>
        <v>钢混</v>
      </c>
      <c r="G61" s="3047">
        <v>102.45</v>
      </c>
      <c r="H61" s="3159"/>
      <c r="I61" s="3047" t="s">
        <v>3088</v>
      </c>
    </row>
    <row r="62" spans="1:9" ht="22.5" hidden="1" customHeight="1">
      <c r="A62" s="3046">
        <f t="shared" si="0"/>
        <v>60</v>
      </c>
      <c r="B62" s="3047" t="s">
        <v>3084</v>
      </c>
      <c r="C62" s="3047" t="s">
        <v>3111</v>
      </c>
      <c r="D62" s="3047" t="s">
        <v>3127</v>
      </c>
      <c r="E62" s="3047" t="str">
        <f t="shared" si="17"/>
        <v>产权式酒店</v>
      </c>
      <c r="F62" s="3047" t="str">
        <f t="shared" si="17"/>
        <v>钢混</v>
      </c>
      <c r="G62" s="3047">
        <v>102.45</v>
      </c>
      <c r="H62" s="3159"/>
      <c r="I62" s="3047" t="s">
        <v>3088</v>
      </c>
    </row>
    <row r="63" spans="1:9" ht="22.5" hidden="1" customHeight="1">
      <c r="A63" s="3046">
        <f t="shared" si="0"/>
        <v>61</v>
      </c>
      <c r="B63" s="3047" t="s">
        <v>3084</v>
      </c>
      <c r="C63" s="3047" t="s">
        <v>3111</v>
      </c>
      <c r="D63" s="3047" t="s">
        <v>3128</v>
      </c>
      <c r="E63" s="3047" t="str">
        <f t="shared" si="17"/>
        <v>产权式酒店</v>
      </c>
      <c r="F63" s="3047" t="str">
        <f t="shared" si="17"/>
        <v>钢混</v>
      </c>
      <c r="G63" s="3047">
        <v>86.24</v>
      </c>
      <c r="H63" s="3159"/>
      <c r="I63" s="3047" t="s">
        <v>3088</v>
      </c>
    </row>
    <row r="64" spans="1:9" ht="22.5" hidden="1" customHeight="1">
      <c r="A64" s="3046">
        <f t="shared" si="0"/>
        <v>62</v>
      </c>
      <c r="B64" s="3047" t="s">
        <v>3084</v>
      </c>
      <c r="C64" s="3047" t="s">
        <v>3111</v>
      </c>
      <c r="D64" s="3047" t="s">
        <v>3129</v>
      </c>
      <c r="E64" s="3047" t="str">
        <f t="shared" si="17"/>
        <v>产权式酒店</v>
      </c>
      <c r="F64" s="3047" t="str">
        <f t="shared" si="17"/>
        <v>钢混</v>
      </c>
      <c r="G64" s="3047">
        <v>86.24</v>
      </c>
      <c r="H64" s="3159"/>
      <c r="I64" s="3047" t="s">
        <v>3088</v>
      </c>
    </row>
    <row r="65" spans="1:9" ht="22.5" hidden="1" customHeight="1">
      <c r="A65" s="3046">
        <f t="shared" si="0"/>
        <v>63</v>
      </c>
      <c r="B65" s="3047" t="s">
        <v>3084</v>
      </c>
      <c r="C65" s="3047" t="s">
        <v>3111</v>
      </c>
      <c r="D65" s="3047" t="s">
        <v>3130</v>
      </c>
      <c r="E65" s="3047" t="str">
        <f t="shared" si="17"/>
        <v>产权式酒店</v>
      </c>
      <c r="F65" s="3047" t="str">
        <f t="shared" si="17"/>
        <v>钢混</v>
      </c>
      <c r="G65" s="3047">
        <v>86.24</v>
      </c>
      <c r="H65" s="3159"/>
      <c r="I65" s="3047" t="s">
        <v>3088</v>
      </c>
    </row>
    <row r="66" spans="1:9" ht="22.5" hidden="1" customHeight="1">
      <c r="A66" s="3046">
        <f t="shared" si="0"/>
        <v>64</v>
      </c>
      <c r="B66" s="3047" t="s">
        <v>3084</v>
      </c>
      <c r="C66" s="3047" t="s">
        <v>3111</v>
      </c>
      <c r="D66" s="3047" t="s">
        <v>3131</v>
      </c>
      <c r="E66" s="3047" t="str">
        <f t="shared" si="17"/>
        <v>产权式酒店</v>
      </c>
      <c r="F66" s="3047" t="str">
        <f t="shared" si="17"/>
        <v>钢混</v>
      </c>
      <c r="G66" s="3047">
        <v>86.24</v>
      </c>
      <c r="H66" s="3159"/>
      <c r="I66" s="3047" t="s">
        <v>3088</v>
      </c>
    </row>
    <row r="67" spans="1:9" ht="22.5" hidden="1" customHeight="1">
      <c r="A67" s="3046">
        <f t="shared" si="0"/>
        <v>65</v>
      </c>
      <c r="B67" s="3047" t="s">
        <v>3084</v>
      </c>
      <c r="C67" s="3047" t="s">
        <v>3111</v>
      </c>
      <c r="D67" s="3047" t="s">
        <v>3132</v>
      </c>
      <c r="E67" s="3047" t="str">
        <f t="shared" si="17"/>
        <v>产权式酒店</v>
      </c>
      <c r="F67" s="3047" t="str">
        <f t="shared" si="17"/>
        <v>钢混</v>
      </c>
      <c r="G67" s="3047">
        <v>83.54</v>
      </c>
      <c r="H67" s="3159"/>
      <c r="I67" s="3047" t="s">
        <v>3088</v>
      </c>
    </row>
    <row r="68" spans="1:9" ht="22.5" hidden="1" customHeight="1">
      <c r="A68" s="3046">
        <f t="shared" si="0"/>
        <v>66</v>
      </c>
      <c r="B68" s="3047" t="s">
        <v>3084</v>
      </c>
      <c r="C68" s="3047" t="s">
        <v>3111</v>
      </c>
      <c r="D68" s="3047" t="s">
        <v>3133</v>
      </c>
      <c r="E68" s="3047" t="str">
        <f t="shared" si="17"/>
        <v>产权式酒店</v>
      </c>
      <c r="F68" s="3047" t="str">
        <f t="shared" si="17"/>
        <v>钢混</v>
      </c>
      <c r="G68" s="3047">
        <v>83.54</v>
      </c>
      <c r="H68" s="3159"/>
      <c r="I68" s="3047" t="s">
        <v>3088</v>
      </c>
    </row>
    <row r="69" spans="1:9" ht="22.5" hidden="1" customHeight="1">
      <c r="A69" s="3046">
        <f t="shared" ref="A69:A132" si="18">A68+1</f>
        <v>67</v>
      </c>
      <c r="B69" s="3047" t="s">
        <v>3084</v>
      </c>
      <c r="C69" s="3047" t="s">
        <v>3111</v>
      </c>
      <c r="D69" s="3047" t="s">
        <v>3134</v>
      </c>
      <c r="E69" s="3047" t="str">
        <f t="shared" ref="E69:F84" si="19">E68</f>
        <v>产权式酒店</v>
      </c>
      <c r="F69" s="3047" t="str">
        <f t="shared" si="19"/>
        <v>钢混</v>
      </c>
      <c r="G69" s="3047">
        <v>83.54</v>
      </c>
      <c r="H69" s="3159"/>
      <c r="I69" s="3047" t="s">
        <v>3088</v>
      </c>
    </row>
    <row r="70" spans="1:9" ht="22.5" hidden="1" customHeight="1">
      <c r="A70" s="3046">
        <f t="shared" si="18"/>
        <v>68</v>
      </c>
      <c r="B70" s="3047" t="s">
        <v>3084</v>
      </c>
      <c r="C70" s="3047" t="s">
        <v>3111</v>
      </c>
      <c r="D70" s="3047" t="s">
        <v>3135</v>
      </c>
      <c r="E70" s="3047" t="str">
        <f t="shared" si="19"/>
        <v>产权式酒店</v>
      </c>
      <c r="F70" s="3047" t="str">
        <f t="shared" si="19"/>
        <v>钢混</v>
      </c>
      <c r="G70" s="3047">
        <v>83.54</v>
      </c>
      <c r="H70" s="3155"/>
      <c r="I70" s="3047" t="s">
        <v>3088</v>
      </c>
    </row>
    <row r="71" spans="1:9" ht="22.5" hidden="1" customHeight="1">
      <c r="A71" s="3046">
        <f t="shared" si="18"/>
        <v>69</v>
      </c>
      <c r="B71" s="3047" t="s">
        <v>3084</v>
      </c>
      <c r="C71" s="3047" t="s">
        <v>3136</v>
      </c>
      <c r="D71" s="3047" t="s">
        <v>3137</v>
      </c>
      <c r="E71" s="3047" t="str">
        <f t="shared" si="19"/>
        <v>产权式酒店</v>
      </c>
      <c r="F71" s="3047" t="str">
        <f t="shared" si="19"/>
        <v>钢混</v>
      </c>
      <c r="G71" s="3047">
        <v>140.41</v>
      </c>
      <c r="H71" s="3154">
        <v>5169.95</v>
      </c>
      <c r="I71" s="3047" t="s">
        <v>3088</v>
      </c>
    </row>
    <row r="72" spans="1:9" ht="22.5" hidden="1" customHeight="1">
      <c r="A72" s="3046">
        <f t="shared" si="18"/>
        <v>70</v>
      </c>
      <c r="B72" s="3047" t="s">
        <v>3084</v>
      </c>
      <c r="C72" s="3047" t="s">
        <v>3136</v>
      </c>
      <c r="D72" s="3047" t="s">
        <v>3138</v>
      </c>
      <c r="E72" s="3047" t="str">
        <f t="shared" si="19"/>
        <v>产权式酒店</v>
      </c>
      <c r="F72" s="3047" t="str">
        <f t="shared" si="19"/>
        <v>钢混</v>
      </c>
      <c r="G72" s="3047">
        <v>140.41</v>
      </c>
      <c r="H72" s="3159"/>
      <c r="I72" s="3047" t="s">
        <v>3088</v>
      </c>
    </row>
    <row r="73" spans="1:9" ht="22.5" hidden="1" customHeight="1">
      <c r="A73" s="3046">
        <f t="shared" si="18"/>
        <v>71</v>
      </c>
      <c r="B73" s="3047" t="s">
        <v>3084</v>
      </c>
      <c r="C73" s="3047" t="s">
        <v>3136</v>
      </c>
      <c r="D73" s="3047" t="s">
        <v>3139</v>
      </c>
      <c r="E73" s="3047" t="str">
        <f t="shared" si="19"/>
        <v>产权式酒店</v>
      </c>
      <c r="F73" s="3047" t="str">
        <f t="shared" si="19"/>
        <v>钢混</v>
      </c>
      <c r="G73" s="3047">
        <v>140.41</v>
      </c>
      <c r="H73" s="3159"/>
      <c r="I73" s="3047" t="s">
        <v>3088</v>
      </c>
    </row>
    <row r="74" spans="1:9" ht="22.5" hidden="1" customHeight="1">
      <c r="A74" s="3046">
        <f t="shared" si="18"/>
        <v>72</v>
      </c>
      <c r="B74" s="3047" t="s">
        <v>3084</v>
      </c>
      <c r="C74" s="3047" t="s">
        <v>3136</v>
      </c>
      <c r="D74" s="3047" t="s">
        <v>3140</v>
      </c>
      <c r="E74" s="3047" t="str">
        <f t="shared" si="19"/>
        <v>产权式酒店</v>
      </c>
      <c r="F74" s="3047" t="str">
        <f t="shared" si="19"/>
        <v>钢混</v>
      </c>
      <c r="G74" s="3047">
        <v>140.41</v>
      </c>
      <c r="H74" s="3159"/>
      <c r="I74" s="3047" t="s">
        <v>3088</v>
      </c>
    </row>
    <row r="75" spans="1:9" ht="22.5" hidden="1" customHeight="1">
      <c r="A75" s="3046">
        <f t="shared" si="18"/>
        <v>73</v>
      </c>
      <c r="B75" s="3047" t="s">
        <v>3084</v>
      </c>
      <c r="C75" s="3047" t="s">
        <v>3136</v>
      </c>
      <c r="D75" s="3047" t="s">
        <v>3141</v>
      </c>
      <c r="E75" s="3047" t="str">
        <f t="shared" si="19"/>
        <v>产权式酒店</v>
      </c>
      <c r="F75" s="3047" t="str">
        <f t="shared" si="19"/>
        <v>钢混</v>
      </c>
      <c r="G75" s="3047">
        <v>140.41</v>
      </c>
      <c r="H75" s="3159"/>
      <c r="I75" s="3047" t="s">
        <v>3088</v>
      </c>
    </row>
    <row r="76" spans="1:9" ht="22.5" hidden="1" customHeight="1">
      <c r="A76" s="3046">
        <f t="shared" si="18"/>
        <v>74</v>
      </c>
      <c r="B76" s="3047" t="s">
        <v>3084</v>
      </c>
      <c r="C76" s="3047" t="s">
        <v>3136</v>
      </c>
      <c r="D76" s="3047" t="s">
        <v>3142</v>
      </c>
      <c r="E76" s="3047" t="str">
        <f t="shared" si="19"/>
        <v>产权式酒店</v>
      </c>
      <c r="F76" s="3047" t="str">
        <f t="shared" si="19"/>
        <v>钢混</v>
      </c>
      <c r="G76" s="3047">
        <v>140.41</v>
      </c>
      <c r="H76" s="3159"/>
      <c r="I76" s="3047" t="s">
        <v>3088</v>
      </c>
    </row>
    <row r="77" spans="1:9" ht="22.5" hidden="1" customHeight="1">
      <c r="A77" s="3046">
        <f t="shared" si="18"/>
        <v>75</v>
      </c>
      <c r="B77" s="3047" t="s">
        <v>3084</v>
      </c>
      <c r="C77" s="3047" t="s">
        <v>3136</v>
      </c>
      <c r="D77" s="3047" t="s">
        <v>3143</v>
      </c>
      <c r="E77" s="3047" t="str">
        <f t="shared" si="19"/>
        <v>产权式酒店</v>
      </c>
      <c r="F77" s="3047" t="str">
        <f t="shared" si="19"/>
        <v>钢混</v>
      </c>
      <c r="G77" s="3047">
        <v>129.22</v>
      </c>
      <c r="H77" s="3159"/>
      <c r="I77" s="3047" t="s">
        <v>3088</v>
      </c>
    </row>
    <row r="78" spans="1:9" ht="22.5" hidden="1" customHeight="1">
      <c r="A78" s="3046">
        <f t="shared" si="18"/>
        <v>76</v>
      </c>
      <c r="B78" s="3047" t="s">
        <v>3084</v>
      </c>
      <c r="C78" s="3047" t="s">
        <v>3136</v>
      </c>
      <c r="D78" s="3047" t="s">
        <v>3144</v>
      </c>
      <c r="E78" s="3047" t="str">
        <f t="shared" si="19"/>
        <v>产权式酒店</v>
      </c>
      <c r="F78" s="3047" t="str">
        <f t="shared" si="19"/>
        <v>钢混</v>
      </c>
      <c r="G78" s="3047">
        <v>129.22</v>
      </c>
      <c r="H78" s="3159"/>
      <c r="I78" s="3047" t="s">
        <v>3088</v>
      </c>
    </row>
    <row r="79" spans="1:9" ht="22.5" hidden="1" customHeight="1">
      <c r="A79" s="3046">
        <f t="shared" si="18"/>
        <v>77</v>
      </c>
      <c r="B79" s="3047" t="s">
        <v>3084</v>
      </c>
      <c r="C79" s="3047" t="s">
        <v>3136</v>
      </c>
      <c r="D79" s="3047" t="s">
        <v>3145</v>
      </c>
      <c r="E79" s="3047" t="str">
        <f t="shared" si="19"/>
        <v>产权式酒店</v>
      </c>
      <c r="F79" s="3047" t="str">
        <f t="shared" si="19"/>
        <v>钢混</v>
      </c>
      <c r="G79" s="3047">
        <v>129.22</v>
      </c>
      <c r="H79" s="3159"/>
      <c r="I79" s="3047" t="s">
        <v>3088</v>
      </c>
    </row>
    <row r="80" spans="1:9" ht="22.5" hidden="1" customHeight="1">
      <c r="A80" s="3046">
        <f t="shared" si="18"/>
        <v>78</v>
      </c>
      <c r="B80" s="3047" t="s">
        <v>3084</v>
      </c>
      <c r="C80" s="3047" t="s">
        <v>3136</v>
      </c>
      <c r="D80" s="3047" t="s">
        <v>3146</v>
      </c>
      <c r="E80" s="3047" t="str">
        <f t="shared" si="19"/>
        <v>产权式酒店</v>
      </c>
      <c r="F80" s="3047" t="str">
        <f t="shared" si="19"/>
        <v>钢混</v>
      </c>
      <c r="G80" s="3047">
        <v>129.22</v>
      </c>
      <c r="H80" s="3159"/>
      <c r="I80" s="3047" t="s">
        <v>3088</v>
      </c>
    </row>
    <row r="81" spans="1:9" ht="22.5" hidden="1" customHeight="1">
      <c r="A81" s="3046">
        <f t="shared" si="18"/>
        <v>79</v>
      </c>
      <c r="B81" s="3047" t="s">
        <v>3084</v>
      </c>
      <c r="C81" s="3047" t="s">
        <v>3136</v>
      </c>
      <c r="D81" s="3047" t="s">
        <v>3147</v>
      </c>
      <c r="E81" s="3047" t="str">
        <f t="shared" si="19"/>
        <v>产权式酒店</v>
      </c>
      <c r="F81" s="3047" t="str">
        <f t="shared" si="19"/>
        <v>钢混</v>
      </c>
      <c r="G81" s="3047">
        <v>129.22</v>
      </c>
      <c r="H81" s="3159"/>
      <c r="I81" s="3047" t="s">
        <v>3088</v>
      </c>
    </row>
    <row r="82" spans="1:9" ht="22.5" hidden="1" customHeight="1">
      <c r="A82" s="3046">
        <f t="shared" si="18"/>
        <v>80</v>
      </c>
      <c r="B82" s="3047" t="s">
        <v>3084</v>
      </c>
      <c r="C82" s="3047" t="s">
        <v>3136</v>
      </c>
      <c r="D82" s="3047" t="s">
        <v>3148</v>
      </c>
      <c r="E82" s="3047" t="str">
        <f t="shared" si="19"/>
        <v>产权式酒店</v>
      </c>
      <c r="F82" s="3047" t="str">
        <f t="shared" si="19"/>
        <v>钢混</v>
      </c>
      <c r="G82" s="3047">
        <v>129.22</v>
      </c>
      <c r="H82" s="3159"/>
      <c r="I82" s="3047" t="s">
        <v>3088</v>
      </c>
    </row>
    <row r="83" spans="1:9" ht="22.5" hidden="1" customHeight="1">
      <c r="A83" s="3046">
        <f t="shared" si="18"/>
        <v>81</v>
      </c>
      <c r="B83" s="3047" t="s">
        <v>3084</v>
      </c>
      <c r="C83" s="3047" t="s">
        <v>3136</v>
      </c>
      <c r="D83" s="3047" t="s">
        <v>3149</v>
      </c>
      <c r="E83" s="3047" t="str">
        <f t="shared" si="19"/>
        <v>产权式酒店</v>
      </c>
      <c r="F83" s="3047" t="str">
        <f t="shared" si="19"/>
        <v>钢混</v>
      </c>
      <c r="G83" s="3047">
        <v>110.19</v>
      </c>
      <c r="H83" s="3159"/>
      <c r="I83" s="3047" t="s">
        <v>3088</v>
      </c>
    </row>
    <row r="84" spans="1:9" ht="22.5" hidden="1" customHeight="1">
      <c r="A84" s="3046">
        <f t="shared" si="18"/>
        <v>82</v>
      </c>
      <c r="B84" s="3047" t="s">
        <v>3084</v>
      </c>
      <c r="C84" s="3047" t="s">
        <v>3136</v>
      </c>
      <c r="D84" s="3047" t="s">
        <v>3150</v>
      </c>
      <c r="E84" s="3047" t="str">
        <f t="shared" si="19"/>
        <v>产权式酒店</v>
      </c>
      <c r="F84" s="3047" t="str">
        <f t="shared" si="19"/>
        <v>钢混</v>
      </c>
      <c r="G84" s="3047">
        <v>110.19</v>
      </c>
      <c r="H84" s="3159"/>
      <c r="I84" s="3047" t="s">
        <v>3088</v>
      </c>
    </row>
    <row r="85" spans="1:9" ht="22.5" hidden="1" customHeight="1">
      <c r="A85" s="3046">
        <f t="shared" si="18"/>
        <v>83</v>
      </c>
      <c r="B85" s="3047" t="s">
        <v>3084</v>
      </c>
      <c r="C85" s="3047" t="s">
        <v>3136</v>
      </c>
      <c r="D85" s="3047" t="s">
        <v>3151</v>
      </c>
      <c r="E85" s="3047" t="str">
        <f t="shared" ref="E85:F100" si="20">E84</f>
        <v>产权式酒店</v>
      </c>
      <c r="F85" s="3047" t="str">
        <f t="shared" si="20"/>
        <v>钢混</v>
      </c>
      <c r="G85" s="3047">
        <v>110.19</v>
      </c>
      <c r="H85" s="3159"/>
      <c r="I85" s="3047" t="s">
        <v>3088</v>
      </c>
    </row>
    <row r="86" spans="1:9" ht="22.5" hidden="1" customHeight="1">
      <c r="A86" s="3046">
        <f t="shared" si="18"/>
        <v>84</v>
      </c>
      <c r="B86" s="3047" t="s">
        <v>3084</v>
      </c>
      <c r="C86" s="3047" t="s">
        <v>3136</v>
      </c>
      <c r="D86" s="3047" t="s">
        <v>3152</v>
      </c>
      <c r="E86" s="3047" t="str">
        <f t="shared" si="20"/>
        <v>产权式酒店</v>
      </c>
      <c r="F86" s="3047" t="str">
        <f t="shared" si="20"/>
        <v>钢混</v>
      </c>
      <c r="G86" s="3047">
        <v>110.19</v>
      </c>
      <c r="H86" s="3159"/>
      <c r="I86" s="3047" t="s">
        <v>3088</v>
      </c>
    </row>
    <row r="87" spans="1:9" ht="22.5" hidden="1" customHeight="1">
      <c r="A87" s="3046">
        <f t="shared" si="18"/>
        <v>85</v>
      </c>
      <c r="B87" s="3047" t="s">
        <v>3084</v>
      </c>
      <c r="C87" s="3047" t="s">
        <v>3136</v>
      </c>
      <c r="D87" s="3047" t="s">
        <v>3153</v>
      </c>
      <c r="E87" s="3047" t="str">
        <f t="shared" si="20"/>
        <v>产权式酒店</v>
      </c>
      <c r="F87" s="3047" t="str">
        <f t="shared" si="20"/>
        <v>钢混</v>
      </c>
      <c r="G87" s="3047">
        <v>110.19</v>
      </c>
      <c r="H87" s="3159"/>
      <c r="I87" s="3047" t="s">
        <v>3088</v>
      </c>
    </row>
    <row r="88" spans="1:9" ht="22.5" hidden="1" customHeight="1">
      <c r="A88" s="3046">
        <f t="shared" si="18"/>
        <v>86</v>
      </c>
      <c r="B88" s="3047" t="s">
        <v>3084</v>
      </c>
      <c r="C88" s="3047" t="s">
        <v>3136</v>
      </c>
      <c r="D88" s="3047" t="s">
        <v>3154</v>
      </c>
      <c r="E88" s="3047" t="str">
        <f t="shared" si="20"/>
        <v>产权式酒店</v>
      </c>
      <c r="F88" s="3047" t="str">
        <f t="shared" si="20"/>
        <v>钢混</v>
      </c>
      <c r="G88" s="3047">
        <v>110.19</v>
      </c>
      <c r="H88" s="3159"/>
      <c r="I88" s="3047" t="s">
        <v>3088</v>
      </c>
    </row>
    <row r="89" spans="1:9" ht="22.5" hidden="1" customHeight="1">
      <c r="A89" s="3046">
        <f t="shared" si="18"/>
        <v>87</v>
      </c>
      <c r="B89" s="3047" t="s">
        <v>3084</v>
      </c>
      <c r="C89" s="3047" t="s">
        <v>3136</v>
      </c>
      <c r="D89" s="3047" t="s">
        <v>3155</v>
      </c>
      <c r="E89" s="3047" t="str">
        <f t="shared" si="20"/>
        <v>产权式酒店</v>
      </c>
      <c r="F89" s="3047" t="str">
        <f t="shared" si="20"/>
        <v>钢混</v>
      </c>
      <c r="G89" s="3047">
        <v>102.45</v>
      </c>
      <c r="H89" s="3159"/>
      <c r="I89" s="3047" t="s">
        <v>3088</v>
      </c>
    </row>
    <row r="90" spans="1:9" ht="22.5" hidden="1" customHeight="1">
      <c r="A90" s="3046">
        <f t="shared" si="18"/>
        <v>88</v>
      </c>
      <c r="B90" s="3047" t="s">
        <v>3084</v>
      </c>
      <c r="C90" s="3047" t="s">
        <v>3136</v>
      </c>
      <c r="D90" s="3047" t="s">
        <v>3156</v>
      </c>
      <c r="E90" s="3047" t="str">
        <f t="shared" si="20"/>
        <v>产权式酒店</v>
      </c>
      <c r="F90" s="3047" t="str">
        <f t="shared" si="20"/>
        <v>钢混</v>
      </c>
      <c r="G90" s="3047">
        <v>102.45</v>
      </c>
      <c r="H90" s="3159"/>
      <c r="I90" s="3047" t="s">
        <v>3088</v>
      </c>
    </row>
    <row r="91" spans="1:9" ht="22.5" hidden="1" customHeight="1">
      <c r="A91" s="3046">
        <f t="shared" si="18"/>
        <v>89</v>
      </c>
      <c r="B91" s="3047" t="s">
        <v>3084</v>
      </c>
      <c r="C91" s="3047" t="s">
        <v>3136</v>
      </c>
      <c r="D91" s="3047" t="s">
        <v>3157</v>
      </c>
      <c r="E91" s="3047" t="str">
        <f t="shared" si="20"/>
        <v>产权式酒店</v>
      </c>
      <c r="F91" s="3047" t="str">
        <f t="shared" si="20"/>
        <v>钢混</v>
      </c>
      <c r="G91" s="3047">
        <v>102.45</v>
      </c>
      <c r="H91" s="3159"/>
      <c r="I91" s="3047" t="s">
        <v>3088</v>
      </c>
    </row>
    <row r="92" spans="1:9" ht="22.5" hidden="1" customHeight="1">
      <c r="A92" s="3046">
        <f t="shared" si="18"/>
        <v>90</v>
      </c>
      <c r="B92" s="3047" t="s">
        <v>3084</v>
      </c>
      <c r="C92" s="3047" t="s">
        <v>3136</v>
      </c>
      <c r="D92" s="3047" t="s">
        <v>3158</v>
      </c>
      <c r="E92" s="3047" t="str">
        <f t="shared" si="20"/>
        <v>产权式酒店</v>
      </c>
      <c r="F92" s="3047" t="str">
        <f t="shared" si="20"/>
        <v>钢混</v>
      </c>
      <c r="G92" s="3047">
        <v>102.45</v>
      </c>
      <c r="H92" s="3159"/>
      <c r="I92" s="3047" t="s">
        <v>3088</v>
      </c>
    </row>
    <row r="93" spans="1:9" ht="22.5" hidden="1" customHeight="1">
      <c r="A93" s="3046">
        <f t="shared" si="18"/>
        <v>91</v>
      </c>
      <c r="B93" s="3047" t="s">
        <v>3084</v>
      </c>
      <c r="C93" s="3047" t="s">
        <v>3136</v>
      </c>
      <c r="D93" s="3047" t="s">
        <v>3159</v>
      </c>
      <c r="E93" s="3047" t="str">
        <f t="shared" si="20"/>
        <v>产权式酒店</v>
      </c>
      <c r="F93" s="3047" t="str">
        <f t="shared" si="20"/>
        <v>钢混</v>
      </c>
      <c r="G93" s="3047">
        <v>102.45</v>
      </c>
      <c r="H93" s="3159"/>
      <c r="I93" s="3047" t="s">
        <v>3088</v>
      </c>
    </row>
    <row r="94" spans="1:9" ht="22.5" hidden="1" customHeight="1">
      <c r="A94" s="3046">
        <f t="shared" si="18"/>
        <v>92</v>
      </c>
      <c r="B94" s="3047" t="s">
        <v>3084</v>
      </c>
      <c r="C94" s="3047" t="s">
        <v>3136</v>
      </c>
      <c r="D94" s="3047" t="s">
        <v>3160</v>
      </c>
      <c r="E94" s="3047" t="str">
        <f t="shared" si="20"/>
        <v>产权式酒店</v>
      </c>
      <c r="F94" s="3047" t="str">
        <f t="shared" si="20"/>
        <v>钢混</v>
      </c>
      <c r="G94" s="3047">
        <v>102.45</v>
      </c>
      <c r="H94" s="3159"/>
      <c r="I94" s="3047" t="s">
        <v>3088</v>
      </c>
    </row>
    <row r="95" spans="1:9" ht="22.5" hidden="1" customHeight="1">
      <c r="A95" s="3046">
        <f t="shared" si="18"/>
        <v>93</v>
      </c>
      <c r="B95" s="3047" t="s">
        <v>3084</v>
      </c>
      <c r="C95" s="3047" t="s">
        <v>3136</v>
      </c>
      <c r="D95" s="3047" t="s">
        <v>3161</v>
      </c>
      <c r="E95" s="3047" t="str">
        <f t="shared" si="20"/>
        <v>产权式酒店</v>
      </c>
      <c r="F95" s="3047" t="str">
        <f t="shared" si="20"/>
        <v>钢混</v>
      </c>
      <c r="G95" s="3047">
        <v>86.24</v>
      </c>
      <c r="H95" s="3159"/>
      <c r="I95" s="3047" t="s">
        <v>3088</v>
      </c>
    </row>
    <row r="96" spans="1:9" ht="22.5" hidden="1" customHeight="1">
      <c r="A96" s="3046">
        <f t="shared" si="18"/>
        <v>94</v>
      </c>
      <c r="B96" s="3047" t="s">
        <v>3084</v>
      </c>
      <c r="C96" s="3047" t="s">
        <v>3136</v>
      </c>
      <c r="D96" s="3047" t="s">
        <v>3162</v>
      </c>
      <c r="E96" s="3047" t="str">
        <f t="shared" si="20"/>
        <v>产权式酒店</v>
      </c>
      <c r="F96" s="3047" t="str">
        <f t="shared" si="20"/>
        <v>钢混</v>
      </c>
      <c r="G96" s="3047">
        <v>86.24</v>
      </c>
      <c r="H96" s="3159"/>
      <c r="I96" s="3047" t="s">
        <v>3088</v>
      </c>
    </row>
    <row r="97" spans="1:9" ht="22.5" hidden="1" customHeight="1">
      <c r="A97" s="3046">
        <f t="shared" si="18"/>
        <v>95</v>
      </c>
      <c r="B97" s="3047" t="s">
        <v>3084</v>
      </c>
      <c r="C97" s="3047" t="s">
        <v>3136</v>
      </c>
      <c r="D97" s="3047" t="s">
        <v>3163</v>
      </c>
      <c r="E97" s="3047" t="str">
        <f t="shared" si="20"/>
        <v>产权式酒店</v>
      </c>
      <c r="F97" s="3047" t="str">
        <f t="shared" si="20"/>
        <v>钢混</v>
      </c>
      <c r="G97" s="3047">
        <v>86.24</v>
      </c>
      <c r="H97" s="3159"/>
      <c r="I97" s="3047" t="s">
        <v>3088</v>
      </c>
    </row>
    <row r="98" spans="1:9" ht="22.5" hidden="1" customHeight="1">
      <c r="A98" s="3046">
        <f t="shared" si="18"/>
        <v>96</v>
      </c>
      <c r="B98" s="3047" t="s">
        <v>3084</v>
      </c>
      <c r="C98" s="3047" t="s">
        <v>3136</v>
      </c>
      <c r="D98" s="3047" t="s">
        <v>3164</v>
      </c>
      <c r="E98" s="3047" t="str">
        <f t="shared" si="20"/>
        <v>产权式酒店</v>
      </c>
      <c r="F98" s="3047" t="str">
        <f t="shared" si="20"/>
        <v>钢混</v>
      </c>
      <c r="G98" s="3047">
        <v>86.24</v>
      </c>
      <c r="H98" s="3159"/>
      <c r="I98" s="3047" t="s">
        <v>3088</v>
      </c>
    </row>
    <row r="99" spans="1:9" ht="22.5" hidden="1" customHeight="1">
      <c r="A99" s="3046">
        <f t="shared" si="18"/>
        <v>97</v>
      </c>
      <c r="B99" s="3047" t="s">
        <v>3084</v>
      </c>
      <c r="C99" s="3047" t="s">
        <v>3136</v>
      </c>
      <c r="D99" s="3047" t="s">
        <v>3165</v>
      </c>
      <c r="E99" s="3047" t="str">
        <f t="shared" si="20"/>
        <v>产权式酒店</v>
      </c>
      <c r="F99" s="3047" t="str">
        <f t="shared" si="20"/>
        <v>钢混</v>
      </c>
      <c r="G99" s="3047">
        <v>86.24</v>
      </c>
      <c r="H99" s="3159"/>
      <c r="I99" s="3047" t="s">
        <v>3088</v>
      </c>
    </row>
    <row r="100" spans="1:9" ht="22.5" hidden="1" customHeight="1">
      <c r="A100" s="3046">
        <f t="shared" si="18"/>
        <v>98</v>
      </c>
      <c r="B100" s="3047" t="s">
        <v>3084</v>
      </c>
      <c r="C100" s="3047" t="s">
        <v>3136</v>
      </c>
      <c r="D100" s="3047" t="s">
        <v>3166</v>
      </c>
      <c r="E100" s="3047" t="str">
        <f t="shared" si="20"/>
        <v>产权式酒店</v>
      </c>
      <c r="F100" s="3047" t="str">
        <f t="shared" si="20"/>
        <v>钢混</v>
      </c>
      <c r="G100" s="3047">
        <v>86.24</v>
      </c>
      <c r="H100" s="3159"/>
      <c r="I100" s="3047" t="s">
        <v>3088</v>
      </c>
    </row>
    <row r="101" spans="1:9" ht="22.5" hidden="1" customHeight="1">
      <c r="A101" s="3046">
        <f t="shared" si="18"/>
        <v>99</v>
      </c>
      <c r="B101" s="3047" t="s">
        <v>3084</v>
      </c>
      <c r="C101" s="3047" t="s">
        <v>3136</v>
      </c>
      <c r="D101" s="3047" t="s">
        <v>3167</v>
      </c>
      <c r="E101" s="3047" t="str">
        <f t="shared" ref="E101:F116" si="21">E100</f>
        <v>产权式酒店</v>
      </c>
      <c r="F101" s="3047" t="str">
        <f t="shared" si="21"/>
        <v>钢混</v>
      </c>
      <c r="G101" s="3047">
        <v>83.54</v>
      </c>
      <c r="H101" s="3159"/>
      <c r="I101" s="3047" t="s">
        <v>3088</v>
      </c>
    </row>
    <row r="102" spans="1:9" ht="22.5" hidden="1" customHeight="1">
      <c r="A102" s="3046">
        <f t="shared" si="18"/>
        <v>100</v>
      </c>
      <c r="B102" s="3047" t="s">
        <v>3084</v>
      </c>
      <c r="C102" s="3047" t="s">
        <v>3136</v>
      </c>
      <c r="D102" s="3047" t="s">
        <v>3168</v>
      </c>
      <c r="E102" s="3047" t="str">
        <f t="shared" si="21"/>
        <v>产权式酒店</v>
      </c>
      <c r="F102" s="3047" t="str">
        <f t="shared" si="21"/>
        <v>钢混</v>
      </c>
      <c r="G102" s="3047">
        <v>83.54</v>
      </c>
      <c r="H102" s="3159"/>
      <c r="I102" s="3047" t="s">
        <v>3088</v>
      </c>
    </row>
    <row r="103" spans="1:9" ht="22.5" hidden="1" customHeight="1">
      <c r="A103" s="3046">
        <f t="shared" si="18"/>
        <v>101</v>
      </c>
      <c r="B103" s="3047" t="s">
        <v>3084</v>
      </c>
      <c r="C103" s="3047" t="s">
        <v>3136</v>
      </c>
      <c r="D103" s="3047" t="s">
        <v>3169</v>
      </c>
      <c r="E103" s="3047" t="str">
        <f t="shared" si="21"/>
        <v>产权式酒店</v>
      </c>
      <c r="F103" s="3047" t="str">
        <f t="shared" si="21"/>
        <v>钢混</v>
      </c>
      <c r="G103" s="3047">
        <v>83.54</v>
      </c>
      <c r="H103" s="3159"/>
      <c r="I103" s="3047" t="s">
        <v>3088</v>
      </c>
    </row>
    <row r="104" spans="1:9" ht="22.5" hidden="1" customHeight="1">
      <c r="A104" s="3046">
        <f t="shared" si="18"/>
        <v>102</v>
      </c>
      <c r="B104" s="3047" t="s">
        <v>3084</v>
      </c>
      <c r="C104" s="3047" t="s">
        <v>3136</v>
      </c>
      <c r="D104" s="3047" t="s">
        <v>3170</v>
      </c>
      <c r="E104" s="3047" t="str">
        <f t="shared" si="21"/>
        <v>产权式酒店</v>
      </c>
      <c r="F104" s="3047" t="str">
        <f t="shared" si="21"/>
        <v>钢混</v>
      </c>
      <c r="G104" s="3047">
        <v>83.54</v>
      </c>
      <c r="H104" s="3159"/>
      <c r="I104" s="3047" t="s">
        <v>3088</v>
      </c>
    </row>
    <row r="105" spans="1:9" ht="22.5" hidden="1" customHeight="1">
      <c r="A105" s="3046">
        <f t="shared" si="18"/>
        <v>103</v>
      </c>
      <c r="B105" s="3047" t="s">
        <v>3084</v>
      </c>
      <c r="C105" s="3047" t="s">
        <v>3136</v>
      </c>
      <c r="D105" s="3047" t="s">
        <v>3171</v>
      </c>
      <c r="E105" s="3047" t="str">
        <f t="shared" si="21"/>
        <v>产权式酒店</v>
      </c>
      <c r="F105" s="3047" t="str">
        <f t="shared" si="21"/>
        <v>钢混</v>
      </c>
      <c r="G105" s="3047">
        <v>83.54</v>
      </c>
      <c r="H105" s="3159"/>
      <c r="I105" s="3047" t="s">
        <v>3088</v>
      </c>
    </row>
    <row r="106" spans="1:9" ht="22.5" hidden="1" customHeight="1">
      <c r="A106" s="3046">
        <f t="shared" si="18"/>
        <v>104</v>
      </c>
      <c r="B106" s="3047" t="s">
        <v>3084</v>
      </c>
      <c r="C106" s="3047" t="s">
        <v>3136</v>
      </c>
      <c r="D106" s="3047" t="s">
        <v>3172</v>
      </c>
      <c r="E106" s="3047" t="str">
        <f t="shared" si="21"/>
        <v>产权式酒店</v>
      </c>
      <c r="F106" s="3047" t="str">
        <f t="shared" si="21"/>
        <v>钢混</v>
      </c>
      <c r="G106" s="3047">
        <v>83.54</v>
      </c>
      <c r="H106" s="3155"/>
      <c r="I106" s="3047" t="s">
        <v>3088</v>
      </c>
    </row>
    <row r="107" spans="1:9" ht="22.5" hidden="1" customHeight="1">
      <c r="A107" s="3046">
        <f t="shared" si="18"/>
        <v>105</v>
      </c>
      <c r="B107" s="3047" t="s">
        <v>3084</v>
      </c>
      <c r="C107" s="3047" t="s">
        <v>3173</v>
      </c>
      <c r="D107" s="3047" t="s">
        <v>3174</v>
      </c>
      <c r="E107" s="3047" t="str">
        <f t="shared" si="21"/>
        <v>产权式酒店</v>
      </c>
      <c r="F107" s="3047" t="str">
        <f t="shared" si="21"/>
        <v>钢混</v>
      </c>
      <c r="G107" s="3047">
        <v>140.41</v>
      </c>
      <c r="H107" s="3154">
        <v>5169.95</v>
      </c>
      <c r="I107" s="3047" t="s">
        <v>3088</v>
      </c>
    </row>
    <row r="108" spans="1:9" ht="22.5" hidden="1" customHeight="1">
      <c r="A108" s="3046">
        <f t="shared" si="18"/>
        <v>106</v>
      </c>
      <c r="B108" s="3047" t="s">
        <v>3084</v>
      </c>
      <c r="C108" s="3047" t="s">
        <v>3173</v>
      </c>
      <c r="D108" s="3047" t="s">
        <v>3175</v>
      </c>
      <c r="E108" s="3047" t="str">
        <f t="shared" si="21"/>
        <v>产权式酒店</v>
      </c>
      <c r="F108" s="3047" t="str">
        <f t="shared" si="21"/>
        <v>钢混</v>
      </c>
      <c r="G108" s="3047">
        <v>140.41</v>
      </c>
      <c r="H108" s="3159"/>
      <c r="I108" s="3047" t="s">
        <v>3088</v>
      </c>
    </row>
    <row r="109" spans="1:9" ht="22.5" hidden="1" customHeight="1">
      <c r="A109" s="3046">
        <f t="shared" si="18"/>
        <v>107</v>
      </c>
      <c r="B109" s="3047" t="s">
        <v>3084</v>
      </c>
      <c r="C109" s="3047" t="s">
        <v>3173</v>
      </c>
      <c r="D109" s="3047" t="s">
        <v>3176</v>
      </c>
      <c r="E109" s="3047" t="str">
        <f t="shared" si="21"/>
        <v>产权式酒店</v>
      </c>
      <c r="F109" s="3047" t="str">
        <f t="shared" si="21"/>
        <v>钢混</v>
      </c>
      <c r="G109" s="3047">
        <v>140.41</v>
      </c>
      <c r="H109" s="3159"/>
      <c r="I109" s="3047" t="s">
        <v>3088</v>
      </c>
    </row>
    <row r="110" spans="1:9" ht="22.5" hidden="1" customHeight="1">
      <c r="A110" s="3046">
        <f t="shared" si="18"/>
        <v>108</v>
      </c>
      <c r="B110" s="3047" t="s">
        <v>3084</v>
      </c>
      <c r="C110" s="3047" t="s">
        <v>3173</v>
      </c>
      <c r="D110" s="3047" t="s">
        <v>3177</v>
      </c>
      <c r="E110" s="3047" t="str">
        <f t="shared" si="21"/>
        <v>产权式酒店</v>
      </c>
      <c r="F110" s="3047" t="str">
        <f t="shared" si="21"/>
        <v>钢混</v>
      </c>
      <c r="G110" s="3047">
        <v>140.41</v>
      </c>
      <c r="H110" s="3159"/>
      <c r="I110" s="3047" t="s">
        <v>3088</v>
      </c>
    </row>
    <row r="111" spans="1:9" ht="22.5" hidden="1" customHeight="1">
      <c r="A111" s="3046">
        <f t="shared" si="18"/>
        <v>109</v>
      </c>
      <c r="B111" s="3047" t="s">
        <v>3084</v>
      </c>
      <c r="C111" s="3047" t="s">
        <v>3173</v>
      </c>
      <c r="D111" s="3047" t="s">
        <v>3178</v>
      </c>
      <c r="E111" s="3047" t="str">
        <f t="shared" si="21"/>
        <v>产权式酒店</v>
      </c>
      <c r="F111" s="3047" t="str">
        <f t="shared" si="21"/>
        <v>钢混</v>
      </c>
      <c r="G111" s="3047">
        <v>140.41</v>
      </c>
      <c r="H111" s="3159"/>
      <c r="I111" s="3047" t="s">
        <v>3088</v>
      </c>
    </row>
    <row r="112" spans="1:9" ht="22.5" hidden="1" customHeight="1">
      <c r="A112" s="3046">
        <f t="shared" si="18"/>
        <v>110</v>
      </c>
      <c r="B112" s="3047" t="s">
        <v>3084</v>
      </c>
      <c r="C112" s="3047" t="s">
        <v>3173</v>
      </c>
      <c r="D112" s="3047" t="s">
        <v>3179</v>
      </c>
      <c r="E112" s="3047" t="str">
        <f t="shared" si="21"/>
        <v>产权式酒店</v>
      </c>
      <c r="F112" s="3047" t="str">
        <f t="shared" si="21"/>
        <v>钢混</v>
      </c>
      <c r="G112" s="3047">
        <v>140.41</v>
      </c>
      <c r="H112" s="3159"/>
      <c r="I112" s="3047" t="s">
        <v>3088</v>
      </c>
    </row>
    <row r="113" spans="1:9" ht="22.5" hidden="1" customHeight="1">
      <c r="A113" s="3046">
        <f t="shared" si="18"/>
        <v>111</v>
      </c>
      <c r="B113" s="3047" t="s">
        <v>3084</v>
      </c>
      <c r="C113" s="3047" t="s">
        <v>3173</v>
      </c>
      <c r="D113" s="3047" t="s">
        <v>3180</v>
      </c>
      <c r="E113" s="3047" t="str">
        <f t="shared" si="21"/>
        <v>产权式酒店</v>
      </c>
      <c r="F113" s="3047" t="str">
        <f t="shared" si="21"/>
        <v>钢混</v>
      </c>
      <c r="G113" s="3047">
        <v>129.22</v>
      </c>
      <c r="H113" s="3159"/>
      <c r="I113" s="3047" t="s">
        <v>3088</v>
      </c>
    </row>
    <row r="114" spans="1:9" ht="22.5" hidden="1" customHeight="1">
      <c r="A114" s="3046">
        <f t="shared" si="18"/>
        <v>112</v>
      </c>
      <c r="B114" s="3047" t="s">
        <v>3084</v>
      </c>
      <c r="C114" s="3047" t="s">
        <v>3173</v>
      </c>
      <c r="D114" s="3047" t="s">
        <v>3181</v>
      </c>
      <c r="E114" s="3047" t="str">
        <f t="shared" si="21"/>
        <v>产权式酒店</v>
      </c>
      <c r="F114" s="3047" t="str">
        <f t="shared" si="21"/>
        <v>钢混</v>
      </c>
      <c r="G114" s="3047">
        <v>129.22</v>
      </c>
      <c r="H114" s="3159"/>
      <c r="I114" s="3047" t="s">
        <v>3088</v>
      </c>
    </row>
    <row r="115" spans="1:9" ht="22.5" hidden="1" customHeight="1">
      <c r="A115" s="3046">
        <f t="shared" si="18"/>
        <v>113</v>
      </c>
      <c r="B115" s="3047" t="s">
        <v>3084</v>
      </c>
      <c r="C115" s="3047" t="s">
        <v>3173</v>
      </c>
      <c r="D115" s="3047" t="s">
        <v>3182</v>
      </c>
      <c r="E115" s="3047" t="str">
        <f t="shared" si="21"/>
        <v>产权式酒店</v>
      </c>
      <c r="F115" s="3047" t="str">
        <f t="shared" si="21"/>
        <v>钢混</v>
      </c>
      <c r="G115" s="3047">
        <v>129.22</v>
      </c>
      <c r="H115" s="3159"/>
      <c r="I115" s="3047" t="s">
        <v>3088</v>
      </c>
    </row>
    <row r="116" spans="1:9" ht="22.5" hidden="1" customHeight="1">
      <c r="A116" s="3046">
        <f t="shared" si="18"/>
        <v>114</v>
      </c>
      <c r="B116" s="3047" t="s">
        <v>3084</v>
      </c>
      <c r="C116" s="3047" t="s">
        <v>3173</v>
      </c>
      <c r="D116" s="3047" t="s">
        <v>3183</v>
      </c>
      <c r="E116" s="3047" t="str">
        <f t="shared" si="21"/>
        <v>产权式酒店</v>
      </c>
      <c r="F116" s="3047" t="str">
        <f t="shared" si="21"/>
        <v>钢混</v>
      </c>
      <c r="G116" s="3047">
        <v>129.22</v>
      </c>
      <c r="H116" s="3159"/>
      <c r="I116" s="3047" t="s">
        <v>3088</v>
      </c>
    </row>
    <row r="117" spans="1:9" ht="22.5" hidden="1" customHeight="1">
      <c r="A117" s="3046">
        <f t="shared" si="18"/>
        <v>115</v>
      </c>
      <c r="B117" s="3047" t="s">
        <v>3084</v>
      </c>
      <c r="C117" s="3047" t="s">
        <v>3173</v>
      </c>
      <c r="D117" s="3047" t="s">
        <v>3184</v>
      </c>
      <c r="E117" s="3047" t="str">
        <f t="shared" ref="E117:F132" si="22">E116</f>
        <v>产权式酒店</v>
      </c>
      <c r="F117" s="3047" t="str">
        <f t="shared" si="22"/>
        <v>钢混</v>
      </c>
      <c r="G117" s="3047">
        <v>129.22</v>
      </c>
      <c r="H117" s="3159"/>
      <c r="I117" s="3047" t="s">
        <v>3088</v>
      </c>
    </row>
    <row r="118" spans="1:9" ht="22.5" hidden="1" customHeight="1">
      <c r="A118" s="3046">
        <f t="shared" si="18"/>
        <v>116</v>
      </c>
      <c r="B118" s="3047" t="s">
        <v>3084</v>
      </c>
      <c r="C118" s="3047" t="s">
        <v>3173</v>
      </c>
      <c r="D118" s="3047" t="s">
        <v>3185</v>
      </c>
      <c r="E118" s="3047" t="str">
        <f t="shared" si="22"/>
        <v>产权式酒店</v>
      </c>
      <c r="F118" s="3047" t="str">
        <f t="shared" si="22"/>
        <v>钢混</v>
      </c>
      <c r="G118" s="3047">
        <v>129.22</v>
      </c>
      <c r="H118" s="3159"/>
      <c r="I118" s="3047" t="s">
        <v>3088</v>
      </c>
    </row>
    <row r="119" spans="1:9" ht="22.5" hidden="1" customHeight="1">
      <c r="A119" s="3046">
        <f t="shared" si="18"/>
        <v>117</v>
      </c>
      <c r="B119" s="3047" t="s">
        <v>3084</v>
      </c>
      <c r="C119" s="3047" t="s">
        <v>3173</v>
      </c>
      <c r="D119" s="3047" t="s">
        <v>3186</v>
      </c>
      <c r="E119" s="3047" t="str">
        <f t="shared" si="22"/>
        <v>产权式酒店</v>
      </c>
      <c r="F119" s="3047" t="str">
        <f t="shared" si="22"/>
        <v>钢混</v>
      </c>
      <c r="G119" s="3047">
        <v>110.19</v>
      </c>
      <c r="H119" s="3159"/>
      <c r="I119" s="3047" t="s">
        <v>3088</v>
      </c>
    </row>
    <row r="120" spans="1:9" ht="22.5" hidden="1" customHeight="1">
      <c r="A120" s="3046">
        <f t="shared" si="18"/>
        <v>118</v>
      </c>
      <c r="B120" s="3047" t="s">
        <v>3084</v>
      </c>
      <c r="C120" s="3047" t="s">
        <v>3173</v>
      </c>
      <c r="D120" s="3047" t="s">
        <v>3187</v>
      </c>
      <c r="E120" s="3047" t="str">
        <f t="shared" si="22"/>
        <v>产权式酒店</v>
      </c>
      <c r="F120" s="3047" t="str">
        <f t="shared" si="22"/>
        <v>钢混</v>
      </c>
      <c r="G120" s="3047">
        <v>110.19</v>
      </c>
      <c r="H120" s="3159"/>
      <c r="I120" s="3047" t="s">
        <v>3088</v>
      </c>
    </row>
    <row r="121" spans="1:9" ht="22.5" hidden="1" customHeight="1">
      <c r="A121" s="3046">
        <f t="shared" si="18"/>
        <v>119</v>
      </c>
      <c r="B121" s="3047" t="s">
        <v>3084</v>
      </c>
      <c r="C121" s="3047" t="s">
        <v>3173</v>
      </c>
      <c r="D121" s="3047" t="s">
        <v>3188</v>
      </c>
      <c r="E121" s="3047" t="str">
        <f t="shared" si="22"/>
        <v>产权式酒店</v>
      </c>
      <c r="F121" s="3047" t="str">
        <f t="shared" si="22"/>
        <v>钢混</v>
      </c>
      <c r="G121" s="3047">
        <v>110.19</v>
      </c>
      <c r="H121" s="3159"/>
      <c r="I121" s="3047" t="s">
        <v>3088</v>
      </c>
    </row>
    <row r="122" spans="1:9" ht="22.5" hidden="1" customHeight="1">
      <c r="A122" s="3046">
        <f t="shared" si="18"/>
        <v>120</v>
      </c>
      <c r="B122" s="3047" t="s">
        <v>3084</v>
      </c>
      <c r="C122" s="3047" t="s">
        <v>3173</v>
      </c>
      <c r="D122" s="3047" t="s">
        <v>3189</v>
      </c>
      <c r="E122" s="3047" t="str">
        <f t="shared" si="22"/>
        <v>产权式酒店</v>
      </c>
      <c r="F122" s="3047" t="str">
        <f t="shared" si="22"/>
        <v>钢混</v>
      </c>
      <c r="G122" s="3047">
        <v>110.19</v>
      </c>
      <c r="H122" s="3159"/>
      <c r="I122" s="3047" t="s">
        <v>3088</v>
      </c>
    </row>
    <row r="123" spans="1:9" ht="22.5" hidden="1" customHeight="1">
      <c r="A123" s="3046">
        <f t="shared" si="18"/>
        <v>121</v>
      </c>
      <c r="B123" s="3047" t="s">
        <v>3084</v>
      </c>
      <c r="C123" s="3047" t="s">
        <v>3173</v>
      </c>
      <c r="D123" s="3047" t="s">
        <v>3190</v>
      </c>
      <c r="E123" s="3047" t="str">
        <f t="shared" si="22"/>
        <v>产权式酒店</v>
      </c>
      <c r="F123" s="3047" t="str">
        <f t="shared" si="22"/>
        <v>钢混</v>
      </c>
      <c r="G123" s="3047">
        <v>110.19</v>
      </c>
      <c r="H123" s="3159"/>
      <c r="I123" s="3047" t="s">
        <v>3088</v>
      </c>
    </row>
    <row r="124" spans="1:9" ht="22.5" hidden="1" customHeight="1">
      <c r="A124" s="3046">
        <f t="shared" si="18"/>
        <v>122</v>
      </c>
      <c r="B124" s="3047" t="s">
        <v>3084</v>
      </c>
      <c r="C124" s="3047" t="s">
        <v>3173</v>
      </c>
      <c r="D124" s="3047" t="s">
        <v>3191</v>
      </c>
      <c r="E124" s="3047" t="str">
        <f t="shared" si="22"/>
        <v>产权式酒店</v>
      </c>
      <c r="F124" s="3047" t="str">
        <f t="shared" si="22"/>
        <v>钢混</v>
      </c>
      <c r="G124" s="3047">
        <v>110.19</v>
      </c>
      <c r="H124" s="3159"/>
      <c r="I124" s="3047" t="s">
        <v>3088</v>
      </c>
    </row>
    <row r="125" spans="1:9" ht="22.5" hidden="1" customHeight="1">
      <c r="A125" s="3046">
        <f t="shared" si="18"/>
        <v>123</v>
      </c>
      <c r="B125" s="3047" t="s">
        <v>3084</v>
      </c>
      <c r="C125" s="3047" t="s">
        <v>3173</v>
      </c>
      <c r="D125" s="3047" t="s">
        <v>3192</v>
      </c>
      <c r="E125" s="3047" t="str">
        <f t="shared" si="22"/>
        <v>产权式酒店</v>
      </c>
      <c r="F125" s="3047" t="str">
        <f t="shared" si="22"/>
        <v>钢混</v>
      </c>
      <c r="G125" s="3047">
        <v>102.45</v>
      </c>
      <c r="H125" s="3159"/>
      <c r="I125" s="3047" t="s">
        <v>3088</v>
      </c>
    </row>
    <row r="126" spans="1:9" ht="22.5" hidden="1" customHeight="1">
      <c r="A126" s="3046">
        <f t="shared" si="18"/>
        <v>124</v>
      </c>
      <c r="B126" s="3047" t="s">
        <v>3084</v>
      </c>
      <c r="C126" s="3047" t="s">
        <v>3173</v>
      </c>
      <c r="D126" s="3047" t="s">
        <v>3193</v>
      </c>
      <c r="E126" s="3047" t="str">
        <f t="shared" si="22"/>
        <v>产权式酒店</v>
      </c>
      <c r="F126" s="3047" t="str">
        <f t="shared" si="22"/>
        <v>钢混</v>
      </c>
      <c r="G126" s="3047">
        <v>102.45</v>
      </c>
      <c r="H126" s="3159"/>
      <c r="I126" s="3047" t="s">
        <v>3088</v>
      </c>
    </row>
    <row r="127" spans="1:9" ht="22.5" hidden="1" customHeight="1">
      <c r="A127" s="3046">
        <f t="shared" si="18"/>
        <v>125</v>
      </c>
      <c r="B127" s="3047" t="s">
        <v>3084</v>
      </c>
      <c r="C127" s="3047" t="s">
        <v>3173</v>
      </c>
      <c r="D127" s="3047" t="s">
        <v>3194</v>
      </c>
      <c r="E127" s="3047" t="str">
        <f t="shared" si="22"/>
        <v>产权式酒店</v>
      </c>
      <c r="F127" s="3047" t="str">
        <f t="shared" si="22"/>
        <v>钢混</v>
      </c>
      <c r="G127" s="3047">
        <v>102.45</v>
      </c>
      <c r="H127" s="3159"/>
      <c r="I127" s="3047" t="s">
        <v>3088</v>
      </c>
    </row>
    <row r="128" spans="1:9" ht="22.5" hidden="1" customHeight="1">
      <c r="A128" s="3046">
        <f t="shared" si="18"/>
        <v>126</v>
      </c>
      <c r="B128" s="3047" t="s">
        <v>3084</v>
      </c>
      <c r="C128" s="3047" t="s">
        <v>3173</v>
      </c>
      <c r="D128" s="3047" t="s">
        <v>3195</v>
      </c>
      <c r="E128" s="3047" t="str">
        <f t="shared" si="22"/>
        <v>产权式酒店</v>
      </c>
      <c r="F128" s="3047" t="str">
        <f t="shared" si="22"/>
        <v>钢混</v>
      </c>
      <c r="G128" s="3047">
        <v>102.45</v>
      </c>
      <c r="H128" s="3159"/>
      <c r="I128" s="3047" t="s">
        <v>3088</v>
      </c>
    </row>
    <row r="129" spans="1:9" ht="22.5" hidden="1" customHeight="1">
      <c r="A129" s="3046">
        <f t="shared" si="18"/>
        <v>127</v>
      </c>
      <c r="B129" s="3047" t="s">
        <v>3084</v>
      </c>
      <c r="C129" s="3047" t="s">
        <v>3173</v>
      </c>
      <c r="D129" s="3047" t="s">
        <v>3196</v>
      </c>
      <c r="E129" s="3047" t="str">
        <f t="shared" si="22"/>
        <v>产权式酒店</v>
      </c>
      <c r="F129" s="3047" t="str">
        <f t="shared" si="22"/>
        <v>钢混</v>
      </c>
      <c r="G129" s="3047">
        <v>102.45</v>
      </c>
      <c r="H129" s="3159"/>
      <c r="I129" s="3047" t="s">
        <v>3088</v>
      </c>
    </row>
    <row r="130" spans="1:9" ht="22.5" hidden="1" customHeight="1">
      <c r="A130" s="3046">
        <f t="shared" si="18"/>
        <v>128</v>
      </c>
      <c r="B130" s="3047" t="s">
        <v>3084</v>
      </c>
      <c r="C130" s="3047" t="s">
        <v>3173</v>
      </c>
      <c r="D130" s="3047" t="s">
        <v>3197</v>
      </c>
      <c r="E130" s="3047" t="str">
        <f t="shared" si="22"/>
        <v>产权式酒店</v>
      </c>
      <c r="F130" s="3047" t="str">
        <f t="shared" si="22"/>
        <v>钢混</v>
      </c>
      <c r="G130" s="3047">
        <v>102.45</v>
      </c>
      <c r="H130" s="3159"/>
      <c r="I130" s="3047" t="s">
        <v>3088</v>
      </c>
    </row>
    <row r="131" spans="1:9" ht="22.5" hidden="1" customHeight="1">
      <c r="A131" s="3046">
        <f t="shared" si="18"/>
        <v>129</v>
      </c>
      <c r="B131" s="3047" t="s">
        <v>3084</v>
      </c>
      <c r="C131" s="3047" t="s">
        <v>3173</v>
      </c>
      <c r="D131" s="3047" t="s">
        <v>3198</v>
      </c>
      <c r="E131" s="3047" t="str">
        <f t="shared" si="22"/>
        <v>产权式酒店</v>
      </c>
      <c r="F131" s="3047" t="str">
        <f t="shared" si="22"/>
        <v>钢混</v>
      </c>
      <c r="G131" s="3047">
        <v>86.24</v>
      </c>
      <c r="H131" s="3159"/>
      <c r="I131" s="3047" t="s">
        <v>3088</v>
      </c>
    </row>
    <row r="132" spans="1:9" ht="22.5" hidden="1" customHeight="1">
      <c r="A132" s="3046">
        <f t="shared" si="18"/>
        <v>130</v>
      </c>
      <c r="B132" s="3047" t="s">
        <v>3084</v>
      </c>
      <c r="C132" s="3047" t="s">
        <v>3173</v>
      </c>
      <c r="D132" s="3047" t="s">
        <v>3199</v>
      </c>
      <c r="E132" s="3047" t="str">
        <f t="shared" si="22"/>
        <v>产权式酒店</v>
      </c>
      <c r="F132" s="3047" t="str">
        <f t="shared" si="22"/>
        <v>钢混</v>
      </c>
      <c r="G132" s="3047">
        <v>86.24</v>
      </c>
      <c r="H132" s="3159"/>
      <c r="I132" s="3047" t="s">
        <v>3088</v>
      </c>
    </row>
    <row r="133" spans="1:9" ht="22.5" hidden="1" customHeight="1">
      <c r="A133" s="3046">
        <f t="shared" ref="A133:A196" si="23">A132+1</f>
        <v>131</v>
      </c>
      <c r="B133" s="3047" t="s">
        <v>3084</v>
      </c>
      <c r="C133" s="3047" t="s">
        <v>3173</v>
      </c>
      <c r="D133" s="3047" t="s">
        <v>3200</v>
      </c>
      <c r="E133" s="3047" t="str">
        <f t="shared" ref="E133:F148" si="24">E132</f>
        <v>产权式酒店</v>
      </c>
      <c r="F133" s="3047" t="str">
        <f t="shared" si="24"/>
        <v>钢混</v>
      </c>
      <c r="G133" s="3047">
        <v>86.24</v>
      </c>
      <c r="H133" s="3159"/>
      <c r="I133" s="3047" t="s">
        <v>3088</v>
      </c>
    </row>
    <row r="134" spans="1:9" ht="22.5" hidden="1" customHeight="1">
      <c r="A134" s="3046">
        <f t="shared" si="23"/>
        <v>132</v>
      </c>
      <c r="B134" s="3047" t="s">
        <v>3084</v>
      </c>
      <c r="C134" s="3047" t="s">
        <v>3173</v>
      </c>
      <c r="D134" s="3047" t="s">
        <v>3201</v>
      </c>
      <c r="E134" s="3047" t="str">
        <f t="shared" si="24"/>
        <v>产权式酒店</v>
      </c>
      <c r="F134" s="3047" t="str">
        <f t="shared" si="24"/>
        <v>钢混</v>
      </c>
      <c r="G134" s="3047">
        <v>86.24</v>
      </c>
      <c r="H134" s="3159"/>
      <c r="I134" s="3047" t="s">
        <v>3088</v>
      </c>
    </row>
    <row r="135" spans="1:9" ht="22.5" hidden="1" customHeight="1">
      <c r="A135" s="3046">
        <f t="shared" si="23"/>
        <v>133</v>
      </c>
      <c r="B135" s="3047" t="s">
        <v>3084</v>
      </c>
      <c r="C135" s="3047" t="s">
        <v>3173</v>
      </c>
      <c r="D135" s="3047" t="s">
        <v>3202</v>
      </c>
      <c r="E135" s="3047" t="str">
        <f t="shared" si="24"/>
        <v>产权式酒店</v>
      </c>
      <c r="F135" s="3047" t="str">
        <f t="shared" si="24"/>
        <v>钢混</v>
      </c>
      <c r="G135" s="3047">
        <v>86.24</v>
      </c>
      <c r="H135" s="3159"/>
      <c r="I135" s="3047" t="s">
        <v>3088</v>
      </c>
    </row>
    <row r="136" spans="1:9" ht="22.5" hidden="1" customHeight="1">
      <c r="A136" s="3046">
        <f t="shared" si="23"/>
        <v>134</v>
      </c>
      <c r="B136" s="3047" t="s">
        <v>3084</v>
      </c>
      <c r="C136" s="3047" t="s">
        <v>3173</v>
      </c>
      <c r="D136" s="3047" t="s">
        <v>3203</v>
      </c>
      <c r="E136" s="3047" t="str">
        <f t="shared" si="24"/>
        <v>产权式酒店</v>
      </c>
      <c r="F136" s="3047" t="str">
        <f t="shared" si="24"/>
        <v>钢混</v>
      </c>
      <c r="G136" s="3047">
        <v>86.24</v>
      </c>
      <c r="H136" s="3159"/>
      <c r="I136" s="3047" t="s">
        <v>3088</v>
      </c>
    </row>
    <row r="137" spans="1:9" ht="22.5" hidden="1" customHeight="1">
      <c r="A137" s="3046">
        <f t="shared" si="23"/>
        <v>135</v>
      </c>
      <c r="B137" s="3047" t="s">
        <v>3084</v>
      </c>
      <c r="C137" s="3047" t="s">
        <v>3173</v>
      </c>
      <c r="D137" s="3047" t="s">
        <v>3204</v>
      </c>
      <c r="E137" s="3047" t="str">
        <f t="shared" si="24"/>
        <v>产权式酒店</v>
      </c>
      <c r="F137" s="3047" t="str">
        <f t="shared" si="24"/>
        <v>钢混</v>
      </c>
      <c r="G137" s="3047">
        <v>83.54</v>
      </c>
      <c r="H137" s="3159"/>
      <c r="I137" s="3047" t="s">
        <v>3088</v>
      </c>
    </row>
    <row r="138" spans="1:9" ht="22.5" hidden="1" customHeight="1">
      <c r="A138" s="3046">
        <f t="shared" si="23"/>
        <v>136</v>
      </c>
      <c r="B138" s="3047" t="s">
        <v>3084</v>
      </c>
      <c r="C138" s="3047" t="s">
        <v>3173</v>
      </c>
      <c r="D138" s="3047" t="s">
        <v>3205</v>
      </c>
      <c r="E138" s="3047" t="str">
        <f t="shared" si="24"/>
        <v>产权式酒店</v>
      </c>
      <c r="F138" s="3047" t="str">
        <f t="shared" si="24"/>
        <v>钢混</v>
      </c>
      <c r="G138" s="3047">
        <v>83.54</v>
      </c>
      <c r="H138" s="3159"/>
      <c r="I138" s="3047" t="s">
        <v>3088</v>
      </c>
    </row>
    <row r="139" spans="1:9" ht="22.5" hidden="1" customHeight="1">
      <c r="A139" s="3046">
        <f t="shared" si="23"/>
        <v>137</v>
      </c>
      <c r="B139" s="3047" t="s">
        <v>3084</v>
      </c>
      <c r="C139" s="3047" t="s">
        <v>3173</v>
      </c>
      <c r="D139" s="3047" t="s">
        <v>3206</v>
      </c>
      <c r="E139" s="3047" t="str">
        <f t="shared" si="24"/>
        <v>产权式酒店</v>
      </c>
      <c r="F139" s="3047" t="str">
        <f t="shared" si="24"/>
        <v>钢混</v>
      </c>
      <c r="G139" s="3047">
        <v>83.54</v>
      </c>
      <c r="H139" s="3159"/>
      <c r="I139" s="3047" t="s">
        <v>3088</v>
      </c>
    </row>
    <row r="140" spans="1:9" ht="22.5" hidden="1" customHeight="1">
      <c r="A140" s="3046">
        <f t="shared" si="23"/>
        <v>138</v>
      </c>
      <c r="B140" s="3047" t="s">
        <v>3084</v>
      </c>
      <c r="C140" s="3047" t="s">
        <v>3173</v>
      </c>
      <c r="D140" s="3047" t="s">
        <v>3207</v>
      </c>
      <c r="E140" s="3047" t="str">
        <f t="shared" si="24"/>
        <v>产权式酒店</v>
      </c>
      <c r="F140" s="3047" t="str">
        <f t="shared" si="24"/>
        <v>钢混</v>
      </c>
      <c r="G140" s="3047">
        <v>83.54</v>
      </c>
      <c r="H140" s="3159"/>
      <c r="I140" s="3047" t="s">
        <v>3088</v>
      </c>
    </row>
    <row r="141" spans="1:9" ht="22.5" hidden="1" customHeight="1">
      <c r="A141" s="3046">
        <f t="shared" si="23"/>
        <v>139</v>
      </c>
      <c r="B141" s="3047" t="s">
        <v>3084</v>
      </c>
      <c r="C141" s="3047" t="s">
        <v>3173</v>
      </c>
      <c r="D141" s="3047" t="s">
        <v>3208</v>
      </c>
      <c r="E141" s="3047" t="str">
        <f t="shared" si="24"/>
        <v>产权式酒店</v>
      </c>
      <c r="F141" s="3047" t="str">
        <f t="shared" si="24"/>
        <v>钢混</v>
      </c>
      <c r="G141" s="3047">
        <v>83.54</v>
      </c>
      <c r="H141" s="3159"/>
      <c r="I141" s="3047" t="s">
        <v>3088</v>
      </c>
    </row>
    <row r="142" spans="1:9" ht="22.5" hidden="1" customHeight="1">
      <c r="A142" s="3046">
        <f t="shared" si="23"/>
        <v>140</v>
      </c>
      <c r="B142" s="3047" t="s">
        <v>3084</v>
      </c>
      <c r="C142" s="3047" t="s">
        <v>3173</v>
      </c>
      <c r="D142" s="3047" t="s">
        <v>3209</v>
      </c>
      <c r="E142" s="3047" t="str">
        <f t="shared" si="24"/>
        <v>产权式酒店</v>
      </c>
      <c r="F142" s="3047" t="str">
        <f t="shared" si="24"/>
        <v>钢混</v>
      </c>
      <c r="G142" s="3047">
        <v>83.54</v>
      </c>
      <c r="H142" s="3155"/>
      <c r="I142" s="3047" t="s">
        <v>3088</v>
      </c>
    </row>
    <row r="143" spans="1:9" ht="22.5" hidden="1" customHeight="1">
      <c r="A143" s="3046">
        <f t="shared" si="23"/>
        <v>141</v>
      </c>
      <c r="B143" s="3047" t="s">
        <v>3084</v>
      </c>
      <c r="C143" s="3047" t="s">
        <v>3210</v>
      </c>
      <c r="D143" s="3047" t="s">
        <v>3211</v>
      </c>
      <c r="E143" s="3047" t="str">
        <f t="shared" si="24"/>
        <v>产权式酒店</v>
      </c>
      <c r="F143" s="3047" t="str">
        <f t="shared" si="24"/>
        <v>钢混</v>
      </c>
      <c r="G143" s="3047">
        <v>140.41</v>
      </c>
      <c r="H143" s="3154">
        <v>5169.95</v>
      </c>
      <c r="I143" s="3047" t="s">
        <v>3088</v>
      </c>
    </row>
    <row r="144" spans="1:9" ht="22.5" hidden="1" customHeight="1">
      <c r="A144" s="3046">
        <f t="shared" si="23"/>
        <v>142</v>
      </c>
      <c r="B144" s="3047" t="s">
        <v>3084</v>
      </c>
      <c r="C144" s="3047" t="s">
        <v>3210</v>
      </c>
      <c r="D144" s="3047" t="s">
        <v>3212</v>
      </c>
      <c r="E144" s="3047" t="str">
        <f t="shared" si="24"/>
        <v>产权式酒店</v>
      </c>
      <c r="F144" s="3047" t="str">
        <f t="shared" si="24"/>
        <v>钢混</v>
      </c>
      <c r="G144" s="3047">
        <v>140.41</v>
      </c>
      <c r="H144" s="3159"/>
      <c r="I144" s="3047" t="s">
        <v>3088</v>
      </c>
    </row>
    <row r="145" spans="1:9" ht="22.5" hidden="1" customHeight="1">
      <c r="A145" s="3046">
        <f t="shared" si="23"/>
        <v>143</v>
      </c>
      <c r="B145" s="3047" t="s">
        <v>3084</v>
      </c>
      <c r="C145" s="3047" t="s">
        <v>3210</v>
      </c>
      <c r="D145" s="3047" t="s">
        <v>3213</v>
      </c>
      <c r="E145" s="3047" t="str">
        <f t="shared" si="24"/>
        <v>产权式酒店</v>
      </c>
      <c r="F145" s="3047" t="str">
        <f t="shared" si="24"/>
        <v>钢混</v>
      </c>
      <c r="G145" s="3047">
        <v>140.41</v>
      </c>
      <c r="H145" s="3159"/>
      <c r="I145" s="3047" t="s">
        <v>3088</v>
      </c>
    </row>
    <row r="146" spans="1:9" ht="22.5" hidden="1" customHeight="1">
      <c r="A146" s="3046">
        <f t="shared" si="23"/>
        <v>144</v>
      </c>
      <c r="B146" s="3047" t="s">
        <v>3084</v>
      </c>
      <c r="C146" s="3047" t="s">
        <v>3210</v>
      </c>
      <c r="D146" s="3047" t="s">
        <v>3214</v>
      </c>
      <c r="E146" s="3047" t="str">
        <f t="shared" si="24"/>
        <v>产权式酒店</v>
      </c>
      <c r="F146" s="3047" t="str">
        <f t="shared" si="24"/>
        <v>钢混</v>
      </c>
      <c r="G146" s="3047">
        <v>140.41</v>
      </c>
      <c r="H146" s="3159"/>
      <c r="I146" s="3047" t="s">
        <v>3088</v>
      </c>
    </row>
    <row r="147" spans="1:9" ht="22.5" hidden="1" customHeight="1">
      <c r="A147" s="3046">
        <f t="shared" si="23"/>
        <v>145</v>
      </c>
      <c r="B147" s="3047" t="s">
        <v>3084</v>
      </c>
      <c r="C147" s="3047" t="s">
        <v>3210</v>
      </c>
      <c r="D147" s="3047" t="s">
        <v>3215</v>
      </c>
      <c r="E147" s="3047" t="str">
        <f t="shared" si="24"/>
        <v>产权式酒店</v>
      </c>
      <c r="F147" s="3047" t="str">
        <f t="shared" si="24"/>
        <v>钢混</v>
      </c>
      <c r="G147" s="3047">
        <v>140.41</v>
      </c>
      <c r="H147" s="3159"/>
      <c r="I147" s="3047" t="s">
        <v>3088</v>
      </c>
    </row>
    <row r="148" spans="1:9" ht="22.5" hidden="1" customHeight="1">
      <c r="A148" s="3046">
        <f t="shared" si="23"/>
        <v>146</v>
      </c>
      <c r="B148" s="3047" t="s">
        <v>3084</v>
      </c>
      <c r="C148" s="3047" t="s">
        <v>3210</v>
      </c>
      <c r="D148" s="3047" t="s">
        <v>3216</v>
      </c>
      <c r="E148" s="3047" t="str">
        <f t="shared" si="24"/>
        <v>产权式酒店</v>
      </c>
      <c r="F148" s="3047" t="str">
        <f t="shared" si="24"/>
        <v>钢混</v>
      </c>
      <c r="G148" s="3047">
        <v>140.41</v>
      </c>
      <c r="H148" s="3159"/>
      <c r="I148" s="3047" t="s">
        <v>3088</v>
      </c>
    </row>
    <row r="149" spans="1:9" ht="22.5" hidden="1" customHeight="1">
      <c r="A149" s="3046">
        <f t="shared" si="23"/>
        <v>147</v>
      </c>
      <c r="B149" s="3047" t="s">
        <v>3084</v>
      </c>
      <c r="C149" s="3047" t="s">
        <v>3210</v>
      </c>
      <c r="D149" s="3047" t="s">
        <v>3217</v>
      </c>
      <c r="E149" s="3047" t="str">
        <f t="shared" ref="E149:F164" si="25">E148</f>
        <v>产权式酒店</v>
      </c>
      <c r="F149" s="3047" t="str">
        <f t="shared" si="25"/>
        <v>钢混</v>
      </c>
      <c r="G149" s="3047">
        <v>129.22</v>
      </c>
      <c r="H149" s="3159"/>
      <c r="I149" s="3047" t="s">
        <v>3088</v>
      </c>
    </row>
    <row r="150" spans="1:9" ht="22.5" hidden="1" customHeight="1">
      <c r="A150" s="3046">
        <f t="shared" si="23"/>
        <v>148</v>
      </c>
      <c r="B150" s="3047" t="s">
        <v>3084</v>
      </c>
      <c r="C150" s="3047" t="s">
        <v>3210</v>
      </c>
      <c r="D150" s="3047" t="s">
        <v>3218</v>
      </c>
      <c r="E150" s="3047" t="str">
        <f t="shared" si="25"/>
        <v>产权式酒店</v>
      </c>
      <c r="F150" s="3047" t="str">
        <f t="shared" si="25"/>
        <v>钢混</v>
      </c>
      <c r="G150" s="3047">
        <v>129.22</v>
      </c>
      <c r="H150" s="3159"/>
      <c r="I150" s="3047" t="s">
        <v>3088</v>
      </c>
    </row>
    <row r="151" spans="1:9" ht="22.5" hidden="1" customHeight="1">
      <c r="A151" s="3046">
        <f t="shared" si="23"/>
        <v>149</v>
      </c>
      <c r="B151" s="3047" t="s">
        <v>3084</v>
      </c>
      <c r="C151" s="3047" t="s">
        <v>3210</v>
      </c>
      <c r="D151" s="3047" t="s">
        <v>3219</v>
      </c>
      <c r="E151" s="3047" t="str">
        <f t="shared" si="25"/>
        <v>产权式酒店</v>
      </c>
      <c r="F151" s="3047" t="str">
        <f t="shared" si="25"/>
        <v>钢混</v>
      </c>
      <c r="G151" s="3047">
        <v>129.22</v>
      </c>
      <c r="H151" s="3159"/>
      <c r="I151" s="3047" t="s">
        <v>3088</v>
      </c>
    </row>
    <row r="152" spans="1:9" ht="22.5" hidden="1" customHeight="1">
      <c r="A152" s="3046">
        <f t="shared" si="23"/>
        <v>150</v>
      </c>
      <c r="B152" s="3047" t="s">
        <v>3084</v>
      </c>
      <c r="C152" s="3047" t="s">
        <v>3210</v>
      </c>
      <c r="D152" s="3047" t="s">
        <v>3220</v>
      </c>
      <c r="E152" s="3047" t="str">
        <f t="shared" si="25"/>
        <v>产权式酒店</v>
      </c>
      <c r="F152" s="3047" t="str">
        <f t="shared" si="25"/>
        <v>钢混</v>
      </c>
      <c r="G152" s="3047">
        <v>129.22</v>
      </c>
      <c r="H152" s="3159"/>
      <c r="I152" s="3047" t="s">
        <v>3088</v>
      </c>
    </row>
    <row r="153" spans="1:9" ht="22.5" hidden="1" customHeight="1">
      <c r="A153" s="3046">
        <f t="shared" si="23"/>
        <v>151</v>
      </c>
      <c r="B153" s="3047" t="s">
        <v>3084</v>
      </c>
      <c r="C153" s="3047" t="s">
        <v>3210</v>
      </c>
      <c r="D153" s="3047" t="s">
        <v>3221</v>
      </c>
      <c r="E153" s="3047" t="str">
        <f t="shared" si="25"/>
        <v>产权式酒店</v>
      </c>
      <c r="F153" s="3047" t="str">
        <f t="shared" si="25"/>
        <v>钢混</v>
      </c>
      <c r="G153" s="3047">
        <v>129.22</v>
      </c>
      <c r="H153" s="3159"/>
      <c r="I153" s="3047" t="s">
        <v>3088</v>
      </c>
    </row>
    <row r="154" spans="1:9" ht="22.5" hidden="1" customHeight="1">
      <c r="A154" s="3046">
        <f t="shared" si="23"/>
        <v>152</v>
      </c>
      <c r="B154" s="3047" t="s">
        <v>3084</v>
      </c>
      <c r="C154" s="3047" t="s">
        <v>3210</v>
      </c>
      <c r="D154" s="3047" t="s">
        <v>3222</v>
      </c>
      <c r="E154" s="3047" t="str">
        <f t="shared" si="25"/>
        <v>产权式酒店</v>
      </c>
      <c r="F154" s="3047" t="str">
        <f t="shared" si="25"/>
        <v>钢混</v>
      </c>
      <c r="G154" s="3047">
        <v>129.22</v>
      </c>
      <c r="H154" s="3159"/>
      <c r="I154" s="3047" t="s">
        <v>3088</v>
      </c>
    </row>
    <row r="155" spans="1:9" ht="22.5" hidden="1" customHeight="1">
      <c r="A155" s="3046">
        <f t="shared" si="23"/>
        <v>153</v>
      </c>
      <c r="B155" s="3047" t="s">
        <v>3084</v>
      </c>
      <c r="C155" s="3047" t="s">
        <v>3210</v>
      </c>
      <c r="D155" s="3047" t="s">
        <v>3223</v>
      </c>
      <c r="E155" s="3047" t="str">
        <f t="shared" si="25"/>
        <v>产权式酒店</v>
      </c>
      <c r="F155" s="3047" t="str">
        <f t="shared" si="25"/>
        <v>钢混</v>
      </c>
      <c r="G155" s="3047">
        <v>110.19</v>
      </c>
      <c r="H155" s="3159"/>
      <c r="I155" s="3047" t="s">
        <v>3088</v>
      </c>
    </row>
    <row r="156" spans="1:9" ht="22.5" hidden="1" customHeight="1">
      <c r="A156" s="3046">
        <f t="shared" si="23"/>
        <v>154</v>
      </c>
      <c r="B156" s="3047" t="s">
        <v>3084</v>
      </c>
      <c r="C156" s="3047" t="s">
        <v>3210</v>
      </c>
      <c r="D156" s="3047" t="s">
        <v>3224</v>
      </c>
      <c r="E156" s="3047" t="str">
        <f t="shared" si="25"/>
        <v>产权式酒店</v>
      </c>
      <c r="F156" s="3047" t="str">
        <f t="shared" si="25"/>
        <v>钢混</v>
      </c>
      <c r="G156" s="3047">
        <v>110.19</v>
      </c>
      <c r="H156" s="3159"/>
      <c r="I156" s="3047" t="s">
        <v>3088</v>
      </c>
    </row>
    <row r="157" spans="1:9" ht="22.5" hidden="1" customHeight="1">
      <c r="A157" s="3046">
        <f t="shared" si="23"/>
        <v>155</v>
      </c>
      <c r="B157" s="3047" t="s">
        <v>3084</v>
      </c>
      <c r="C157" s="3047" t="s">
        <v>3210</v>
      </c>
      <c r="D157" s="3047" t="s">
        <v>3225</v>
      </c>
      <c r="E157" s="3047" t="str">
        <f t="shared" si="25"/>
        <v>产权式酒店</v>
      </c>
      <c r="F157" s="3047" t="str">
        <f t="shared" si="25"/>
        <v>钢混</v>
      </c>
      <c r="G157" s="3047">
        <v>110.19</v>
      </c>
      <c r="H157" s="3159"/>
      <c r="I157" s="3047" t="s">
        <v>3088</v>
      </c>
    </row>
    <row r="158" spans="1:9" ht="22.5" hidden="1" customHeight="1">
      <c r="A158" s="3046">
        <f t="shared" si="23"/>
        <v>156</v>
      </c>
      <c r="B158" s="3047" t="s">
        <v>3084</v>
      </c>
      <c r="C158" s="3047" t="s">
        <v>3210</v>
      </c>
      <c r="D158" s="3047" t="s">
        <v>3226</v>
      </c>
      <c r="E158" s="3047" t="str">
        <f t="shared" si="25"/>
        <v>产权式酒店</v>
      </c>
      <c r="F158" s="3047" t="str">
        <f t="shared" si="25"/>
        <v>钢混</v>
      </c>
      <c r="G158" s="3047">
        <v>110.19</v>
      </c>
      <c r="H158" s="3159"/>
      <c r="I158" s="3047" t="s">
        <v>3088</v>
      </c>
    </row>
    <row r="159" spans="1:9" ht="22.5" hidden="1" customHeight="1">
      <c r="A159" s="3046">
        <f t="shared" si="23"/>
        <v>157</v>
      </c>
      <c r="B159" s="3047" t="s">
        <v>3084</v>
      </c>
      <c r="C159" s="3047" t="s">
        <v>3210</v>
      </c>
      <c r="D159" s="3047" t="s">
        <v>3227</v>
      </c>
      <c r="E159" s="3047" t="str">
        <f t="shared" si="25"/>
        <v>产权式酒店</v>
      </c>
      <c r="F159" s="3047" t="str">
        <f t="shared" si="25"/>
        <v>钢混</v>
      </c>
      <c r="G159" s="3047">
        <v>110.19</v>
      </c>
      <c r="H159" s="3159"/>
      <c r="I159" s="3047" t="s">
        <v>3088</v>
      </c>
    </row>
    <row r="160" spans="1:9" ht="22.5" hidden="1" customHeight="1">
      <c r="A160" s="3046">
        <f t="shared" si="23"/>
        <v>158</v>
      </c>
      <c r="B160" s="3047" t="s">
        <v>3084</v>
      </c>
      <c r="C160" s="3047" t="s">
        <v>3210</v>
      </c>
      <c r="D160" s="3047" t="s">
        <v>3228</v>
      </c>
      <c r="E160" s="3047" t="str">
        <f t="shared" si="25"/>
        <v>产权式酒店</v>
      </c>
      <c r="F160" s="3047" t="str">
        <f t="shared" si="25"/>
        <v>钢混</v>
      </c>
      <c r="G160" s="3047">
        <v>110.19</v>
      </c>
      <c r="H160" s="3159"/>
      <c r="I160" s="3047" t="s">
        <v>3088</v>
      </c>
    </row>
    <row r="161" spans="1:9" ht="22.5" hidden="1" customHeight="1">
      <c r="A161" s="3046">
        <f t="shared" si="23"/>
        <v>159</v>
      </c>
      <c r="B161" s="3047" t="s">
        <v>3084</v>
      </c>
      <c r="C161" s="3047" t="s">
        <v>3210</v>
      </c>
      <c r="D161" s="3047" t="s">
        <v>3229</v>
      </c>
      <c r="E161" s="3047" t="str">
        <f t="shared" si="25"/>
        <v>产权式酒店</v>
      </c>
      <c r="F161" s="3047" t="str">
        <f t="shared" si="25"/>
        <v>钢混</v>
      </c>
      <c r="G161" s="3047">
        <v>102.45</v>
      </c>
      <c r="H161" s="3159"/>
      <c r="I161" s="3047" t="s">
        <v>3088</v>
      </c>
    </row>
    <row r="162" spans="1:9" ht="22.5" hidden="1" customHeight="1">
      <c r="A162" s="3046">
        <f t="shared" si="23"/>
        <v>160</v>
      </c>
      <c r="B162" s="3047" t="s">
        <v>3084</v>
      </c>
      <c r="C162" s="3047" t="s">
        <v>3210</v>
      </c>
      <c r="D162" s="3047" t="s">
        <v>3230</v>
      </c>
      <c r="E162" s="3047" t="str">
        <f t="shared" si="25"/>
        <v>产权式酒店</v>
      </c>
      <c r="F162" s="3047" t="str">
        <f t="shared" si="25"/>
        <v>钢混</v>
      </c>
      <c r="G162" s="3047">
        <v>102.45</v>
      </c>
      <c r="H162" s="3159"/>
      <c r="I162" s="3047" t="s">
        <v>3088</v>
      </c>
    </row>
    <row r="163" spans="1:9" ht="22.5" hidden="1" customHeight="1">
      <c r="A163" s="3046">
        <f t="shared" si="23"/>
        <v>161</v>
      </c>
      <c r="B163" s="3047" t="s">
        <v>3084</v>
      </c>
      <c r="C163" s="3047" t="s">
        <v>3210</v>
      </c>
      <c r="D163" s="3047" t="s">
        <v>3231</v>
      </c>
      <c r="E163" s="3047" t="str">
        <f t="shared" si="25"/>
        <v>产权式酒店</v>
      </c>
      <c r="F163" s="3047" t="str">
        <f t="shared" si="25"/>
        <v>钢混</v>
      </c>
      <c r="G163" s="3047">
        <v>102.45</v>
      </c>
      <c r="H163" s="3159"/>
      <c r="I163" s="3047" t="s">
        <v>3088</v>
      </c>
    </row>
    <row r="164" spans="1:9" ht="22.5" hidden="1" customHeight="1">
      <c r="A164" s="3046">
        <f t="shared" si="23"/>
        <v>162</v>
      </c>
      <c r="B164" s="3047" t="s">
        <v>3084</v>
      </c>
      <c r="C164" s="3047" t="s">
        <v>3210</v>
      </c>
      <c r="D164" s="3047" t="s">
        <v>3232</v>
      </c>
      <c r="E164" s="3047" t="str">
        <f t="shared" si="25"/>
        <v>产权式酒店</v>
      </c>
      <c r="F164" s="3047" t="str">
        <f t="shared" si="25"/>
        <v>钢混</v>
      </c>
      <c r="G164" s="3047">
        <v>102.45</v>
      </c>
      <c r="H164" s="3159"/>
      <c r="I164" s="3047" t="s">
        <v>3088</v>
      </c>
    </row>
    <row r="165" spans="1:9" ht="22.5" hidden="1" customHeight="1">
      <c r="A165" s="3046">
        <f t="shared" si="23"/>
        <v>163</v>
      </c>
      <c r="B165" s="3047" t="s">
        <v>3084</v>
      </c>
      <c r="C165" s="3047" t="s">
        <v>3210</v>
      </c>
      <c r="D165" s="3047" t="s">
        <v>3233</v>
      </c>
      <c r="E165" s="3047" t="str">
        <f t="shared" ref="E165:F180" si="26">E164</f>
        <v>产权式酒店</v>
      </c>
      <c r="F165" s="3047" t="str">
        <f t="shared" si="26"/>
        <v>钢混</v>
      </c>
      <c r="G165" s="3047">
        <v>102.45</v>
      </c>
      <c r="H165" s="3159"/>
      <c r="I165" s="3047" t="s">
        <v>3088</v>
      </c>
    </row>
    <row r="166" spans="1:9" ht="22.5" hidden="1" customHeight="1">
      <c r="A166" s="3046">
        <f t="shared" si="23"/>
        <v>164</v>
      </c>
      <c r="B166" s="3047" t="s">
        <v>3084</v>
      </c>
      <c r="C166" s="3047" t="s">
        <v>3210</v>
      </c>
      <c r="D166" s="3047" t="s">
        <v>3234</v>
      </c>
      <c r="E166" s="3047" t="str">
        <f t="shared" si="26"/>
        <v>产权式酒店</v>
      </c>
      <c r="F166" s="3047" t="str">
        <f t="shared" si="26"/>
        <v>钢混</v>
      </c>
      <c r="G166" s="3047">
        <v>102.45</v>
      </c>
      <c r="H166" s="3159"/>
      <c r="I166" s="3047" t="s">
        <v>3088</v>
      </c>
    </row>
    <row r="167" spans="1:9" ht="22.5" hidden="1" customHeight="1">
      <c r="A167" s="3046">
        <f t="shared" si="23"/>
        <v>165</v>
      </c>
      <c r="B167" s="3047" t="s">
        <v>3084</v>
      </c>
      <c r="C167" s="3047" t="s">
        <v>3210</v>
      </c>
      <c r="D167" s="3047" t="s">
        <v>3235</v>
      </c>
      <c r="E167" s="3047" t="str">
        <f t="shared" si="26"/>
        <v>产权式酒店</v>
      </c>
      <c r="F167" s="3047" t="str">
        <f t="shared" si="26"/>
        <v>钢混</v>
      </c>
      <c r="G167" s="3047">
        <v>86.24</v>
      </c>
      <c r="H167" s="3159"/>
      <c r="I167" s="3047" t="s">
        <v>3088</v>
      </c>
    </row>
    <row r="168" spans="1:9" ht="22.5" hidden="1" customHeight="1">
      <c r="A168" s="3046">
        <f t="shared" si="23"/>
        <v>166</v>
      </c>
      <c r="B168" s="3047" t="s">
        <v>3084</v>
      </c>
      <c r="C168" s="3047" t="s">
        <v>3210</v>
      </c>
      <c r="D168" s="3047" t="s">
        <v>3236</v>
      </c>
      <c r="E168" s="3047" t="str">
        <f t="shared" si="26"/>
        <v>产权式酒店</v>
      </c>
      <c r="F168" s="3047" t="str">
        <f t="shared" si="26"/>
        <v>钢混</v>
      </c>
      <c r="G168" s="3047">
        <v>86.24</v>
      </c>
      <c r="H168" s="3159"/>
      <c r="I168" s="3047" t="s">
        <v>3088</v>
      </c>
    </row>
    <row r="169" spans="1:9" ht="22.5" hidden="1" customHeight="1">
      <c r="A169" s="3046">
        <f t="shared" si="23"/>
        <v>167</v>
      </c>
      <c r="B169" s="3047" t="s">
        <v>3084</v>
      </c>
      <c r="C169" s="3047" t="s">
        <v>3210</v>
      </c>
      <c r="D169" s="3047" t="s">
        <v>3237</v>
      </c>
      <c r="E169" s="3047" t="str">
        <f t="shared" si="26"/>
        <v>产权式酒店</v>
      </c>
      <c r="F169" s="3047" t="str">
        <f t="shared" si="26"/>
        <v>钢混</v>
      </c>
      <c r="G169" s="3047">
        <v>86.24</v>
      </c>
      <c r="H169" s="3159"/>
      <c r="I169" s="3047" t="s">
        <v>3088</v>
      </c>
    </row>
    <row r="170" spans="1:9" ht="22.5" hidden="1" customHeight="1">
      <c r="A170" s="3046">
        <f t="shared" si="23"/>
        <v>168</v>
      </c>
      <c r="B170" s="3047" t="s">
        <v>3084</v>
      </c>
      <c r="C170" s="3047" t="s">
        <v>3210</v>
      </c>
      <c r="D170" s="3047" t="s">
        <v>3238</v>
      </c>
      <c r="E170" s="3047" t="str">
        <f t="shared" si="26"/>
        <v>产权式酒店</v>
      </c>
      <c r="F170" s="3047" t="str">
        <f t="shared" si="26"/>
        <v>钢混</v>
      </c>
      <c r="G170" s="3047">
        <v>86.24</v>
      </c>
      <c r="H170" s="3159"/>
      <c r="I170" s="3047" t="s">
        <v>3088</v>
      </c>
    </row>
    <row r="171" spans="1:9" ht="22.5" hidden="1" customHeight="1">
      <c r="A171" s="3046">
        <f t="shared" si="23"/>
        <v>169</v>
      </c>
      <c r="B171" s="3047" t="s">
        <v>3084</v>
      </c>
      <c r="C171" s="3047" t="s">
        <v>3210</v>
      </c>
      <c r="D171" s="3047" t="s">
        <v>3239</v>
      </c>
      <c r="E171" s="3047" t="str">
        <f t="shared" si="26"/>
        <v>产权式酒店</v>
      </c>
      <c r="F171" s="3047" t="str">
        <f t="shared" si="26"/>
        <v>钢混</v>
      </c>
      <c r="G171" s="3047">
        <v>86.24</v>
      </c>
      <c r="H171" s="3159"/>
      <c r="I171" s="3047" t="s">
        <v>3088</v>
      </c>
    </row>
    <row r="172" spans="1:9" ht="22.5" hidden="1" customHeight="1">
      <c r="A172" s="3046">
        <f t="shared" si="23"/>
        <v>170</v>
      </c>
      <c r="B172" s="3047" t="s">
        <v>3084</v>
      </c>
      <c r="C172" s="3047" t="s">
        <v>3210</v>
      </c>
      <c r="D172" s="3047" t="s">
        <v>3240</v>
      </c>
      <c r="E172" s="3047" t="str">
        <f t="shared" si="26"/>
        <v>产权式酒店</v>
      </c>
      <c r="F172" s="3047" t="str">
        <f t="shared" si="26"/>
        <v>钢混</v>
      </c>
      <c r="G172" s="3047">
        <v>86.24</v>
      </c>
      <c r="H172" s="3159"/>
      <c r="I172" s="3047" t="s">
        <v>3088</v>
      </c>
    </row>
    <row r="173" spans="1:9" ht="22.5" hidden="1" customHeight="1">
      <c r="A173" s="3046">
        <f t="shared" si="23"/>
        <v>171</v>
      </c>
      <c r="B173" s="3047" t="s">
        <v>3084</v>
      </c>
      <c r="C173" s="3047" t="s">
        <v>3210</v>
      </c>
      <c r="D173" s="3047" t="s">
        <v>3241</v>
      </c>
      <c r="E173" s="3047" t="str">
        <f t="shared" si="26"/>
        <v>产权式酒店</v>
      </c>
      <c r="F173" s="3047" t="str">
        <f t="shared" si="26"/>
        <v>钢混</v>
      </c>
      <c r="G173" s="3047">
        <v>83.54</v>
      </c>
      <c r="H173" s="3159"/>
      <c r="I173" s="3047" t="s">
        <v>3088</v>
      </c>
    </row>
    <row r="174" spans="1:9" ht="22.5" hidden="1" customHeight="1">
      <c r="A174" s="3046">
        <f t="shared" si="23"/>
        <v>172</v>
      </c>
      <c r="B174" s="3047" t="s">
        <v>3084</v>
      </c>
      <c r="C174" s="3047" t="s">
        <v>3210</v>
      </c>
      <c r="D174" s="3047" t="s">
        <v>3242</v>
      </c>
      <c r="E174" s="3047" t="str">
        <f t="shared" si="26"/>
        <v>产权式酒店</v>
      </c>
      <c r="F174" s="3047" t="str">
        <f t="shared" si="26"/>
        <v>钢混</v>
      </c>
      <c r="G174" s="3047">
        <v>83.54</v>
      </c>
      <c r="H174" s="3159"/>
      <c r="I174" s="3047" t="s">
        <v>3088</v>
      </c>
    </row>
    <row r="175" spans="1:9" ht="22.5" hidden="1" customHeight="1">
      <c r="A175" s="3046">
        <f t="shared" si="23"/>
        <v>173</v>
      </c>
      <c r="B175" s="3047" t="s">
        <v>3084</v>
      </c>
      <c r="C175" s="3047" t="s">
        <v>3210</v>
      </c>
      <c r="D175" s="3047" t="s">
        <v>3243</v>
      </c>
      <c r="E175" s="3047" t="str">
        <f t="shared" si="26"/>
        <v>产权式酒店</v>
      </c>
      <c r="F175" s="3047" t="str">
        <f t="shared" si="26"/>
        <v>钢混</v>
      </c>
      <c r="G175" s="3047">
        <v>83.54</v>
      </c>
      <c r="H175" s="3159"/>
      <c r="I175" s="3047" t="s">
        <v>3088</v>
      </c>
    </row>
    <row r="176" spans="1:9" ht="22.5" hidden="1" customHeight="1">
      <c r="A176" s="3046">
        <f t="shared" si="23"/>
        <v>174</v>
      </c>
      <c r="B176" s="3047" t="s">
        <v>3084</v>
      </c>
      <c r="C176" s="3047" t="s">
        <v>3210</v>
      </c>
      <c r="D176" s="3047" t="s">
        <v>3244</v>
      </c>
      <c r="E176" s="3047" t="str">
        <f t="shared" si="26"/>
        <v>产权式酒店</v>
      </c>
      <c r="F176" s="3047" t="str">
        <f t="shared" si="26"/>
        <v>钢混</v>
      </c>
      <c r="G176" s="3047">
        <v>83.54</v>
      </c>
      <c r="H176" s="3159"/>
      <c r="I176" s="3047" t="s">
        <v>3088</v>
      </c>
    </row>
    <row r="177" spans="1:9" ht="22.5" hidden="1" customHeight="1">
      <c r="A177" s="3046">
        <f t="shared" si="23"/>
        <v>175</v>
      </c>
      <c r="B177" s="3047" t="s">
        <v>3084</v>
      </c>
      <c r="C177" s="3047" t="s">
        <v>3210</v>
      </c>
      <c r="D177" s="3047" t="s">
        <v>3245</v>
      </c>
      <c r="E177" s="3047" t="str">
        <f t="shared" si="26"/>
        <v>产权式酒店</v>
      </c>
      <c r="F177" s="3047" t="str">
        <f t="shared" si="26"/>
        <v>钢混</v>
      </c>
      <c r="G177" s="3047">
        <v>83.54</v>
      </c>
      <c r="H177" s="3159"/>
      <c r="I177" s="3047" t="s">
        <v>3088</v>
      </c>
    </row>
    <row r="178" spans="1:9" ht="22.5" hidden="1" customHeight="1">
      <c r="A178" s="3046">
        <f t="shared" si="23"/>
        <v>176</v>
      </c>
      <c r="B178" s="3047" t="s">
        <v>3084</v>
      </c>
      <c r="C178" s="3047" t="s">
        <v>3210</v>
      </c>
      <c r="D178" s="3047" t="s">
        <v>3246</v>
      </c>
      <c r="E178" s="3047" t="str">
        <f t="shared" si="26"/>
        <v>产权式酒店</v>
      </c>
      <c r="F178" s="3047" t="str">
        <f t="shared" si="26"/>
        <v>钢混</v>
      </c>
      <c r="G178" s="3047">
        <v>83.54</v>
      </c>
      <c r="H178" s="3155"/>
      <c r="I178" s="3047" t="s">
        <v>3088</v>
      </c>
    </row>
    <row r="179" spans="1:9" ht="22.5" hidden="1" customHeight="1">
      <c r="A179" s="3046">
        <f t="shared" si="23"/>
        <v>177</v>
      </c>
      <c r="B179" s="3047" t="s">
        <v>3084</v>
      </c>
      <c r="C179" s="3047" t="s">
        <v>3247</v>
      </c>
      <c r="D179" s="3047">
        <v>101</v>
      </c>
      <c r="E179" s="3047" t="str">
        <f t="shared" si="26"/>
        <v>产权式酒店</v>
      </c>
      <c r="F179" s="3047" t="str">
        <f t="shared" si="26"/>
        <v>钢混</v>
      </c>
      <c r="G179" s="3047">
        <v>116.88</v>
      </c>
      <c r="H179" s="3154">
        <v>1934.73</v>
      </c>
      <c r="I179" s="3047" t="s">
        <v>3088</v>
      </c>
    </row>
    <row r="180" spans="1:9" ht="22.5" hidden="1" customHeight="1">
      <c r="A180" s="3046">
        <f t="shared" si="23"/>
        <v>178</v>
      </c>
      <c r="B180" s="3047" t="s">
        <v>3084</v>
      </c>
      <c r="C180" s="3047" t="s">
        <v>3247</v>
      </c>
      <c r="D180" s="3047">
        <v>102</v>
      </c>
      <c r="E180" s="3047" t="str">
        <f t="shared" si="26"/>
        <v>产权式酒店</v>
      </c>
      <c r="F180" s="3047" t="str">
        <f t="shared" si="26"/>
        <v>钢混</v>
      </c>
      <c r="G180" s="3047">
        <v>114.88</v>
      </c>
      <c r="H180" s="3159"/>
      <c r="I180" s="3047" t="s">
        <v>3088</v>
      </c>
    </row>
    <row r="181" spans="1:9" ht="22.5" hidden="1" customHeight="1">
      <c r="A181" s="3046">
        <f t="shared" si="23"/>
        <v>179</v>
      </c>
      <c r="B181" s="3047" t="s">
        <v>3084</v>
      </c>
      <c r="C181" s="3047" t="s">
        <v>3247</v>
      </c>
      <c r="D181" s="3047">
        <v>201</v>
      </c>
      <c r="E181" s="3047" t="str">
        <f t="shared" ref="E181:F196" si="27">E180</f>
        <v>产权式酒店</v>
      </c>
      <c r="F181" s="3047" t="str">
        <f t="shared" si="27"/>
        <v>钢混</v>
      </c>
      <c r="G181" s="3047">
        <v>113.16</v>
      </c>
      <c r="H181" s="3159"/>
      <c r="I181" s="3047" t="s">
        <v>3088</v>
      </c>
    </row>
    <row r="182" spans="1:9" ht="22.5" hidden="1" customHeight="1">
      <c r="A182" s="3046">
        <f t="shared" si="23"/>
        <v>180</v>
      </c>
      <c r="B182" s="3047" t="s">
        <v>3084</v>
      </c>
      <c r="C182" s="3047" t="s">
        <v>3247</v>
      </c>
      <c r="D182" s="3047">
        <v>202</v>
      </c>
      <c r="E182" s="3047" t="str">
        <f t="shared" si="27"/>
        <v>产权式酒店</v>
      </c>
      <c r="F182" s="3047" t="str">
        <f t="shared" si="27"/>
        <v>钢混</v>
      </c>
      <c r="G182" s="3047">
        <v>113.16</v>
      </c>
      <c r="H182" s="3159"/>
      <c r="I182" s="3047" t="s">
        <v>3088</v>
      </c>
    </row>
    <row r="183" spans="1:9" ht="22.5" hidden="1" customHeight="1">
      <c r="A183" s="3046">
        <f t="shared" si="23"/>
        <v>181</v>
      </c>
      <c r="B183" s="3047" t="s">
        <v>3084</v>
      </c>
      <c r="C183" s="3047" t="s">
        <v>3247</v>
      </c>
      <c r="D183" s="3047">
        <v>301</v>
      </c>
      <c r="E183" s="3047" t="str">
        <f t="shared" si="27"/>
        <v>产权式酒店</v>
      </c>
      <c r="F183" s="3047" t="str">
        <f t="shared" si="27"/>
        <v>钢混</v>
      </c>
      <c r="G183" s="3047">
        <v>104.48</v>
      </c>
      <c r="H183" s="3159"/>
      <c r="I183" s="3047" t="s">
        <v>3088</v>
      </c>
    </row>
    <row r="184" spans="1:9" ht="22.5" hidden="1" customHeight="1">
      <c r="A184" s="3046">
        <f t="shared" si="23"/>
        <v>182</v>
      </c>
      <c r="B184" s="3047" t="s">
        <v>3084</v>
      </c>
      <c r="C184" s="3047" t="s">
        <v>3247</v>
      </c>
      <c r="D184" s="3047">
        <v>302</v>
      </c>
      <c r="E184" s="3047" t="str">
        <f t="shared" si="27"/>
        <v>产权式酒店</v>
      </c>
      <c r="F184" s="3047" t="str">
        <f t="shared" si="27"/>
        <v>钢混</v>
      </c>
      <c r="G184" s="3047">
        <v>104.48</v>
      </c>
      <c r="H184" s="3159"/>
      <c r="I184" s="3047" t="s">
        <v>3088</v>
      </c>
    </row>
    <row r="185" spans="1:9" ht="22.5" hidden="1" customHeight="1">
      <c r="A185" s="3046">
        <f t="shared" si="23"/>
        <v>183</v>
      </c>
      <c r="B185" s="3047" t="s">
        <v>3084</v>
      </c>
      <c r="C185" s="3047" t="s">
        <v>3247</v>
      </c>
      <c r="D185" s="3047">
        <v>401</v>
      </c>
      <c r="E185" s="3047" t="str">
        <f t="shared" si="27"/>
        <v>产权式酒店</v>
      </c>
      <c r="F185" s="3047" t="str">
        <f t="shared" si="27"/>
        <v>钢混</v>
      </c>
      <c r="G185" s="3047">
        <v>102.4</v>
      </c>
      <c r="H185" s="3159"/>
      <c r="I185" s="3047" t="s">
        <v>3088</v>
      </c>
    </row>
    <row r="186" spans="1:9" ht="22.5" hidden="1" customHeight="1">
      <c r="A186" s="3046">
        <f t="shared" si="23"/>
        <v>184</v>
      </c>
      <c r="B186" s="3047" t="s">
        <v>3084</v>
      </c>
      <c r="C186" s="3047" t="s">
        <v>3247</v>
      </c>
      <c r="D186" s="3047">
        <v>402</v>
      </c>
      <c r="E186" s="3047" t="str">
        <f t="shared" si="27"/>
        <v>产权式酒店</v>
      </c>
      <c r="F186" s="3047" t="str">
        <f t="shared" si="27"/>
        <v>钢混</v>
      </c>
      <c r="G186" s="3047">
        <v>102.4</v>
      </c>
      <c r="H186" s="3159"/>
      <c r="I186" s="3047" t="s">
        <v>3088</v>
      </c>
    </row>
    <row r="187" spans="1:9" ht="22.5" hidden="1" customHeight="1">
      <c r="A187" s="3046">
        <f t="shared" si="23"/>
        <v>185</v>
      </c>
      <c r="B187" s="3047" t="s">
        <v>3084</v>
      </c>
      <c r="C187" s="3047" t="s">
        <v>3247</v>
      </c>
      <c r="D187" s="3047">
        <v>501</v>
      </c>
      <c r="E187" s="3047" t="str">
        <f t="shared" si="27"/>
        <v>产权式酒店</v>
      </c>
      <c r="F187" s="3047" t="str">
        <f t="shared" si="27"/>
        <v>钢混</v>
      </c>
      <c r="G187" s="3047">
        <v>97.28</v>
      </c>
      <c r="H187" s="3159"/>
      <c r="I187" s="3047" t="s">
        <v>3088</v>
      </c>
    </row>
    <row r="188" spans="1:9" ht="22.5" hidden="1" customHeight="1">
      <c r="A188" s="3046">
        <f t="shared" si="23"/>
        <v>186</v>
      </c>
      <c r="B188" s="3047" t="s">
        <v>3084</v>
      </c>
      <c r="C188" s="3047" t="s">
        <v>3247</v>
      </c>
      <c r="D188" s="3047">
        <v>502</v>
      </c>
      <c r="E188" s="3047" t="str">
        <f t="shared" si="27"/>
        <v>产权式酒店</v>
      </c>
      <c r="F188" s="3047" t="str">
        <f t="shared" si="27"/>
        <v>钢混</v>
      </c>
      <c r="G188" s="3047">
        <v>97.28</v>
      </c>
      <c r="H188" s="3159"/>
      <c r="I188" s="3047" t="s">
        <v>3088</v>
      </c>
    </row>
    <row r="189" spans="1:9" ht="22.5" hidden="1" customHeight="1">
      <c r="A189" s="3046">
        <f t="shared" si="23"/>
        <v>187</v>
      </c>
      <c r="B189" s="3047" t="s">
        <v>3084</v>
      </c>
      <c r="C189" s="3047" t="s">
        <v>3247</v>
      </c>
      <c r="D189" s="3047">
        <v>601</v>
      </c>
      <c r="E189" s="3047" t="str">
        <f t="shared" si="27"/>
        <v>产权式酒店</v>
      </c>
      <c r="F189" s="3047" t="str">
        <f t="shared" si="27"/>
        <v>钢混</v>
      </c>
      <c r="G189" s="3047">
        <v>97.28</v>
      </c>
      <c r="H189" s="3159"/>
      <c r="I189" s="3047" t="s">
        <v>3088</v>
      </c>
    </row>
    <row r="190" spans="1:9" ht="22.5" hidden="1" customHeight="1">
      <c r="A190" s="3046">
        <f t="shared" si="23"/>
        <v>188</v>
      </c>
      <c r="B190" s="3047" t="s">
        <v>3084</v>
      </c>
      <c r="C190" s="3047" t="s">
        <v>3247</v>
      </c>
      <c r="D190" s="3047">
        <v>602</v>
      </c>
      <c r="E190" s="3047" t="str">
        <f t="shared" si="27"/>
        <v>产权式酒店</v>
      </c>
      <c r="F190" s="3047" t="str">
        <f t="shared" si="27"/>
        <v>钢混</v>
      </c>
      <c r="G190" s="3047">
        <v>97.28</v>
      </c>
      <c r="H190" s="3159"/>
      <c r="I190" s="3047" t="s">
        <v>3088</v>
      </c>
    </row>
    <row r="191" spans="1:9" ht="22.5" hidden="1" customHeight="1">
      <c r="A191" s="3046">
        <f t="shared" si="23"/>
        <v>189</v>
      </c>
      <c r="B191" s="3047" t="s">
        <v>3084</v>
      </c>
      <c r="C191" s="3047" t="s">
        <v>3247</v>
      </c>
      <c r="D191" s="3047">
        <v>701</v>
      </c>
      <c r="E191" s="3047" t="str">
        <f t="shared" si="27"/>
        <v>产权式酒店</v>
      </c>
      <c r="F191" s="3047" t="str">
        <f t="shared" si="27"/>
        <v>钢混</v>
      </c>
      <c r="G191" s="3047">
        <v>95.01</v>
      </c>
      <c r="H191" s="3159"/>
      <c r="I191" s="3047" t="s">
        <v>3088</v>
      </c>
    </row>
    <row r="192" spans="1:9" ht="22.5" hidden="1" customHeight="1">
      <c r="A192" s="3046">
        <f t="shared" si="23"/>
        <v>190</v>
      </c>
      <c r="B192" s="3047" t="s">
        <v>3084</v>
      </c>
      <c r="C192" s="3047" t="s">
        <v>3247</v>
      </c>
      <c r="D192" s="3047">
        <v>702</v>
      </c>
      <c r="E192" s="3047" t="str">
        <f t="shared" si="27"/>
        <v>产权式酒店</v>
      </c>
      <c r="F192" s="3047" t="str">
        <f t="shared" si="27"/>
        <v>钢混</v>
      </c>
      <c r="G192" s="3047">
        <v>95.01</v>
      </c>
      <c r="H192" s="3155"/>
      <c r="I192" s="3047" t="s">
        <v>3088</v>
      </c>
    </row>
    <row r="193" spans="1:9" ht="22.5" hidden="1" customHeight="1">
      <c r="A193" s="3046">
        <f t="shared" si="23"/>
        <v>191</v>
      </c>
      <c r="B193" s="3047" t="s">
        <v>3084</v>
      </c>
      <c r="C193" s="3047" t="s">
        <v>3248</v>
      </c>
      <c r="D193" s="3047" t="s">
        <v>3249</v>
      </c>
      <c r="E193" s="3047" t="str">
        <f t="shared" si="27"/>
        <v>产权式酒店</v>
      </c>
      <c r="F193" s="3047" t="str">
        <f t="shared" si="27"/>
        <v>钢混</v>
      </c>
      <c r="G193" s="3047">
        <v>140.41</v>
      </c>
      <c r="H193" s="3154">
        <v>5169.95</v>
      </c>
      <c r="I193" s="3047" t="s">
        <v>3088</v>
      </c>
    </row>
    <row r="194" spans="1:9" ht="22.5" hidden="1" customHeight="1">
      <c r="A194" s="3046">
        <f t="shared" si="23"/>
        <v>192</v>
      </c>
      <c r="B194" s="3047" t="s">
        <v>3084</v>
      </c>
      <c r="C194" s="3047" t="s">
        <v>3248</v>
      </c>
      <c r="D194" s="3047" t="s">
        <v>3250</v>
      </c>
      <c r="E194" s="3047" t="str">
        <f t="shared" si="27"/>
        <v>产权式酒店</v>
      </c>
      <c r="F194" s="3047" t="str">
        <f t="shared" si="27"/>
        <v>钢混</v>
      </c>
      <c r="G194" s="3047">
        <v>140.41</v>
      </c>
      <c r="H194" s="3159"/>
      <c r="I194" s="3047" t="s">
        <v>3088</v>
      </c>
    </row>
    <row r="195" spans="1:9" ht="22.5" hidden="1" customHeight="1">
      <c r="A195" s="3046">
        <f t="shared" si="23"/>
        <v>193</v>
      </c>
      <c r="B195" s="3047" t="s">
        <v>3084</v>
      </c>
      <c r="C195" s="3047" t="s">
        <v>3248</v>
      </c>
      <c r="D195" s="3047" t="s">
        <v>3251</v>
      </c>
      <c r="E195" s="3047" t="str">
        <f t="shared" si="27"/>
        <v>产权式酒店</v>
      </c>
      <c r="F195" s="3047" t="str">
        <f t="shared" si="27"/>
        <v>钢混</v>
      </c>
      <c r="G195" s="3047">
        <v>140.41</v>
      </c>
      <c r="H195" s="3159"/>
      <c r="I195" s="3047" t="s">
        <v>3088</v>
      </c>
    </row>
    <row r="196" spans="1:9" ht="22.5" hidden="1" customHeight="1">
      <c r="A196" s="3046">
        <f t="shared" si="23"/>
        <v>194</v>
      </c>
      <c r="B196" s="3047" t="s">
        <v>3084</v>
      </c>
      <c r="C196" s="3047" t="s">
        <v>3248</v>
      </c>
      <c r="D196" s="3047" t="s">
        <v>3252</v>
      </c>
      <c r="E196" s="3047" t="str">
        <f t="shared" si="27"/>
        <v>产权式酒店</v>
      </c>
      <c r="F196" s="3047" t="str">
        <f t="shared" si="27"/>
        <v>钢混</v>
      </c>
      <c r="G196" s="3047">
        <v>140.41</v>
      </c>
      <c r="H196" s="3159"/>
      <c r="I196" s="3047" t="s">
        <v>3088</v>
      </c>
    </row>
    <row r="197" spans="1:9" ht="22.5" hidden="1" customHeight="1">
      <c r="A197" s="3046">
        <f t="shared" ref="A197:A260" si="28">A196+1</f>
        <v>195</v>
      </c>
      <c r="B197" s="3047" t="s">
        <v>3084</v>
      </c>
      <c r="C197" s="3047" t="s">
        <v>3248</v>
      </c>
      <c r="D197" s="3047" t="s">
        <v>3253</v>
      </c>
      <c r="E197" s="3047" t="str">
        <f t="shared" ref="E197:F212" si="29">E196</f>
        <v>产权式酒店</v>
      </c>
      <c r="F197" s="3047" t="str">
        <f t="shared" si="29"/>
        <v>钢混</v>
      </c>
      <c r="G197" s="3047">
        <v>140.41</v>
      </c>
      <c r="H197" s="3159"/>
      <c r="I197" s="3047" t="s">
        <v>3088</v>
      </c>
    </row>
    <row r="198" spans="1:9" ht="22.5" hidden="1" customHeight="1">
      <c r="A198" s="3046">
        <f t="shared" si="28"/>
        <v>196</v>
      </c>
      <c r="B198" s="3047" t="s">
        <v>3084</v>
      </c>
      <c r="C198" s="3047" t="s">
        <v>3248</v>
      </c>
      <c r="D198" s="3047" t="s">
        <v>3254</v>
      </c>
      <c r="E198" s="3047" t="str">
        <f t="shared" si="29"/>
        <v>产权式酒店</v>
      </c>
      <c r="F198" s="3047" t="str">
        <f t="shared" si="29"/>
        <v>钢混</v>
      </c>
      <c r="G198" s="3047">
        <v>140.41</v>
      </c>
      <c r="H198" s="3159"/>
      <c r="I198" s="3047" t="s">
        <v>3088</v>
      </c>
    </row>
    <row r="199" spans="1:9" ht="22.5" hidden="1" customHeight="1">
      <c r="A199" s="3046">
        <f t="shared" si="28"/>
        <v>197</v>
      </c>
      <c r="B199" s="3047" t="s">
        <v>3084</v>
      </c>
      <c r="C199" s="3047" t="s">
        <v>3248</v>
      </c>
      <c r="D199" s="3047" t="s">
        <v>3255</v>
      </c>
      <c r="E199" s="3047" t="str">
        <f t="shared" si="29"/>
        <v>产权式酒店</v>
      </c>
      <c r="F199" s="3047" t="str">
        <f t="shared" si="29"/>
        <v>钢混</v>
      </c>
      <c r="G199" s="3047">
        <v>129.22</v>
      </c>
      <c r="H199" s="3159"/>
      <c r="I199" s="3047" t="s">
        <v>3088</v>
      </c>
    </row>
    <row r="200" spans="1:9" ht="22.5" hidden="1" customHeight="1">
      <c r="A200" s="3046">
        <f t="shared" si="28"/>
        <v>198</v>
      </c>
      <c r="B200" s="3047" t="s">
        <v>3084</v>
      </c>
      <c r="C200" s="3047" t="s">
        <v>3248</v>
      </c>
      <c r="D200" s="3047" t="s">
        <v>3256</v>
      </c>
      <c r="E200" s="3047" t="str">
        <f t="shared" si="29"/>
        <v>产权式酒店</v>
      </c>
      <c r="F200" s="3047" t="str">
        <f t="shared" si="29"/>
        <v>钢混</v>
      </c>
      <c r="G200" s="3047">
        <v>129.22</v>
      </c>
      <c r="H200" s="3159"/>
      <c r="I200" s="3047" t="s">
        <v>3088</v>
      </c>
    </row>
    <row r="201" spans="1:9" ht="22.5" hidden="1" customHeight="1">
      <c r="A201" s="3046">
        <f t="shared" si="28"/>
        <v>199</v>
      </c>
      <c r="B201" s="3047" t="s">
        <v>3084</v>
      </c>
      <c r="C201" s="3047" t="s">
        <v>3248</v>
      </c>
      <c r="D201" s="3047" t="s">
        <v>3257</v>
      </c>
      <c r="E201" s="3047" t="str">
        <f t="shared" si="29"/>
        <v>产权式酒店</v>
      </c>
      <c r="F201" s="3047" t="str">
        <f t="shared" si="29"/>
        <v>钢混</v>
      </c>
      <c r="G201" s="3047">
        <v>129.22</v>
      </c>
      <c r="H201" s="3159"/>
      <c r="I201" s="3047" t="s">
        <v>3088</v>
      </c>
    </row>
    <row r="202" spans="1:9" ht="22.5" hidden="1" customHeight="1">
      <c r="A202" s="3046">
        <f t="shared" si="28"/>
        <v>200</v>
      </c>
      <c r="B202" s="3047" t="s">
        <v>3084</v>
      </c>
      <c r="C202" s="3047" t="s">
        <v>3248</v>
      </c>
      <c r="D202" s="3047" t="s">
        <v>3258</v>
      </c>
      <c r="E202" s="3047" t="str">
        <f t="shared" si="29"/>
        <v>产权式酒店</v>
      </c>
      <c r="F202" s="3047" t="str">
        <f t="shared" si="29"/>
        <v>钢混</v>
      </c>
      <c r="G202" s="3047">
        <v>129.22</v>
      </c>
      <c r="H202" s="3159"/>
      <c r="I202" s="3047" t="s">
        <v>3088</v>
      </c>
    </row>
    <row r="203" spans="1:9" ht="22.5" hidden="1" customHeight="1">
      <c r="A203" s="3046">
        <f t="shared" si="28"/>
        <v>201</v>
      </c>
      <c r="B203" s="3047" t="s">
        <v>3084</v>
      </c>
      <c r="C203" s="3047" t="s">
        <v>3248</v>
      </c>
      <c r="D203" s="3047" t="s">
        <v>3259</v>
      </c>
      <c r="E203" s="3047" t="str">
        <f t="shared" si="29"/>
        <v>产权式酒店</v>
      </c>
      <c r="F203" s="3047" t="str">
        <f t="shared" si="29"/>
        <v>钢混</v>
      </c>
      <c r="G203" s="3047">
        <v>129.22</v>
      </c>
      <c r="H203" s="3159"/>
      <c r="I203" s="3047" t="s">
        <v>3088</v>
      </c>
    </row>
    <row r="204" spans="1:9" ht="22.5" hidden="1" customHeight="1">
      <c r="A204" s="3046">
        <f t="shared" si="28"/>
        <v>202</v>
      </c>
      <c r="B204" s="3047" t="s">
        <v>3084</v>
      </c>
      <c r="C204" s="3047" t="s">
        <v>3248</v>
      </c>
      <c r="D204" s="3047" t="s">
        <v>3260</v>
      </c>
      <c r="E204" s="3047" t="str">
        <f t="shared" si="29"/>
        <v>产权式酒店</v>
      </c>
      <c r="F204" s="3047" t="str">
        <f t="shared" si="29"/>
        <v>钢混</v>
      </c>
      <c r="G204" s="3047">
        <v>129.22</v>
      </c>
      <c r="H204" s="3159"/>
      <c r="I204" s="3047" t="s">
        <v>3088</v>
      </c>
    </row>
    <row r="205" spans="1:9" ht="22.5" hidden="1" customHeight="1">
      <c r="A205" s="3046">
        <f t="shared" si="28"/>
        <v>203</v>
      </c>
      <c r="B205" s="3047" t="s">
        <v>3084</v>
      </c>
      <c r="C205" s="3047" t="s">
        <v>3248</v>
      </c>
      <c r="D205" s="3047" t="s">
        <v>3261</v>
      </c>
      <c r="E205" s="3047" t="str">
        <f t="shared" si="29"/>
        <v>产权式酒店</v>
      </c>
      <c r="F205" s="3047" t="str">
        <f t="shared" si="29"/>
        <v>钢混</v>
      </c>
      <c r="G205" s="3047">
        <v>110.19</v>
      </c>
      <c r="H205" s="3159"/>
      <c r="I205" s="3047" t="s">
        <v>3088</v>
      </c>
    </row>
    <row r="206" spans="1:9" ht="22.5" hidden="1" customHeight="1">
      <c r="A206" s="3046">
        <f t="shared" si="28"/>
        <v>204</v>
      </c>
      <c r="B206" s="3047" t="s">
        <v>3084</v>
      </c>
      <c r="C206" s="3047" t="s">
        <v>3248</v>
      </c>
      <c r="D206" s="3047" t="s">
        <v>3262</v>
      </c>
      <c r="E206" s="3047" t="str">
        <f t="shared" si="29"/>
        <v>产权式酒店</v>
      </c>
      <c r="F206" s="3047" t="str">
        <f t="shared" si="29"/>
        <v>钢混</v>
      </c>
      <c r="G206" s="3047">
        <v>110.19</v>
      </c>
      <c r="H206" s="3159"/>
      <c r="I206" s="3047" t="s">
        <v>3088</v>
      </c>
    </row>
    <row r="207" spans="1:9" ht="22.5" hidden="1" customHeight="1">
      <c r="A207" s="3046">
        <f t="shared" si="28"/>
        <v>205</v>
      </c>
      <c r="B207" s="3047" t="s">
        <v>3084</v>
      </c>
      <c r="C207" s="3047" t="s">
        <v>3248</v>
      </c>
      <c r="D207" s="3047" t="s">
        <v>3263</v>
      </c>
      <c r="E207" s="3047" t="str">
        <f t="shared" si="29"/>
        <v>产权式酒店</v>
      </c>
      <c r="F207" s="3047" t="str">
        <f t="shared" si="29"/>
        <v>钢混</v>
      </c>
      <c r="G207" s="3047">
        <v>110.19</v>
      </c>
      <c r="H207" s="3159"/>
      <c r="I207" s="3047" t="s">
        <v>3088</v>
      </c>
    </row>
    <row r="208" spans="1:9" ht="22.5" hidden="1" customHeight="1">
      <c r="A208" s="3046">
        <f t="shared" si="28"/>
        <v>206</v>
      </c>
      <c r="B208" s="3047" t="s">
        <v>3084</v>
      </c>
      <c r="C208" s="3047" t="s">
        <v>3248</v>
      </c>
      <c r="D208" s="3047" t="s">
        <v>3264</v>
      </c>
      <c r="E208" s="3047" t="str">
        <f t="shared" si="29"/>
        <v>产权式酒店</v>
      </c>
      <c r="F208" s="3047" t="str">
        <f t="shared" si="29"/>
        <v>钢混</v>
      </c>
      <c r="G208" s="3047">
        <v>110.19</v>
      </c>
      <c r="H208" s="3159"/>
      <c r="I208" s="3047" t="s">
        <v>3088</v>
      </c>
    </row>
    <row r="209" spans="1:9" ht="22.5" hidden="1" customHeight="1">
      <c r="A209" s="3046">
        <f t="shared" si="28"/>
        <v>207</v>
      </c>
      <c r="B209" s="3047" t="s">
        <v>3084</v>
      </c>
      <c r="C209" s="3047" t="s">
        <v>3248</v>
      </c>
      <c r="D209" s="3047" t="s">
        <v>3265</v>
      </c>
      <c r="E209" s="3047" t="str">
        <f t="shared" si="29"/>
        <v>产权式酒店</v>
      </c>
      <c r="F209" s="3047" t="str">
        <f t="shared" si="29"/>
        <v>钢混</v>
      </c>
      <c r="G209" s="3047">
        <v>110.19</v>
      </c>
      <c r="H209" s="3159"/>
      <c r="I209" s="3047" t="s">
        <v>3088</v>
      </c>
    </row>
    <row r="210" spans="1:9" ht="22.5" hidden="1" customHeight="1">
      <c r="A210" s="3046">
        <f t="shared" si="28"/>
        <v>208</v>
      </c>
      <c r="B210" s="3047" t="s">
        <v>3084</v>
      </c>
      <c r="C210" s="3047" t="s">
        <v>3248</v>
      </c>
      <c r="D210" s="3047" t="s">
        <v>3266</v>
      </c>
      <c r="E210" s="3047" t="str">
        <f t="shared" si="29"/>
        <v>产权式酒店</v>
      </c>
      <c r="F210" s="3047" t="str">
        <f t="shared" si="29"/>
        <v>钢混</v>
      </c>
      <c r="G210" s="3047">
        <v>110.19</v>
      </c>
      <c r="H210" s="3159"/>
      <c r="I210" s="3047" t="s">
        <v>3088</v>
      </c>
    </row>
    <row r="211" spans="1:9" ht="22.5" hidden="1" customHeight="1">
      <c r="A211" s="3046">
        <f t="shared" si="28"/>
        <v>209</v>
      </c>
      <c r="B211" s="3047" t="s">
        <v>3084</v>
      </c>
      <c r="C211" s="3047" t="s">
        <v>3248</v>
      </c>
      <c r="D211" s="3047" t="s">
        <v>3267</v>
      </c>
      <c r="E211" s="3047" t="str">
        <f t="shared" si="29"/>
        <v>产权式酒店</v>
      </c>
      <c r="F211" s="3047" t="str">
        <f t="shared" si="29"/>
        <v>钢混</v>
      </c>
      <c r="G211" s="3047">
        <v>102.45</v>
      </c>
      <c r="H211" s="3159"/>
      <c r="I211" s="3047" t="s">
        <v>3088</v>
      </c>
    </row>
    <row r="212" spans="1:9" ht="22.5" hidden="1" customHeight="1">
      <c r="A212" s="3046">
        <f t="shared" si="28"/>
        <v>210</v>
      </c>
      <c r="B212" s="3047" t="s">
        <v>3084</v>
      </c>
      <c r="C212" s="3047" t="s">
        <v>3248</v>
      </c>
      <c r="D212" s="3047" t="s">
        <v>3268</v>
      </c>
      <c r="E212" s="3047" t="str">
        <f t="shared" si="29"/>
        <v>产权式酒店</v>
      </c>
      <c r="F212" s="3047" t="str">
        <f t="shared" si="29"/>
        <v>钢混</v>
      </c>
      <c r="G212" s="3047">
        <v>102.45</v>
      </c>
      <c r="H212" s="3159"/>
      <c r="I212" s="3047" t="s">
        <v>3088</v>
      </c>
    </row>
    <row r="213" spans="1:9" ht="22.5" hidden="1" customHeight="1">
      <c r="A213" s="3046">
        <f t="shared" si="28"/>
        <v>211</v>
      </c>
      <c r="B213" s="3047" t="s">
        <v>3084</v>
      </c>
      <c r="C213" s="3047" t="s">
        <v>3248</v>
      </c>
      <c r="D213" s="3047" t="s">
        <v>3269</v>
      </c>
      <c r="E213" s="3047" t="str">
        <f t="shared" ref="E213:F228" si="30">E212</f>
        <v>产权式酒店</v>
      </c>
      <c r="F213" s="3047" t="str">
        <f t="shared" si="30"/>
        <v>钢混</v>
      </c>
      <c r="G213" s="3047">
        <v>102.45</v>
      </c>
      <c r="H213" s="3159"/>
      <c r="I213" s="3047" t="s">
        <v>3088</v>
      </c>
    </row>
    <row r="214" spans="1:9" ht="22.5" hidden="1" customHeight="1">
      <c r="A214" s="3046">
        <f t="shared" si="28"/>
        <v>212</v>
      </c>
      <c r="B214" s="3047" t="s">
        <v>3084</v>
      </c>
      <c r="C214" s="3047" t="s">
        <v>3248</v>
      </c>
      <c r="D214" s="3047" t="s">
        <v>3270</v>
      </c>
      <c r="E214" s="3047" t="str">
        <f t="shared" si="30"/>
        <v>产权式酒店</v>
      </c>
      <c r="F214" s="3047" t="str">
        <f t="shared" si="30"/>
        <v>钢混</v>
      </c>
      <c r="G214" s="3047">
        <v>102.45</v>
      </c>
      <c r="H214" s="3159"/>
      <c r="I214" s="3047" t="s">
        <v>3088</v>
      </c>
    </row>
    <row r="215" spans="1:9" ht="22.5" hidden="1" customHeight="1">
      <c r="A215" s="3046">
        <f t="shared" si="28"/>
        <v>213</v>
      </c>
      <c r="B215" s="3047" t="s">
        <v>3084</v>
      </c>
      <c r="C215" s="3047" t="s">
        <v>3248</v>
      </c>
      <c r="D215" s="3047" t="s">
        <v>3271</v>
      </c>
      <c r="E215" s="3047" t="str">
        <f t="shared" si="30"/>
        <v>产权式酒店</v>
      </c>
      <c r="F215" s="3047" t="str">
        <f t="shared" si="30"/>
        <v>钢混</v>
      </c>
      <c r="G215" s="3047">
        <v>102.45</v>
      </c>
      <c r="H215" s="3159"/>
      <c r="I215" s="3047" t="s">
        <v>3088</v>
      </c>
    </row>
    <row r="216" spans="1:9" ht="22.5" hidden="1" customHeight="1">
      <c r="A216" s="3046">
        <f t="shared" si="28"/>
        <v>214</v>
      </c>
      <c r="B216" s="3047" t="s">
        <v>3084</v>
      </c>
      <c r="C216" s="3047" t="s">
        <v>3248</v>
      </c>
      <c r="D216" s="3047" t="s">
        <v>3272</v>
      </c>
      <c r="E216" s="3047" t="str">
        <f t="shared" si="30"/>
        <v>产权式酒店</v>
      </c>
      <c r="F216" s="3047" t="str">
        <f t="shared" si="30"/>
        <v>钢混</v>
      </c>
      <c r="G216" s="3047">
        <v>102.45</v>
      </c>
      <c r="H216" s="3159"/>
      <c r="I216" s="3047" t="s">
        <v>3088</v>
      </c>
    </row>
    <row r="217" spans="1:9" ht="22.5" hidden="1" customHeight="1">
      <c r="A217" s="3046">
        <f t="shared" si="28"/>
        <v>215</v>
      </c>
      <c r="B217" s="3047" t="s">
        <v>3084</v>
      </c>
      <c r="C217" s="3047" t="s">
        <v>3248</v>
      </c>
      <c r="D217" s="3047" t="s">
        <v>3273</v>
      </c>
      <c r="E217" s="3047" t="str">
        <f t="shared" si="30"/>
        <v>产权式酒店</v>
      </c>
      <c r="F217" s="3047" t="str">
        <f t="shared" si="30"/>
        <v>钢混</v>
      </c>
      <c r="G217" s="3047">
        <v>86.24</v>
      </c>
      <c r="H217" s="3159"/>
      <c r="I217" s="3047" t="s">
        <v>3088</v>
      </c>
    </row>
    <row r="218" spans="1:9" ht="22.5" hidden="1" customHeight="1">
      <c r="A218" s="3046">
        <f t="shared" si="28"/>
        <v>216</v>
      </c>
      <c r="B218" s="3047" t="s">
        <v>3084</v>
      </c>
      <c r="C218" s="3047" t="s">
        <v>3248</v>
      </c>
      <c r="D218" s="3047" t="s">
        <v>3274</v>
      </c>
      <c r="E218" s="3047" t="str">
        <f t="shared" si="30"/>
        <v>产权式酒店</v>
      </c>
      <c r="F218" s="3047" t="str">
        <f t="shared" si="30"/>
        <v>钢混</v>
      </c>
      <c r="G218" s="3047">
        <v>86.24</v>
      </c>
      <c r="H218" s="3159"/>
      <c r="I218" s="3047" t="s">
        <v>3088</v>
      </c>
    </row>
    <row r="219" spans="1:9" ht="22.5" hidden="1" customHeight="1">
      <c r="A219" s="3046">
        <f t="shared" si="28"/>
        <v>217</v>
      </c>
      <c r="B219" s="3047" t="s">
        <v>3084</v>
      </c>
      <c r="C219" s="3047" t="s">
        <v>3248</v>
      </c>
      <c r="D219" s="3047" t="s">
        <v>3275</v>
      </c>
      <c r="E219" s="3047" t="str">
        <f t="shared" si="30"/>
        <v>产权式酒店</v>
      </c>
      <c r="F219" s="3047" t="str">
        <f t="shared" si="30"/>
        <v>钢混</v>
      </c>
      <c r="G219" s="3047">
        <v>86.24</v>
      </c>
      <c r="H219" s="3159"/>
      <c r="I219" s="3047" t="s">
        <v>3088</v>
      </c>
    </row>
    <row r="220" spans="1:9" ht="22.5" hidden="1" customHeight="1">
      <c r="A220" s="3046">
        <f t="shared" si="28"/>
        <v>218</v>
      </c>
      <c r="B220" s="3047" t="s">
        <v>3084</v>
      </c>
      <c r="C220" s="3047" t="s">
        <v>3248</v>
      </c>
      <c r="D220" s="3047" t="s">
        <v>3276</v>
      </c>
      <c r="E220" s="3047" t="str">
        <f t="shared" si="30"/>
        <v>产权式酒店</v>
      </c>
      <c r="F220" s="3047" t="str">
        <f t="shared" si="30"/>
        <v>钢混</v>
      </c>
      <c r="G220" s="3047">
        <v>86.24</v>
      </c>
      <c r="H220" s="3159"/>
      <c r="I220" s="3047" t="s">
        <v>3088</v>
      </c>
    </row>
    <row r="221" spans="1:9" ht="22.5" hidden="1" customHeight="1">
      <c r="A221" s="3046">
        <f t="shared" si="28"/>
        <v>219</v>
      </c>
      <c r="B221" s="3047" t="s">
        <v>3084</v>
      </c>
      <c r="C221" s="3047" t="s">
        <v>3248</v>
      </c>
      <c r="D221" s="3047" t="s">
        <v>3277</v>
      </c>
      <c r="E221" s="3047" t="str">
        <f t="shared" si="30"/>
        <v>产权式酒店</v>
      </c>
      <c r="F221" s="3047" t="str">
        <f t="shared" si="30"/>
        <v>钢混</v>
      </c>
      <c r="G221" s="3047">
        <v>86.24</v>
      </c>
      <c r="H221" s="3159"/>
      <c r="I221" s="3047" t="s">
        <v>3088</v>
      </c>
    </row>
    <row r="222" spans="1:9" ht="22.5" hidden="1" customHeight="1">
      <c r="A222" s="3046">
        <f t="shared" si="28"/>
        <v>220</v>
      </c>
      <c r="B222" s="3047" t="s">
        <v>3084</v>
      </c>
      <c r="C222" s="3047" t="s">
        <v>3248</v>
      </c>
      <c r="D222" s="3047" t="s">
        <v>3278</v>
      </c>
      <c r="E222" s="3047" t="str">
        <f t="shared" si="30"/>
        <v>产权式酒店</v>
      </c>
      <c r="F222" s="3047" t="str">
        <f t="shared" si="30"/>
        <v>钢混</v>
      </c>
      <c r="G222" s="3047">
        <v>86.24</v>
      </c>
      <c r="H222" s="3159"/>
      <c r="I222" s="3047" t="s">
        <v>3088</v>
      </c>
    </row>
    <row r="223" spans="1:9" ht="22.5" hidden="1" customHeight="1">
      <c r="A223" s="3046">
        <f t="shared" si="28"/>
        <v>221</v>
      </c>
      <c r="B223" s="3047" t="s">
        <v>3084</v>
      </c>
      <c r="C223" s="3047" t="s">
        <v>3248</v>
      </c>
      <c r="D223" s="3047" t="s">
        <v>3279</v>
      </c>
      <c r="E223" s="3047" t="str">
        <f t="shared" si="30"/>
        <v>产权式酒店</v>
      </c>
      <c r="F223" s="3047" t="str">
        <f t="shared" si="30"/>
        <v>钢混</v>
      </c>
      <c r="G223" s="3047">
        <v>83.54</v>
      </c>
      <c r="H223" s="3159"/>
      <c r="I223" s="3047" t="s">
        <v>3088</v>
      </c>
    </row>
    <row r="224" spans="1:9" ht="22.5" hidden="1" customHeight="1">
      <c r="A224" s="3046">
        <f t="shared" si="28"/>
        <v>222</v>
      </c>
      <c r="B224" s="3047" t="s">
        <v>3084</v>
      </c>
      <c r="C224" s="3047" t="s">
        <v>3248</v>
      </c>
      <c r="D224" s="3047" t="s">
        <v>3280</v>
      </c>
      <c r="E224" s="3047" t="str">
        <f t="shared" si="30"/>
        <v>产权式酒店</v>
      </c>
      <c r="F224" s="3047" t="str">
        <f t="shared" si="30"/>
        <v>钢混</v>
      </c>
      <c r="G224" s="3047">
        <v>83.54</v>
      </c>
      <c r="H224" s="3159"/>
      <c r="I224" s="3047" t="s">
        <v>3088</v>
      </c>
    </row>
    <row r="225" spans="1:9" ht="22.5" hidden="1" customHeight="1">
      <c r="A225" s="3046">
        <f t="shared" si="28"/>
        <v>223</v>
      </c>
      <c r="B225" s="3047" t="s">
        <v>3084</v>
      </c>
      <c r="C225" s="3047" t="s">
        <v>3248</v>
      </c>
      <c r="D225" s="3047" t="s">
        <v>3281</v>
      </c>
      <c r="E225" s="3047" t="str">
        <f t="shared" si="30"/>
        <v>产权式酒店</v>
      </c>
      <c r="F225" s="3047" t="str">
        <f t="shared" si="30"/>
        <v>钢混</v>
      </c>
      <c r="G225" s="3047">
        <v>83.54</v>
      </c>
      <c r="H225" s="3159"/>
      <c r="I225" s="3047" t="s">
        <v>3088</v>
      </c>
    </row>
    <row r="226" spans="1:9" ht="22.5" hidden="1" customHeight="1">
      <c r="A226" s="3046">
        <f t="shared" si="28"/>
        <v>224</v>
      </c>
      <c r="B226" s="3047" t="s">
        <v>3084</v>
      </c>
      <c r="C226" s="3047" t="s">
        <v>3248</v>
      </c>
      <c r="D226" s="3047" t="s">
        <v>3282</v>
      </c>
      <c r="E226" s="3047" t="str">
        <f t="shared" si="30"/>
        <v>产权式酒店</v>
      </c>
      <c r="F226" s="3047" t="str">
        <f t="shared" si="30"/>
        <v>钢混</v>
      </c>
      <c r="G226" s="3047">
        <v>83.54</v>
      </c>
      <c r="H226" s="3159"/>
      <c r="I226" s="3047" t="s">
        <v>3088</v>
      </c>
    </row>
    <row r="227" spans="1:9" ht="22.5" hidden="1" customHeight="1">
      <c r="A227" s="3046">
        <f t="shared" si="28"/>
        <v>225</v>
      </c>
      <c r="B227" s="3047" t="s">
        <v>3084</v>
      </c>
      <c r="C227" s="3047" t="s">
        <v>3248</v>
      </c>
      <c r="D227" s="3047" t="s">
        <v>3283</v>
      </c>
      <c r="E227" s="3047" t="str">
        <f t="shared" si="30"/>
        <v>产权式酒店</v>
      </c>
      <c r="F227" s="3047" t="str">
        <f t="shared" si="30"/>
        <v>钢混</v>
      </c>
      <c r="G227" s="3047">
        <v>83.54</v>
      </c>
      <c r="H227" s="3159"/>
      <c r="I227" s="3047" t="s">
        <v>3088</v>
      </c>
    </row>
    <row r="228" spans="1:9" ht="22.5" hidden="1" customHeight="1">
      <c r="A228" s="3046">
        <f t="shared" si="28"/>
        <v>226</v>
      </c>
      <c r="B228" s="3047" t="s">
        <v>3084</v>
      </c>
      <c r="C228" s="3047" t="s">
        <v>3248</v>
      </c>
      <c r="D228" s="3047" t="s">
        <v>3284</v>
      </c>
      <c r="E228" s="3047" t="str">
        <f t="shared" si="30"/>
        <v>产权式酒店</v>
      </c>
      <c r="F228" s="3047" t="str">
        <f t="shared" si="30"/>
        <v>钢混</v>
      </c>
      <c r="G228" s="3047">
        <v>83.54</v>
      </c>
      <c r="H228" s="3155"/>
      <c r="I228" s="3047" t="s">
        <v>3088</v>
      </c>
    </row>
    <row r="229" spans="1:9" ht="22.5" hidden="1" customHeight="1">
      <c r="A229" s="3046">
        <f t="shared" si="28"/>
        <v>227</v>
      </c>
      <c r="B229" s="3047" t="s">
        <v>3084</v>
      </c>
      <c r="C229" s="3051" t="s">
        <v>3285</v>
      </c>
      <c r="D229" s="3051" t="s">
        <v>3286</v>
      </c>
      <c r="E229" s="3047" t="str">
        <f t="shared" ref="E229:F244" si="31">E228</f>
        <v>产权式酒店</v>
      </c>
      <c r="F229" s="3047" t="str">
        <f t="shared" si="31"/>
        <v>钢混</v>
      </c>
      <c r="G229" s="3047">
        <v>113.16</v>
      </c>
      <c r="H229" s="3154">
        <v>3869.48</v>
      </c>
      <c r="I229" s="3047" t="s">
        <v>3088</v>
      </c>
    </row>
    <row r="230" spans="1:9" ht="22.5" hidden="1" customHeight="1">
      <c r="A230" s="3046">
        <f t="shared" si="28"/>
        <v>228</v>
      </c>
      <c r="B230" s="3047" t="s">
        <v>3084</v>
      </c>
      <c r="C230" s="3051" t="s">
        <v>3285</v>
      </c>
      <c r="D230" s="3051" t="s">
        <v>3287</v>
      </c>
      <c r="E230" s="3047" t="str">
        <f t="shared" si="31"/>
        <v>产权式酒店</v>
      </c>
      <c r="F230" s="3047" t="str">
        <f t="shared" si="31"/>
        <v>钢混</v>
      </c>
      <c r="G230" s="3047">
        <v>113.16</v>
      </c>
      <c r="H230" s="3159"/>
      <c r="I230" s="3047" t="s">
        <v>3088</v>
      </c>
    </row>
    <row r="231" spans="1:9" ht="22.5" hidden="1" customHeight="1">
      <c r="A231" s="3046">
        <f t="shared" si="28"/>
        <v>229</v>
      </c>
      <c r="B231" s="3047" t="s">
        <v>3084</v>
      </c>
      <c r="C231" s="3051" t="s">
        <v>3285</v>
      </c>
      <c r="D231" s="3051" t="s">
        <v>3288</v>
      </c>
      <c r="E231" s="3047" t="str">
        <f t="shared" si="31"/>
        <v>产权式酒店</v>
      </c>
      <c r="F231" s="3047" t="str">
        <f t="shared" si="31"/>
        <v>钢混</v>
      </c>
      <c r="G231" s="3047">
        <v>113.16</v>
      </c>
      <c r="H231" s="3159"/>
      <c r="I231" s="3047" t="s">
        <v>3088</v>
      </c>
    </row>
    <row r="232" spans="1:9" ht="22.5" hidden="1" customHeight="1">
      <c r="A232" s="3046">
        <f t="shared" si="28"/>
        <v>230</v>
      </c>
      <c r="B232" s="3047" t="s">
        <v>3084</v>
      </c>
      <c r="C232" s="3051" t="s">
        <v>3285</v>
      </c>
      <c r="D232" s="3051" t="s">
        <v>3289</v>
      </c>
      <c r="E232" s="3047" t="str">
        <f t="shared" si="31"/>
        <v>产权式酒店</v>
      </c>
      <c r="F232" s="3047" t="str">
        <f t="shared" si="31"/>
        <v>钢混</v>
      </c>
      <c r="G232" s="3047">
        <v>104.48</v>
      </c>
      <c r="H232" s="3159"/>
      <c r="I232" s="3047" t="s">
        <v>3088</v>
      </c>
    </row>
    <row r="233" spans="1:9" ht="22.5" hidden="1" customHeight="1">
      <c r="A233" s="3046">
        <f t="shared" si="28"/>
        <v>231</v>
      </c>
      <c r="B233" s="3047" t="s">
        <v>3084</v>
      </c>
      <c r="C233" s="3051" t="s">
        <v>3285</v>
      </c>
      <c r="D233" s="3051" t="s">
        <v>3290</v>
      </c>
      <c r="E233" s="3047" t="str">
        <f t="shared" si="31"/>
        <v>产权式酒店</v>
      </c>
      <c r="F233" s="3047" t="str">
        <f t="shared" si="31"/>
        <v>钢混</v>
      </c>
      <c r="G233" s="3047">
        <v>102.4</v>
      </c>
      <c r="H233" s="3159"/>
      <c r="I233" s="3047" t="s">
        <v>3088</v>
      </c>
    </row>
    <row r="234" spans="1:9" ht="22.5" hidden="1" customHeight="1">
      <c r="A234" s="3046">
        <f t="shared" si="28"/>
        <v>232</v>
      </c>
      <c r="B234" s="3047" t="s">
        <v>3084</v>
      </c>
      <c r="C234" s="3051" t="s">
        <v>3285</v>
      </c>
      <c r="D234" s="3051" t="s">
        <v>3291</v>
      </c>
      <c r="E234" s="3047" t="str">
        <f t="shared" si="31"/>
        <v>产权式酒店</v>
      </c>
      <c r="F234" s="3047" t="str">
        <f t="shared" si="31"/>
        <v>钢混</v>
      </c>
      <c r="G234" s="3047">
        <v>102.4</v>
      </c>
      <c r="H234" s="3159"/>
      <c r="I234" s="3047" t="s">
        <v>3088</v>
      </c>
    </row>
    <row r="235" spans="1:9" ht="22.5" hidden="1" customHeight="1">
      <c r="A235" s="3046">
        <f t="shared" si="28"/>
        <v>233</v>
      </c>
      <c r="B235" s="3047" t="s">
        <v>3084</v>
      </c>
      <c r="C235" s="3051" t="s">
        <v>3285</v>
      </c>
      <c r="D235" s="3051" t="s">
        <v>3292</v>
      </c>
      <c r="E235" s="3047" t="str">
        <f t="shared" si="31"/>
        <v>产权式酒店</v>
      </c>
      <c r="F235" s="3047" t="str">
        <f t="shared" si="31"/>
        <v>钢混</v>
      </c>
      <c r="G235" s="3047">
        <v>102.4</v>
      </c>
      <c r="H235" s="3159"/>
      <c r="I235" s="3047" t="s">
        <v>3088</v>
      </c>
    </row>
    <row r="236" spans="1:9" ht="22.5" hidden="1" customHeight="1">
      <c r="A236" s="3046">
        <f t="shared" si="28"/>
        <v>234</v>
      </c>
      <c r="B236" s="3047" t="s">
        <v>3084</v>
      </c>
      <c r="C236" s="3051" t="s">
        <v>3285</v>
      </c>
      <c r="D236" s="3051" t="s">
        <v>3293</v>
      </c>
      <c r="E236" s="3047" t="str">
        <f t="shared" si="31"/>
        <v>产权式酒店</v>
      </c>
      <c r="F236" s="3047" t="str">
        <f t="shared" si="31"/>
        <v>钢混</v>
      </c>
      <c r="G236" s="3047">
        <v>97.28</v>
      </c>
      <c r="H236" s="3159"/>
      <c r="I236" s="3047" t="s">
        <v>3088</v>
      </c>
    </row>
    <row r="237" spans="1:9" ht="22.5" hidden="1" customHeight="1">
      <c r="A237" s="3046">
        <f t="shared" si="28"/>
        <v>235</v>
      </c>
      <c r="B237" s="3047" t="s">
        <v>3084</v>
      </c>
      <c r="C237" s="3051" t="s">
        <v>3285</v>
      </c>
      <c r="D237" s="3051" t="s">
        <v>3294</v>
      </c>
      <c r="E237" s="3047" t="str">
        <f t="shared" si="31"/>
        <v>产权式酒店</v>
      </c>
      <c r="F237" s="3047" t="str">
        <f t="shared" si="31"/>
        <v>钢混</v>
      </c>
      <c r="G237" s="3047">
        <v>97.28</v>
      </c>
      <c r="H237" s="3159"/>
      <c r="I237" s="3047" t="s">
        <v>3088</v>
      </c>
    </row>
    <row r="238" spans="1:9" ht="22.5" hidden="1" customHeight="1">
      <c r="A238" s="3046">
        <f t="shared" si="28"/>
        <v>236</v>
      </c>
      <c r="B238" s="3047" t="s">
        <v>3084</v>
      </c>
      <c r="C238" s="3051" t="s">
        <v>3285</v>
      </c>
      <c r="D238" s="3051" t="s">
        <v>3295</v>
      </c>
      <c r="E238" s="3047" t="str">
        <f t="shared" si="31"/>
        <v>产权式酒店</v>
      </c>
      <c r="F238" s="3047" t="str">
        <f t="shared" si="31"/>
        <v>钢混</v>
      </c>
      <c r="G238" s="3047">
        <v>97.28</v>
      </c>
      <c r="H238" s="3159"/>
      <c r="I238" s="3047" t="s">
        <v>3088</v>
      </c>
    </row>
    <row r="239" spans="1:9" ht="22.5" hidden="1" customHeight="1">
      <c r="A239" s="3046">
        <f t="shared" si="28"/>
        <v>237</v>
      </c>
      <c r="B239" s="3047" t="s">
        <v>3084</v>
      </c>
      <c r="C239" s="3051" t="s">
        <v>3285</v>
      </c>
      <c r="D239" s="3051" t="s">
        <v>3296</v>
      </c>
      <c r="E239" s="3047" t="str">
        <f t="shared" si="31"/>
        <v>产权式酒店</v>
      </c>
      <c r="F239" s="3047" t="str">
        <f t="shared" si="31"/>
        <v>钢混</v>
      </c>
      <c r="G239" s="3047">
        <v>97.28</v>
      </c>
      <c r="H239" s="3159"/>
      <c r="I239" s="3047" t="s">
        <v>3088</v>
      </c>
    </row>
    <row r="240" spans="1:9" ht="22.5" hidden="1" customHeight="1">
      <c r="A240" s="3046">
        <f t="shared" si="28"/>
        <v>238</v>
      </c>
      <c r="B240" s="3047" t="s">
        <v>3084</v>
      </c>
      <c r="C240" s="3051" t="s">
        <v>3285</v>
      </c>
      <c r="D240" s="3051" t="s">
        <v>3297</v>
      </c>
      <c r="E240" s="3047" t="str">
        <f t="shared" si="31"/>
        <v>产权式酒店</v>
      </c>
      <c r="F240" s="3047" t="str">
        <f t="shared" si="31"/>
        <v>钢混</v>
      </c>
      <c r="G240" s="3047">
        <v>97.28</v>
      </c>
      <c r="H240" s="3159"/>
      <c r="I240" s="3047" t="s">
        <v>3088</v>
      </c>
    </row>
    <row r="241" spans="1:9" ht="22.5" hidden="1" customHeight="1">
      <c r="A241" s="3046">
        <f t="shared" si="28"/>
        <v>239</v>
      </c>
      <c r="B241" s="3047" t="s">
        <v>3084</v>
      </c>
      <c r="C241" s="3051" t="s">
        <v>3285</v>
      </c>
      <c r="D241" s="3051" t="s">
        <v>3298</v>
      </c>
      <c r="E241" s="3047" t="str">
        <f t="shared" si="31"/>
        <v>产权式酒店</v>
      </c>
      <c r="F241" s="3047" t="str">
        <f t="shared" si="31"/>
        <v>钢混</v>
      </c>
      <c r="G241" s="3047">
        <v>95.01</v>
      </c>
      <c r="H241" s="3159"/>
      <c r="I241" s="3047" t="s">
        <v>3088</v>
      </c>
    </row>
    <row r="242" spans="1:9" ht="22.5" hidden="1" customHeight="1">
      <c r="A242" s="3046">
        <f t="shared" si="28"/>
        <v>240</v>
      </c>
      <c r="B242" s="3047" t="s">
        <v>3084</v>
      </c>
      <c r="C242" s="3051" t="s">
        <v>3285</v>
      </c>
      <c r="D242" s="3051" t="s">
        <v>3299</v>
      </c>
      <c r="E242" s="3047" t="str">
        <f t="shared" si="31"/>
        <v>产权式酒店</v>
      </c>
      <c r="F242" s="3047" t="str">
        <f t="shared" si="31"/>
        <v>钢混</v>
      </c>
      <c r="G242" s="3047">
        <v>95.01</v>
      </c>
      <c r="H242" s="3159"/>
      <c r="I242" s="3047" t="s">
        <v>3088</v>
      </c>
    </row>
    <row r="243" spans="1:9" ht="22.5" hidden="1" customHeight="1">
      <c r="A243" s="3046">
        <f t="shared" si="28"/>
        <v>241</v>
      </c>
      <c r="B243" s="3047" t="s">
        <v>3084</v>
      </c>
      <c r="C243" s="3051" t="s">
        <v>3285</v>
      </c>
      <c r="D243" s="3051" t="s">
        <v>3300</v>
      </c>
      <c r="E243" s="3047" t="str">
        <f t="shared" si="31"/>
        <v>产权式酒店</v>
      </c>
      <c r="F243" s="3047" t="str">
        <f t="shared" si="31"/>
        <v>钢混</v>
      </c>
      <c r="G243" s="3047">
        <v>95.01</v>
      </c>
      <c r="H243" s="3159"/>
      <c r="I243" s="3047" t="s">
        <v>3088</v>
      </c>
    </row>
    <row r="244" spans="1:9" ht="22.5" hidden="1" customHeight="1">
      <c r="A244" s="3046">
        <f t="shared" si="28"/>
        <v>242</v>
      </c>
      <c r="B244" s="3047" t="s">
        <v>3084</v>
      </c>
      <c r="C244" s="3051" t="s">
        <v>3285</v>
      </c>
      <c r="D244" s="3051" t="s">
        <v>3301</v>
      </c>
      <c r="E244" s="3047" t="str">
        <f t="shared" si="31"/>
        <v>产权式酒店</v>
      </c>
      <c r="F244" s="3047" t="str">
        <f t="shared" si="31"/>
        <v>钢混</v>
      </c>
      <c r="G244" s="3047">
        <v>95.01</v>
      </c>
      <c r="H244" s="3155"/>
      <c r="I244" s="3047" t="s">
        <v>3088</v>
      </c>
    </row>
    <row r="245" spans="1:9" ht="22.5" hidden="1" customHeight="1">
      <c r="A245" s="3046">
        <f t="shared" si="28"/>
        <v>243</v>
      </c>
      <c r="B245" s="3047" t="s">
        <v>3084</v>
      </c>
      <c r="C245" s="3047" t="s">
        <v>3302</v>
      </c>
      <c r="D245" s="3047" t="s">
        <v>3303</v>
      </c>
      <c r="E245" s="3047" t="str">
        <f t="shared" ref="E245:F260" si="32">E244</f>
        <v>产权式酒店</v>
      </c>
      <c r="F245" s="3047" t="str">
        <f t="shared" si="32"/>
        <v>钢混</v>
      </c>
      <c r="G245" s="3047">
        <v>140.41</v>
      </c>
      <c r="H245" s="3154">
        <v>5169.95</v>
      </c>
      <c r="I245" s="3047" t="s">
        <v>3088</v>
      </c>
    </row>
    <row r="246" spans="1:9" ht="22.5" hidden="1" customHeight="1">
      <c r="A246" s="3046">
        <f t="shared" si="28"/>
        <v>244</v>
      </c>
      <c r="B246" s="3047" t="s">
        <v>3084</v>
      </c>
      <c r="C246" s="3047" t="s">
        <v>3302</v>
      </c>
      <c r="D246" s="3047" t="s">
        <v>3304</v>
      </c>
      <c r="E246" s="3047" t="str">
        <f t="shared" si="32"/>
        <v>产权式酒店</v>
      </c>
      <c r="F246" s="3047" t="str">
        <f t="shared" si="32"/>
        <v>钢混</v>
      </c>
      <c r="G246" s="3047">
        <v>140.41</v>
      </c>
      <c r="H246" s="3159"/>
      <c r="I246" s="3047" t="s">
        <v>3088</v>
      </c>
    </row>
    <row r="247" spans="1:9" ht="22.5" hidden="1" customHeight="1">
      <c r="A247" s="3046">
        <f t="shared" si="28"/>
        <v>245</v>
      </c>
      <c r="B247" s="3047" t="s">
        <v>3084</v>
      </c>
      <c r="C247" s="3047" t="s">
        <v>3302</v>
      </c>
      <c r="D247" s="3047" t="s">
        <v>3305</v>
      </c>
      <c r="E247" s="3047" t="str">
        <f t="shared" si="32"/>
        <v>产权式酒店</v>
      </c>
      <c r="F247" s="3047" t="str">
        <f t="shared" si="32"/>
        <v>钢混</v>
      </c>
      <c r="G247" s="3047">
        <v>140.41</v>
      </c>
      <c r="H247" s="3159"/>
      <c r="I247" s="3047" t="s">
        <v>3088</v>
      </c>
    </row>
    <row r="248" spans="1:9" ht="22.5" hidden="1" customHeight="1">
      <c r="A248" s="3046">
        <f t="shared" si="28"/>
        <v>246</v>
      </c>
      <c r="B248" s="3047" t="s">
        <v>3084</v>
      </c>
      <c r="C248" s="3047" t="s">
        <v>3302</v>
      </c>
      <c r="D248" s="3047" t="s">
        <v>3306</v>
      </c>
      <c r="E248" s="3047" t="str">
        <f t="shared" si="32"/>
        <v>产权式酒店</v>
      </c>
      <c r="F248" s="3047" t="str">
        <f t="shared" si="32"/>
        <v>钢混</v>
      </c>
      <c r="G248" s="3047">
        <v>140.41</v>
      </c>
      <c r="H248" s="3159"/>
      <c r="I248" s="3047" t="s">
        <v>3088</v>
      </c>
    </row>
    <row r="249" spans="1:9" ht="22.5" hidden="1" customHeight="1">
      <c r="A249" s="3046">
        <f t="shared" si="28"/>
        <v>247</v>
      </c>
      <c r="B249" s="3047" t="s">
        <v>3084</v>
      </c>
      <c r="C249" s="3047" t="s">
        <v>3302</v>
      </c>
      <c r="D249" s="3047" t="s">
        <v>3307</v>
      </c>
      <c r="E249" s="3047" t="str">
        <f t="shared" si="32"/>
        <v>产权式酒店</v>
      </c>
      <c r="F249" s="3047" t="str">
        <f t="shared" si="32"/>
        <v>钢混</v>
      </c>
      <c r="G249" s="3047">
        <v>140.41</v>
      </c>
      <c r="H249" s="3159"/>
      <c r="I249" s="3047" t="s">
        <v>3088</v>
      </c>
    </row>
    <row r="250" spans="1:9" ht="22.5" hidden="1" customHeight="1">
      <c r="A250" s="3046">
        <f t="shared" si="28"/>
        <v>248</v>
      </c>
      <c r="B250" s="3047" t="s">
        <v>3084</v>
      </c>
      <c r="C250" s="3047" t="s">
        <v>3302</v>
      </c>
      <c r="D250" s="3047" t="s">
        <v>3308</v>
      </c>
      <c r="E250" s="3047" t="str">
        <f t="shared" si="32"/>
        <v>产权式酒店</v>
      </c>
      <c r="F250" s="3047" t="str">
        <f t="shared" si="32"/>
        <v>钢混</v>
      </c>
      <c r="G250" s="3047">
        <v>140.41</v>
      </c>
      <c r="H250" s="3159"/>
      <c r="I250" s="3047" t="s">
        <v>3088</v>
      </c>
    </row>
    <row r="251" spans="1:9" ht="22.5" hidden="1" customHeight="1">
      <c r="A251" s="3046">
        <f t="shared" si="28"/>
        <v>249</v>
      </c>
      <c r="B251" s="3047" t="s">
        <v>3084</v>
      </c>
      <c r="C251" s="3047" t="s">
        <v>3302</v>
      </c>
      <c r="D251" s="3047" t="s">
        <v>3309</v>
      </c>
      <c r="E251" s="3047" t="str">
        <f t="shared" si="32"/>
        <v>产权式酒店</v>
      </c>
      <c r="F251" s="3047" t="str">
        <f t="shared" si="32"/>
        <v>钢混</v>
      </c>
      <c r="G251" s="3047">
        <v>129.22</v>
      </c>
      <c r="H251" s="3159"/>
      <c r="I251" s="3047" t="s">
        <v>3088</v>
      </c>
    </row>
    <row r="252" spans="1:9" ht="22.5" hidden="1" customHeight="1">
      <c r="A252" s="3046">
        <f t="shared" si="28"/>
        <v>250</v>
      </c>
      <c r="B252" s="3047" t="s">
        <v>3084</v>
      </c>
      <c r="C252" s="3047" t="s">
        <v>3302</v>
      </c>
      <c r="D252" s="3047" t="s">
        <v>3310</v>
      </c>
      <c r="E252" s="3047" t="str">
        <f t="shared" si="32"/>
        <v>产权式酒店</v>
      </c>
      <c r="F252" s="3047" t="str">
        <f t="shared" si="32"/>
        <v>钢混</v>
      </c>
      <c r="G252" s="3047">
        <v>129.22</v>
      </c>
      <c r="H252" s="3159"/>
      <c r="I252" s="3047" t="s">
        <v>3088</v>
      </c>
    </row>
    <row r="253" spans="1:9" ht="22.5" hidden="1" customHeight="1">
      <c r="A253" s="3046">
        <f t="shared" si="28"/>
        <v>251</v>
      </c>
      <c r="B253" s="3047" t="s">
        <v>3084</v>
      </c>
      <c r="C253" s="3047" t="s">
        <v>3302</v>
      </c>
      <c r="D253" s="3047" t="s">
        <v>3311</v>
      </c>
      <c r="E253" s="3047" t="str">
        <f t="shared" si="32"/>
        <v>产权式酒店</v>
      </c>
      <c r="F253" s="3047" t="str">
        <f t="shared" si="32"/>
        <v>钢混</v>
      </c>
      <c r="G253" s="3047">
        <v>129.22</v>
      </c>
      <c r="H253" s="3159"/>
      <c r="I253" s="3047" t="s">
        <v>3088</v>
      </c>
    </row>
    <row r="254" spans="1:9" ht="22.5" hidden="1" customHeight="1">
      <c r="A254" s="3046">
        <f t="shared" si="28"/>
        <v>252</v>
      </c>
      <c r="B254" s="3047" t="s">
        <v>3084</v>
      </c>
      <c r="C254" s="3047" t="s">
        <v>3302</v>
      </c>
      <c r="D254" s="3047" t="s">
        <v>3312</v>
      </c>
      <c r="E254" s="3047" t="str">
        <f t="shared" si="32"/>
        <v>产权式酒店</v>
      </c>
      <c r="F254" s="3047" t="str">
        <f t="shared" si="32"/>
        <v>钢混</v>
      </c>
      <c r="G254" s="3047">
        <v>129.22</v>
      </c>
      <c r="H254" s="3159"/>
      <c r="I254" s="3047" t="s">
        <v>3088</v>
      </c>
    </row>
    <row r="255" spans="1:9" ht="22.5" hidden="1" customHeight="1">
      <c r="A255" s="3046">
        <f t="shared" si="28"/>
        <v>253</v>
      </c>
      <c r="B255" s="3047" t="s">
        <v>3084</v>
      </c>
      <c r="C255" s="3047" t="s">
        <v>3302</v>
      </c>
      <c r="D255" s="3047" t="s">
        <v>3313</v>
      </c>
      <c r="E255" s="3047" t="str">
        <f t="shared" si="32"/>
        <v>产权式酒店</v>
      </c>
      <c r="F255" s="3047" t="str">
        <f t="shared" si="32"/>
        <v>钢混</v>
      </c>
      <c r="G255" s="3047">
        <v>129.22</v>
      </c>
      <c r="H255" s="3159"/>
      <c r="I255" s="3047" t="s">
        <v>3088</v>
      </c>
    </row>
    <row r="256" spans="1:9" ht="22.5" hidden="1" customHeight="1">
      <c r="A256" s="3046">
        <f t="shared" si="28"/>
        <v>254</v>
      </c>
      <c r="B256" s="3047" t="s">
        <v>3084</v>
      </c>
      <c r="C256" s="3047" t="s">
        <v>3302</v>
      </c>
      <c r="D256" s="3047" t="s">
        <v>3314</v>
      </c>
      <c r="E256" s="3047" t="str">
        <f t="shared" si="32"/>
        <v>产权式酒店</v>
      </c>
      <c r="F256" s="3047" t="str">
        <f t="shared" si="32"/>
        <v>钢混</v>
      </c>
      <c r="G256" s="3047">
        <v>129.22</v>
      </c>
      <c r="H256" s="3159"/>
      <c r="I256" s="3047" t="s">
        <v>3088</v>
      </c>
    </row>
    <row r="257" spans="1:9" ht="22.5" hidden="1" customHeight="1">
      <c r="A257" s="3046">
        <f t="shared" si="28"/>
        <v>255</v>
      </c>
      <c r="B257" s="3047" t="s">
        <v>3084</v>
      </c>
      <c r="C257" s="3047" t="s">
        <v>3302</v>
      </c>
      <c r="D257" s="3047" t="s">
        <v>3315</v>
      </c>
      <c r="E257" s="3047" t="str">
        <f t="shared" si="32"/>
        <v>产权式酒店</v>
      </c>
      <c r="F257" s="3047" t="str">
        <f t="shared" si="32"/>
        <v>钢混</v>
      </c>
      <c r="G257" s="3047">
        <v>110.19</v>
      </c>
      <c r="H257" s="3159"/>
      <c r="I257" s="3047" t="s">
        <v>3088</v>
      </c>
    </row>
    <row r="258" spans="1:9" ht="22.5" hidden="1" customHeight="1">
      <c r="A258" s="3046">
        <f t="shared" si="28"/>
        <v>256</v>
      </c>
      <c r="B258" s="3047" t="s">
        <v>3084</v>
      </c>
      <c r="C258" s="3047" t="s">
        <v>3302</v>
      </c>
      <c r="D258" s="3047" t="s">
        <v>3316</v>
      </c>
      <c r="E258" s="3047" t="str">
        <f t="shared" si="32"/>
        <v>产权式酒店</v>
      </c>
      <c r="F258" s="3047" t="str">
        <f t="shared" si="32"/>
        <v>钢混</v>
      </c>
      <c r="G258" s="3047">
        <v>110.19</v>
      </c>
      <c r="H258" s="3159"/>
      <c r="I258" s="3047" t="s">
        <v>3088</v>
      </c>
    </row>
    <row r="259" spans="1:9" ht="22.5" hidden="1" customHeight="1">
      <c r="A259" s="3046">
        <f t="shared" si="28"/>
        <v>257</v>
      </c>
      <c r="B259" s="3047" t="s">
        <v>3084</v>
      </c>
      <c r="C259" s="3047" t="s">
        <v>3302</v>
      </c>
      <c r="D259" s="3047" t="s">
        <v>3317</v>
      </c>
      <c r="E259" s="3047" t="str">
        <f t="shared" si="32"/>
        <v>产权式酒店</v>
      </c>
      <c r="F259" s="3047" t="str">
        <f t="shared" si="32"/>
        <v>钢混</v>
      </c>
      <c r="G259" s="3047">
        <v>110.19</v>
      </c>
      <c r="H259" s="3159"/>
      <c r="I259" s="3047" t="s">
        <v>3088</v>
      </c>
    </row>
    <row r="260" spans="1:9" ht="22.5" hidden="1" customHeight="1">
      <c r="A260" s="3046">
        <f t="shared" si="28"/>
        <v>258</v>
      </c>
      <c r="B260" s="3047" t="s">
        <v>3084</v>
      </c>
      <c r="C260" s="3047" t="s">
        <v>3302</v>
      </c>
      <c r="D260" s="3047" t="s">
        <v>3318</v>
      </c>
      <c r="E260" s="3047" t="str">
        <f t="shared" si="32"/>
        <v>产权式酒店</v>
      </c>
      <c r="F260" s="3047" t="str">
        <f t="shared" si="32"/>
        <v>钢混</v>
      </c>
      <c r="G260" s="3047">
        <v>110.19</v>
      </c>
      <c r="H260" s="3159"/>
      <c r="I260" s="3047" t="s">
        <v>3088</v>
      </c>
    </row>
    <row r="261" spans="1:9" ht="22.5" hidden="1" customHeight="1">
      <c r="A261" s="3046">
        <f t="shared" ref="A261:A324" si="33">A260+1</f>
        <v>259</v>
      </c>
      <c r="B261" s="3047" t="s">
        <v>3084</v>
      </c>
      <c r="C261" s="3047" t="s">
        <v>3302</v>
      </c>
      <c r="D261" s="3047" t="s">
        <v>3319</v>
      </c>
      <c r="E261" s="3047" t="str">
        <f t="shared" ref="E261:F276" si="34">E260</f>
        <v>产权式酒店</v>
      </c>
      <c r="F261" s="3047" t="str">
        <f t="shared" si="34"/>
        <v>钢混</v>
      </c>
      <c r="G261" s="3047">
        <v>110.19</v>
      </c>
      <c r="H261" s="3159"/>
      <c r="I261" s="3047" t="s">
        <v>3088</v>
      </c>
    </row>
    <row r="262" spans="1:9" ht="22.5" hidden="1" customHeight="1">
      <c r="A262" s="3046">
        <f t="shared" si="33"/>
        <v>260</v>
      </c>
      <c r="B262" s="3047" t="s">
        <v>3084</v>
      </c>
      <c r="C262" s="3047" t="s">
        <v>3302</v>
      </c>
      <c r="D262" s="3047" t="s">
        <v>3320</v>
      </c>
      <c r="E262" s="3047" t="str">
        <f t="shared" si="34"/>
        <v>产权式酒店</v>
      </c>
      <c r="F262" s="3047" t="str">
        <f t="shared" si="34"/>
        <v>钢混</v>
      </c>
      <c r="G262" s="3047">
        <v>110.19</v>
      </c>
      <c r="H262" s="3159"/>
      <c r="I262" s="3047" t="s">
        <v>3088</v>
      </c>
    </row>
    <row r="263" spans="1:9" ht="22.5" hidden="1" customHeight="1">
      <c r="A263" s="3046">
        <f t="shared" si="33"/>
        <v>261</v>
      </c>
      <c r="B263" s="3047" t="s">
        <v>3084</v>
      </c>
      <c r="C263" s="3047" t="s">
        <v>3302</v>
      </c>
      <c r="D263" s="3047" t="s">
        <v>3321</v>
      </c>
      <c r="E263" s="3047" t="str">
        <f t="shared" si="34"/>
        <v>产权式酒店</v>
      </c>
      <c r="F263" s="3047" t="str">
        <f t="shared" si="34"/>
        <v>钢混</v>
      </c>
      <c r="G263" s="3047">
        <v>102.45</v>
      </c>
      <c r="H263" s="3159"/>
      <c r="I263" s="3047" t="s">
        <v>3088</v>
      </c>
    </row>
    <row r="264" spans="1:9" ht="22.5" hidden="1" customHeight="1">
      <c r="A264" s="3046">
        <f t="shared" si="33"/>
        <v>262</v>
      </c>
      <c r="B264" s="3047" t="s">
        <v>3084</v>
      </c>
      <c r="C264" s="3047" t="s">
        <v>3302</v>
      </c>
      <c r="D264" s="3047" t="s">
        <v>3322</v>
      </c>
      <c r="E264" s="3047" t="str">
        <f t="shared" si="34"/>
        <v>产权式酒店</v>
      </c>
      <c r="F264" s="3047" t="str">
        <f t="shared" si="34"/>
        <v>钢混</v>
      </c>
      <c r="G264" s="3047">
        <v>102.45</v>
      </c>
      <c r="H264" s="3159"/>
      <c r="I264" s="3047" t="s">
        <v>3088</v>
      </c>
    </row>
    <row r="265" spans="1:9" ht="22.5" hidden="1" customHeight="1">
      <c r="A265" s="3046">
        <f t="shared" si="33"/>
        <v>263</v>
      </c>
      <c r="B265" s="3047" t="s">
        <v>3084</v>
      </c>
      <c r="C265" s="3047" t="s">
        <v>3302</v>
      </c>
      <c r="D265" s="3047" t="s">
        <v>3323</v>
      </c>
      <c r="E265" s="3047" t="str">
        <f t="shared" si="34"/>
        <v>产权式酒店</v>
      </c>
      <c r="F265" s="3047" t="str">
        <f t="shared" si="34"/>
        <v>钢混</v>
      </c>
      <c r="G265" s="3047">
        <v>102.45</v>
      </c>
      <c r="H265" s="3159"/>
      <c r="I265" s="3047" t="s">
        <v>3088</v>
      </c>
    </row>
    <row r="266" spans="1:9" ht="22.5" hidden="1" customHeight="1">
      <c r="A266" s="3046">
        <f t="shared" si="33"/>
        <v>264</v>
      </c>
      <c r="B266" s="3047" t="s">
        <v>3084</v>
      </c>
      <c r="C266" s="3047" t="s">
        <v>3302</v>
      </c>
      <c r="D266" s="3047" t="s">
        <v>3324</v>
      </c>
      <c r="E266" s="3047" t="str">
        <f t="shared" si="34"/>
        <v>产权式酒店</v>
      </c>
      <c r="F266" s="3047" t="str">
        <f t="shared" si="34"/>
        <v>钢混</v>
      </c>
      <c r="G266" s="3047">
        <v>102.45</v>
      </c>
      <c r="H266" s="3159"/>
      <c r="I266" s="3047" t="s">
        <v>3088</v>
      </c>
    </row>
    <row r="267" spans="1:9" ht="22.5" hidden="1" customHeight="1">
      <c r="A267" s="3046">
        <f t="shared" si="33"/>
        <v>265</v>
      </c>
      <c r="B267" s="3047" t="s">
        <v>3084</v>
      </c>
      <c r="C267" s="3047" t="s">
        <v>3302</v>
      </c>
      <c r="D267" s="3047" t="s">
        <v>3325</v>
      </c>
      <c r="E267" s="3047" t="str">
        <f t="shared" si="34"/>
        <v>产权式酒店</v>
      </c>
      <c r="F267" s="3047" t="str">
        <f t="shared" si="34"/>
        <v>钢混</v>
      </c>
      <c r="G267" s="3047">
        <v>102.45</v>
      </c>
      <c r="H267" s="3159"/>
      <c r="I267" s="3047" t="s">
        <v>3088</v>
      </c>
    </row>
    <row r="268" spans="1:9" ht="22.5" hidden="1" customHeight="1">
      <c r="A268" s="3046">
        <f t="shared" si="33"/>
        <v>266</v>
      </c>
      <c r="B268" s="3047" t="s">
        <v>3084</v>
      </c>
      <c r="C268" s="3047" t="s">
        <v>3302</v>
      </c>
      <c r="D268" s="3047" t="s">
        <v>3326</v>
      </c>
      <c r="E268" s="3047" t="str">
        <f t="shared" si="34"/>
        <v>产权式酒店</v>
      </c>
      <c r="F268" s="3047" t="str">
        <f t="shared" si="34"/>
        <v>钢混</v>
      </c>
      <c r="G268" s="3047">
        <v>102.45</v>
      </c>
      <c r="H268" s="3159"/>
      <c r="I268" s="3047" t="s">
        <v>3088</v>
      </c>
    </row>
    <row r="269" spans="1:9" ht="22.5" hidden="1" customHeight="1">
      <c r="A269" s="3046">
        <f t="shared" si="33"/>
        <v>267</v>
      </c>
      <c r="B269" s="3047" t="s">
        <v>3084</v>
      </c>
      <c r="C269" s="3047" t="s">
        <v>3302</v>
      </c>
      <c r="D269" s="3047" t="s">
        <v>3327</v>
      </c>
      <c r="E269" s="3047" t="str">
        <f t="shared" si="34"/>
        <v>产权式酒店</v>
      </c>
      <c r="F269" s="3047" t="str">
        <f t="shared" si="34"/>
        <v>钢混</v>
      </c>
      <c r="G269" s="3047">
        <v>86.24</v>
      </c>
      <c r="H269" s="3159"/>
      <c r="I269" s="3047" t="s">
        <v>3088</v>
      </c>
    </row>
    <row r="270" spans="1:9" ht="22.5" hidden="1" customHeight="1">
      <c r="A270" s="3046">
        <f t="shared" si="33"/>
        <v>268</v>
      </c>
      <c r="B270" s="3047" t="s">
        <v>3084</v>
      </c>
      <c r="C270" s="3047" t="s">
        <v>3302</v>
      </c>
      <c r="D270" s="3047" t="s">
        <v>3328</v>
      </c>
      <c r="E270" s="3047" t="str">
        <f t="shared" si="34"/>
        <v>产权式酒店</v>
      </c>
      <c r="F270" s="3047" t="str">
        <f t="shared" si="34"/>
        <v>钢混</v>
      </c>
      <c r="G270" s="3047">
        <v>86.24</v>
      </c>
      <c r="H270" s="3159"/>
      <c r="I270" s="3047" t="s">
        <v>3088</v>
      </c>
    </row>
    <row r="271" spans="1:9" ht="22.5" hidden="1" customHeight="1">
      <c r="A271" s="3046">
        <f t="shared" si="33"/>
        <v>269</v>
      </c>
      <c r="B271" s="3047" t="s">
        <v>3084</v>
      </c>
      <c r="C271" s="3047" t="s">
        <v>3302</v>
      </c>
      <c r="D271" s="3047" t="s">
        <v>3329</v>
      </c>
      <c r="E271" s="3047" t="str">
        <f t="shared" si="34"/>
        <v>产权式酒店</v>
      </c>
      <c r="F271" s="3047" t="str">
        <f t="shared" si="34"/>
        <v>钢混</v>
      </c>
      <c r="G271" s="3047">
        <v>86.24</v>
      </c>
      <c r="H271" s="3159"/>
      <c r="I271" s="3047" t="s">
        <v>3088</v>
      </c>
    </row>
    <row r="272" spans="1:9" ht="22.5" hidden="1" customHeight="1">
      <c r="A272" s="3046">
        <f t="shared" si="33"/>
        <v>270</v>
      </c>
      <c r="B272" s="3047" t="s">
        <v>3084</v>
      </c>
      <c r="C272" s="3047" t="s">
        <v>3302</v>
      </c>
      <c r="D272" s="3047" t="s">
        <v>3330</v>
      </c>
      <c r="E272" s="3047" t="str">
        <f t="shared" si="34"/>
        <v>产权式酒店</v>
      </c>
      <c r="F272" s="3047" t="str">
        <f t="shared" si="34"/>
        <v>钢混</v>
      </c>
      <c r="G272" s="3047">
        <v>86.24</v>
      </c>
      <c r="H272" s="3159"/>
      <c r="I272" s="3047" t="s">
        <v>3088</v>
      </c>
    </row>
    <row r="273" spans="1:9" ht="22.5" hidden="1" customHeight="1">
      <c r="A273" s="3046">
        <f t="shared" si="33"/>
        <v>271</v>
      </c>
      <c r="B273" s="3047" t="s">
        <v>3084</v>
      </c>
      <c r="C273" s="3047" t="s">
        <v>3302</v>
      </c>
      <c r="D273" s="3047" t="s">
        <v>3331</v>
      </c>
      <c r="E273" s="3047" t="str">
        <f t="shared" si="34"/>
        <v>产权式酒店</v>
      </c>
      <c r="F273" s="3047" t="str">
        <f t="shared" si="34"/>
        <v>钢混</v>
      </c>
      <c r="G273" s="3047">
        <v>83.54</v>
      </c>
      <c r="H273" s="3159"/>
      <c r="I273" s="3047" t="s">
        <v>3088</v>
      </c>
    </row>
    <row r="274" spans="1:9" ht="22.5" hidden="1" customHeight="1">
      <c r="A274" s="3046">
        <f t="shared" si="33"/>
        <v>272</v>
      </c>
      <c r="B274" s="3047" t="s">
        <v>3084</v>
      </c>
      <c r="C274" s="3047" t="s">
        <v>3302</v>
      </c>
      <c r="D274" s="3047" t="s">
        <v>3332</v>
      </c>
      <c r="E274" s="3047" t="str">
        <f t="shared" si="34"/>
        <v>产权式酒店</v>
      </c>
      <c r="F274" s="3047" t="str">
        <f t="shared" si="34"/>
        <v>钢混</v>
      </c>
      <c r="G274" s="3047">
        <v>83.54</v>
      </c>
      <c r="H274" s="3159"/>
      <c r="I274" s="3047" t="s">
        <v>3088</v>
      </c>
    </row>
    <row r="275" spans="1:9" ht="22.5" hidden="1" customHeight="1">
      <c r="A275" s="3046">
        <f t="shared" si="33"/>
        <v>273</v>
      </c>
      <c r="B275" s="3047" t="s">
        <v>3084</v>
      </c>
      <c r="C275" s="3047" t="s">
        <v>3302</v>
      </c>
      <c r="D275" s="3047" t="s">
        <v>3333</v>
      </c>
      <c r="E275" s="3047" t="str">
        <f t="shared" si="34"/>
        <v>产权式酒店</v>
      </c>
      <c r="F275" s="3047" t="str">
        <f t="shared" si="34"/>
        <v>钢混</v>
      </c>
      <c r="G275" s="3047">
        <v>83.54</v>
      </c>
      <c r="H275" s="3159"/>
      <c r="I275" s="3047" t="s">
        <v>3088</v>
      </c>
    </row>
    <row r="276" spans="1:9" ht="22.5" hidden="1" customHeight="1">
      <c r="A276" s="3046">
        <f t="shared" si="33"/>
        <v>274</v>
      </c>
      <c r="B276" s="3047" t="s">
        <v>3084</v>
      </c>
      <c r="C276" s="3047" t="s">
        <v>3302</v>
      </c>
      <c r="D276" s="3047" t="s">
        <v>3334</v>
      </c>
      <c r="E276" s="3047" t="str">
        <f t="shared" si="34"/>
        <v>产权式酒店</v>
      </c>
      <c r="F276" s="3047" t="str">
        <f t="shared" si="34"/>
        <v>钢混</v>
      </c>
      <c r="G276" s="3047">
        <v>83.54</v>
      </c>
      <c r="H276" s="3159"/>
      <c r="I276" s="3047" t="s">
        <v>3088</v>
      </c>
    </row>
    <row r="277" spans="1:9" ht="22.5" hidden="1" customHeight="1">
      <c r="A277" s="3046">
        <f t="shared" si="33"/>
        <v>275</v>
      </c>
      <c r="B277" s="3047" t="s">
        <v>3084</v>
      </c>
      <c r="C277" s="3047" t="s">
        <v>3302</v>
      </c>
      <c r="D277" s="3047" t="s">
        <v>3335</v>
      </c>
      <c r="E277" s="3047" t="str">
        <f t="shared" ref="E277:F292" si="35">E276</f>
        <v>产权式酒店</v>
      </c>
      <c r="F277" s="3047" t="str">
        <f t="shared" si="35"/>
        <v>钢混</v>
      </c>
      <c r="G277" s="3047">
        <v>83.54</v>
      </c>
      <c r="H277" s="3155"/>
      <c r="I277" s="3047" t="s">
        <v>3088</v>
      </c>
    </row>
    <row r="278" spans="1:9" ht="22.5" hidden="1" customHeight="1">
      <c r="A278" s="3046">
        <f t="shared" si="33"/>
        <v>276</v>
      </c>
      <c r="B278" s="3047" t="s">
        <v>3084</v>
      </c>
      <c r="C278" s="3047" t="s">
        <v>3336</v>
      </c>
      <c r="D278" s="3047" t="s">
        <v>3337</v>
      </c>
      <c r="E278" s="3047" t="str">
        <f t="shared" si="35"/>
        <v>产权式酒店</v>
      </c>
      <c r="F278" s="3047" t="str">
        <f t="shared" si="35"/>
        <v>钢混</v>
      </c>
      <c r="G278" s="3047">
        <v>116.88</v>
      </c>
      <c r="H278" s="3154">
        <v>5804.18</v>
      </c>
      <c r="I278" s="3047" t="s">
        <v>3088</v>
      </c>
    </row>
    <row r="279" spans="1:9" ht="22.5" hidden="1" customHeight="1">
      <c r="A279" s="3046">
        <f t="shared" si="33"/>
        <v>277</v>
      </c>
      <c r="B279" s="3047" t="s">
        <v>3084</v>
      </c>
      <c r="C279" s="3047" t="s">
        <v>3336</v>
      </c>
      <c r="D279" s="3047" t="s">
        <v>3338</v>
      </c>
      <c r="E279" s="3047" t="str">
        <f t="shared" si="35"/>
        <v>产权式酒店</v>
      </c>
      <c r="F279" s="3047" t="str">
        <f t="shared" si="35"/>
        <v>钢混</v>
      </c>
      <c r="G279" s="3047">
        <v>114.88</v>
      </c>
      <c r="H279" s="3159"/>
      <c r="I279" s="3047" t="s">
        <v>3088</v>
      </c>
    </row>
    <row r="280" spans="1:9" ht="22.5" hidden="1" customHeight="1">
      <c r="A280" s="3046">
        <f t="shared" si="33"/>
        <v>278</v>
      </c>
      <c r="B280" s="3047" t="s">
        <v>3084</v>
      </c>
      <c r="C280" s="3047" t="s">
        <v>3336</v>
      </c>
      <c r="D280" s="3047" t="s">
        <v>3339</v>
      </c>
      <c r="E280" s="3047" t="str">
        <f t="shared" si="35"/>
        <v>产权式酒店</v>
      </c>
      <c r="F280" s="3047" t="str">
        <f t="shared" si="35"/>
        <v>钢混</v>
      </c>
      <c r="G280" s="3047">
        <v>116.88</v>
      </c>
      <c r="H280" s="3159"/>
      <c r="I280" s="3047" t="s">
        <v>3088</v>
      </c>
    </row>
    <row r="281" spans="1:9" ht="22.5" hidden="1" customHeight="1">
      <c r="A281" s="3046">
        <f t="shared" si="33"/>
        <v>279</v>
      </c>
      <c r="B281" s="3047" t="s">
        <v>3084</v>
      </c>
      <c r="C281" s="3047" t="s">
        <v>3336</v>
      </c>
      <c r="D281" s="3047" t="s">
        <v>3340</v>
      </c>
      <c r="E281" s="3047" t="str">
        <f t="shared" si="35"/>
        <v>产权式酒店</v>
      </c>
      <c r="F281" s="3047" t="str">
        <f t="shared" si="35"/>
        <v>钢混</v>
      </c>
      <c r="G281" s="3047">
        <v>113.16</v>
      </c>
      <c r="H281" s="3159"/>
      <c r="I281" s="3047" t="s">
        <v>3088</v>
      </c>
    </row>
    <row r="282" spans="1:9" ht="22.5" hidden="1" customHeight="1">
      <c r="A282" s="3046">
        <f t="shared" si="33"/>
        <v>280</v>
      </c>
      <c r="B282" s="3047" t="s">
        <v>3084</v>
      </c>
      <c r="C282" s="3047" t="s">
        <v>3336</v>
      </c>
      <c r="D282" s="3047" t="s">
        <v>3341</v>
      </c>
      <c r="E282" s="3047" t="str">
        <f t="shared" si="35"/>
        <v>产权式酒店</v>
      </c>
      <c r="F282" s="3047" t="str">
        <f t="shared" si="35"/>
        <v>钢混</v>
      </c>
      <c r="G282" s="3047">
        <v>113.16</v>
      </c>
      <c r="H282" s="3159"/>
      <c r="I282" s="3047" t="s">
        <v>3088</v>
      </c>
    </row>
    <row r="283" spans="1:9" ht="22.5" hidden="1" customHeight="1">
      <c r="A283" s="3046">
        <f t="shared" si="33"/>
        <v>281</v>
      </c>
      <c r="B283" s="3047" t="s">
        <v>3084</v>
      </c>
      <c r="C283" s="3047" t="s">
        <v>3336</v>
      </c>
      <c r="D283" s="3047" t="s">
        <v>3342</v>
      </c>
      <c r="E283" s="3047" t="str">
        <f t="shared" si="35"/>
        <v>产权式酒店</v>
      </c>
      <c r="F283" s="3047" t="str">
        <f t="shared" si="35"/>
        <v>钢混</v>
      </c>
      <c r="G283" s="3047">
        <v>113.16</v>
      </c>
      <c r="H283" s="3159"/>
      <c r="I283" s="3047" t="s">
        <v>3088</v>
      </c>
    </row>
    <row r="284" spans="1:9" ht="22.5" hidden="1" customHeight="1">
      <c r="A284" s="3046">
        <f t="shared" si="33"/>
        <v>282</v>
      </c>
      <c r="B284" s="3047" t="s">
        <v>3084</v>
      </c>
      <c r="C284" s="3047" t="s">
        <v>3336</v>
      </c>
      <c r="D284" s="3047" t="s">
        <v>3343</v>
      </c>
      <c r="E284" s="3047" t="str">
        <f t="shared" si="35"/>
        <v>产权式酒店</v>
      </c>
      <c r="F284" s="3047" t="str">
        <f t="shared" si="35"/>
        <v>钢混</v>
      </c>
      <c r="G284" s="3047">
        <v>113.16</v>
      </c>
      <c r="H284" s="3159"/>
      <c r="I284" s="3047" t="s">
        <v>3088</v>
      </c>
    </row>
    <row r="285" spans="1:9" ht="22.5" hidden="1" customHeight="1">
      <c r="A285" s="3046">
        <f t="shared" si="33"/>
        <v>283</v>
      </c>
      <c r="B285" s="3047" t="s">
        <v>3084</v>
      </c>
      <c r="C285" s="3047" t="s">
        <v>3336</v>
      </c>
      <c r="D285" s="3047" t="s">
        <v>3344</v>
      </c>
      <c r="E285" s="3047" t="str">
        <f t="shared" si="35"/>
        <v>产权式酒店</v>
      </c>
      <c r="F285" s="3047" t="str">
        <f t="shared" si="35"/>
        <v>钢混</v>
      </c>
      <c r="G285" s="3047">
        <v>113.16</v>
      </c>
      <c r="H285" s="3159"/>
      <c r="I285" s="3047" t="s">
        <v>3088</v>
      </c>
    </row>
    <row r="286" spans="1:9" ht="22.5" hidden="1" customHeight="1">
      <c r="A286" s="3046">
        <f t="shared" si="33"/>
        <v>284</v>
      </c>
      <c r="B286" s="3047" t="s">
        <v>3084</v>
      </c>
      <c r="C286" s="3047" t="s">
        <v>3336</v>
      </c>
      <c r="D286" s="3047" t="s">
        <v>3345</v>
      </c>
      <c r="E286" s="3047" t="str">
        <f t="shared" si="35"/>
        <v>产权式酒店</v>
      </c>
      <c r="F286" s="3047" t="str">
        <f t="shared" si="35"/>
        <v>钢混</v>
      </c>
      <c r="G286" s="3047">
        <v>113.16</v>
      </c>
      <c r="H286" s="3159"/>
      <c r="I286" s="3047" t="s">
        <v>3088</v>
      </c>
    </row>
    <row r="287" spans="1:9" ht="22.5" hidden="1" customHeight="1">
      <c r="A287" s="3046">
        <f t="shared" si="33"/>
        <v>285</v>
      </c>
      <c r="B287" s="3047" t="s">
        <v>3084</v>
      </c>
      <c r="C287" s="3047" t="s">
        <v>3336</v>
      </c>
      <c r="D287" s="3047" t="s">
        <v>3346</v>
      </c>
      <c r="E287" s="3047" t="str">
        <f t="shared" si="35"/>
        <v>产权式酒店</v>
      </c>
      <c r="F287" s="3047" t="str">
        <f t="shared" si="35"/>
        <v>钢混</v>
      </c>
      <c r="G287" s="3047">
        <v>104.48</v>
      </c>
      <c r="H287" s="3159"/>
      <c r="I287" s="3047" t="s">
        <v>3088</v>
      </c>
    </row>
    <row r="288" spans="1:9" ht="22.5" hidden="1" customHeight="1">
      <c r="A288" s="3046">
        <f t="shared" si="33"/>
        <v>286</v>
      </c>
      <c r="B288" s="3047" t="s">
        <v>3084</v>
      </c>
      <c r="C288" s="3047" t="s">
        <v>3336</v>
      </c>
      <c r="D288" s="3047" t="s">
        <v>3347</v>
      </c>
      <c r="E288" s="3047" t="str">
        <f t="shared" si="35"/>
        <v>产权式酒店</v>
      </c>
      <c r="F288" s="3047" t="str">
        <f t="shared" si="35"/>
        <v>钢混</v>
      </c>
      <c r="G288" s="3047">
        <v>102.4</v>
      </c>
      <c r="H288" s="3159"/>
      <c r="I288" s="3047" t="s">
        <v>3088</v>
      </c>
    </row>
    <row r="289" spans="1:9" ht="22.5" hidden="1" customHeight="1">
      <c r="A289" s="3046">
        <f t="shared" si="33"/>
        <v>287</v>
      </c>
      <c r="B289" s="3047" t="s">
        <v>3084</v>
      </c>
      <c r="C289" s="3047" t="s">
        <v>3336</v>
      </c>
      <c r="D289" s="3047" t="s">
        <v>3348</v>
      </c>
      <c r="E289" s="3047" t="str">
        <f t="shared" si="35"/>
        <v>产权式酒店</v>
      </c>
      <c r="F289" s="3047" t="str">
        <f t="shared" si="35"/>
        <v>钢混</v>
      </c>
      <c r="G289" s="3047">
        <v>102.4</v>
      </c>
      <c r="H289" s="3159"/>
      <c r="I289" s="3047" t="s">
        <v>3088</v>
      </c>
    </row>
    <row r="290" spans="1:9" ht="22.5" hidden="1" customHeight="1">
      <c r="A290" s="3046">
        <f t="shared" si="33"/>
        <v>288</v>
      </c>
      <c r="B290" s="3047" t="s">
        <v>3084</v>
      </c>
      <c r="C290" s="3047" t="s">
        <v>3336</v>
      </c>
      <c r="D290" s="3047" t="s">
        <v>3349</v>
      </c>
      <c r="E290" s="3047" t="str">
        <f t="shared" si="35"/>
        <v>产权式酒店</v>
      </c>
      <c r="F290" s="3047" t="str">
        <f t="shared" si="35"/>
        <v>钢混</v>
      </c>
      <c r="G290" s="3047">
        <v>102.4</v>
      </c>
      <c r="H290" s="3159"/>
      <c r="I290" s="3047" t="s">
        <v>3088</v>
      </c>
    </row>
    <row r="291" spans="1:9" ht="22.5" hidden="1" customHeight="1">
      <c r="A291" s="3046">
        <f t="shared" si="33"/>
        <v>289</v>
      </c>
      <c r="B291" s="3047" t="s">
        <v>3084</v>
      </c>
      <c r="C291" s="3047" t="s">
        <v>3336</v>
      </c>
      <c r="D291" s="3047" t="s">
        <v>3350</v>
      </c>
      <c r="E291" s="3047" t="str">
        <f t="shared" si="35"/>
        <v>产权式酒店</v>
      </c>
      <c r="F291" s="3047" t="str">
        <f t="shared" si="35"/>
        <v>钢混</v>
      </c>
      <c r="G291" s="3047">
        <v>102.4</v>
      </c>
      <c r="H291" s="3159"/>
      <c r="I291" s="3047" t="s">
        <v>3088</v>
      </c>
    </row>
    <row r="292" spans="1:9" ht="22.5" hidden="1" customHeight="1">
      <c r="A292" s="3046">
        <f t="shared" si="33"/>
        <v>290</v>
      </c>
      <c r="B292" s="3047" t="s">
        <v>3084</v>
      </c>
      <c r="C292" s="3047" t="s">
        <v>3336</v>
      </c>
      <c r="D292" s="3047" t="s">
        <v>3351</v>
      </c>
      <c r="E292" s="3047" t="str">
        <f t="shared" si="35"/>
        <v>产权式酒店</v>
      </c>
      <c r="F292" s="3047" t="str">
        <f t="shared" si="35"/>
        <v>钢混</v>
      </c>
      <c r="G292" s="3047">
        <v>102.4</v>
      </c>
      <c r="H292" s="3159"/>
      <c r="I292" s="3047" t="s">
        <v>3088</v>
      </c>
    </row>
    <row r="293" spans="1:9" ht="22.5" hidden="1" customHeight="1">
      <c r="A293" s="3046">
        <f t="shared" si="33"/>
        <v>291</v>
      </c>
      <c r="B293" s="3047" t="s">
        <v>3084</v>
      </c>
      <c r="C293" s="3047" t="s">
        <v>3336</v>
      </c>
      <c r="D293" s="3047" t="s">
        <v>3352</v>
      </c>
      <c r="E293" s="3047" t="str">
        <f t="shared" ref="E293:F308" si="36">E292</f>
        <v>产权式酒店</v>
      </c>
      <c r="F293" s="3047" t="str">
        <f t="shared" si="36"/>
        <v>钢混</v>
      </c>
      <c r="G293" s="3047">
        <v>97.28</v>
      </c>
      <c r="H293" s="3159"/>
      <c r="I293" s="3047" t="s">
        <v>3088</v>
      </c>
    </row>
    <row r="294" spans="1:9" ht="22.5" hidden="1" customHeight="1">
      <c r="A294" s="3046">
        <f t="shared" si="33"/>
        <v>292</v>
      </c>
      <c r="B294" s="3047" t="s">
        <v>3084</v>
      </c>
      <c r="C294" s="3047" t="s">
        <v>3336</v>
      </c>
      <c r="D294" s="3047" t="s">
        <v>3353</v>
      </c>
      <c r="E294" s="3047" t="str">
        <f t="shared" si="36"/>
        <v>产权式酒店</v>
      </c>
      <c r="F294" s="3047" t="str">
        <f t="shared" si="36"/>
        <v>钢混</v>
      </c>
      <c r="G294" s="3047">
        <v>97.28</v>
      </c>
      <c r="H294" s="3159"/>
      <c r="I294" s="3047" t="s">
        <v>3088</v>
      </c>
    </row>
    <row r="295" spans="1:9" ht="22.5" hidden="1" customHeight="1">
      <c r="A295" s="3046">
        <f t="shared" si="33"/>
        <v>293</v>
      </c>
      <c r="B295" s="3047" t="s">
        <v>3084</v>
      </c>
      <c r="C295" s="3047" t="s">
        <v>3336</v>
      </c>
      <c r="D295" s="3047" t="s">
        <v>3354</v>
      </c>
      <c r="E295" s="3047" t="str">
        <f t="shared" si="36"/>
        <v>产权式酒店</v>
      </c>
      <c r="F295" s="3047" t="str">
        <f t="shared" si="36"/>
        <v>钢混</v>
      </c>
      <c r="G295" s="3047">
        <v>97.28</v>
      </c>
      <c r="H295" s="3159"/>
      <c r="I295" s="3047" t="s">
        <v>3088</v>
      </c>
    </row>
    <row r="296" spans="1:9" ht="22.5" hidden="1" customHeight="1">
      <c r="A296" s="3046">
        <f t="shared" si="33"/>
        <v>294</v>
      </c>
      <c r="B296" s="3047" t="s">
        <v>3084</v>
      </c>
      <c r="C296" s="3047" t="s">
        <v>3336</v>
      </c>
      <c r="D296" s="3047" t="s">
        <v>3355</v>
      </c>
      <c r="E296" s="3047" t="str">
        <f t="shared" si="36"/>
        <v>产权式酒店</v>
      </c>
      <c r="F296" s="3047" t="str">
        <f t="shared" si="36"/>
        <v>钢混</v>
      </c>
      <c r="G296" s="3047">
        <v>97.28</v>
      </c>
      <c r="H296" s="3159"/>
      <c r="I296" s="3047" t="s">
        <v>3088</v>
      </c>
    </row>
    <row r="297" spans="1:9" ht="22.5" hidden="1" customHeight="1">
      <c r="A297" s="3046">
        <f t="shared" si="33"/>
        <v>295</v>
      </c>
      <c r="B297" s="3047" t="s">
        <v>3084</v>
      </c>
      <c r="C297" s="3047" t="s">
        <v>3336</v>
      </c>
      <c r="D297" s="3047" t="s">
        <v>3356</v>
      </c>
      <c r="E297" s="3047" t="str">
        <f t="shared" si="36"/>
        <v>产权式酒店</v>
      </c>
      <c r="F297" s="3047" t="str">
        <f t="shared" si="36"/>
        <v>钢混</v>
      </c>
      <c r="G297" s="3047">
        <v>97.28</v>
      </c>
      <c r="H297" s="3159"/>
      <c r="I297" s="3047" t="s">
        <v>3088</v>
      </c>
    </row>
    <row r="298" spans="1:9" ht="22.5" hidden="1" customHeight="1">
      <c r="A298" s="3046">
        <f t="shared" si="33"/>
        <v>296</v>
      </c>
      <c r="B298" s="3047" t="s">
        <v>3084</v>
      </c>
      <c r="C298" s="3047" t="s">
        <v>3336</v>
      </c>
      <c r="D298" s="3047" t="s">
        <v>3357</v>
      </c>
      <c r="E298" s="3047" t="str">
        <f t="shared" si="36"/>
        <v>产权式酒店</v>
      </c>
      <c r="F298" s="3047" t="str">
        <f t="shared" si="36"/>
        <v>钢混</v>
      </c>
      <c r="G298" s="3047">
        <v>97.28</v>
      </c>
      <c r="H298" s="3159"/>
      <c r="I298" s="3047" t="s">
        <v>3088</v>
      </c>
    </row>
    <row r="299" spans="1:9" ht="22.5" hidden="1" customHeight="1">
      <c r="A299" s="3046">
        <f t="shared" si="33"/>
        <v>297</v>
      </c>
      <c r="B299" s="3047" t="s">
        <v>3084</v>
      </c>
      <c r="C299" s="3047" t="s">
        <v>3336</v>
      </c>
      <c r="D299" s="3047" t="s">
        <v>3358</v>
      </c>
      <c r="E299" s="3047" t="str">
        <f t="shared" si="36"/>
        <v>产权式酒店</v>
      </c>
      <c r="F299" s="3047" t="str">
        <f t="shared" si="36"/>
        <v>钢混</v>
      </c>
      <c r="G299" s="3047">
        <v>97.28</v>
      </c>
      <c r="H299" s="3159"/>
      <c r="I299" s="3047" t="s">
        <v>3088</v>
      </c>
    </row>
    <row r="300" spans="1:9" ht="22.5" hidden="1" customHeight="1">
      <c r="A300" s="3046">
        <f t="shared" si="33"/>
        <v>298</v>
      </c>
      <c r="B300" s="3047" t="s">
        <v>3084</v>
      </c>
      <c r="C300" s="3047" t="s">
        <v>3336</v>
      </c>
      <c r="D300" s="3047" t="s">
        <v>3359</v>
      </c>
      <c r="E300" s="3047" t="str">
        <f t="shared" si="36"/>
        <v>产权式酒店</v>
      </c>
      <c r="F300" s="3047" t="str">
        <f t="shared" si="36"/>
        <v>钢混</v>
      </c>
      <c r="G300" s="3047">
        <v>97.28</v>
      </c>
      <c r="H300" s="3159"/>
      <c r="I300" s="3047" t="s">
        <v>3088</v>
      </c>
    </row>
    <row r="301" spans="1:9" ht="22.5" hidden="1" customHeight="1">
      <c r="A301" s="3046">
        <f t="shared" si="33"/>
        <v>299</v>
      </c>
      <c r="B301" s="3047" t="s">
        <v>3084</v>
      </c>
      <c r="C301" s="3047" t="s">
        <v>3336</v>
      </c>
      <c r="D301" s="3047" t="s">
        <v>3360</v>
      </c>
      <c r="E301" s="3047" t="str">
        <f t="shared" si="36"/>
        <v>产权式酒店</v>
      </c>
      <c r="F301" s="3047" t="str">
        <f t="shared" si="36"/>
        <v>钢混</v>
      </c>
      <c r="G301" s="3047">
        <v>97.28</v>
      </c>
      <c r="H301" s="3159"/>
      <c r="I301" s="3047" t="s">
        <v>3088</v>
      </c>
    </row>
    <row r="302" spans="1:9" ht="22.5" hidden="1" customHeight="1">
      <c r="A302" s="3046">
        <f t="shared" si="33"/>
        <v>300</v>
      </c>
      <c r="B302" s="3047" t="s">
        <v>3084</v>
      </c>
      <c r="C302" s="3047" t="s">
        <v>3336</v>
      </c>
      <c r="D302" s="3047" t="s">
        <v>3361</v>
      </c>
      <c r="E302" s="3047" t="str">
        <f t="shared" si="36"/>
        <v>产权式酒店</v>
      </c>
      <c r="F302" s="3047" t="str">
        <f t="shared" si="36"/>
        <v>钢混</v>
      </c>
      <c r="G302" s="3047">
        <v>95.01</v>
      </c>
      <c r="H302" s="3159"/>
      <c r="I302" s="3047" t="s">
        <v>3088</v>
      </c>
    </row>
    <row r="303" spans="1:9" ht="22.5" hidden="1" customHeight="1">
      <c r="A303" s="3046">
        <f t="shared" si="33"/>
        <v>301</v>
      </c>
      <c r="B303" s="3047" t="s">
        <v>3084</v>
      </c>
      <c r="C303" s="3047" t="s">
        <v>3336</v>
      </c>
      <c r="D303" s="3047" t="s">
        <v>3362</v>
      </c>
      <c r="E303" s="3047" t="str">
        <f t="shared" si="36"/>
        <v>产权式酒店</v>
      </c>
      <c r="F303" s="3047" t="str">
        <f t="shared" si="36"/>
        <v>钢混</v>
      </c>
      <c r="G303" s="3047">
        <v>95.01</v>
      </c>
      <c r="H303" s="3159"/>
      <c r="I303" s="3047" t="s">
        <v>3088</v>
      </c>
    </row>
    <row r="304" spans="1:9" ht="22.5" hidden="1" customHeight="1">
      <c r="A304" s="3046">
        <f t="shared" si="33"/>
        <v>302</v>
      </c>
      <c r="B304" s="3047" t="s">
        <v>3084</v>
      </c>
      <c r="C304" s="3047" t="s">
        <v>3336</v>
      </c>
      <c r="D304" s="3047" t="s">
        <v>3363</v>
      </c>
      <c r="E304" s="3047" t="str">
        <f t="shared" si="36"/>
        <v>产权式酒店</v>
      </c>
      <c r="F304" s="3047" t="str">
        <f t="shared" si="36"/>
        <v>钢混</v>
      </c>
      <c r="G304" s="3047">
        <v>95.01</v>
      </c>
      <c r="H304" s="3159"/>
      <c r="I304" s="3047" t="s">
        <v>3088</v>
      </c>
    </row>
    <row r="305" spans="1:9" ht="22.5" hidden="1" customHeight="1">
      <c r="A305" s="3046">
        <f t="shared" si="33"/>
        <v>303</v>
      </c>
      <c r="B305" s="3047" t="s">
        <v>3084</v>
      </c>
      <c r="C305" s="3047" t="s">
        <v>3336</v>
      </c>
      <c r="D305" s="3047" t="s">
        <v>3364</v>
      </c>
      <c r="E305" s="3047" t="str">
        <f t="shared" si="36"/>
        <v>产权式酒店</v>
      </c>
      <c r="F305" s="3047" t="str">
        <f t="shared" si="36"/>
        <v>钢混</v>
      </c>
      <c r="G305" s="3047">
        <v>95.01</v>
      </c>
      <c r="H305" s="3159"/>
      <c r="I305" s="3047" t="s">
        <v>3088</v>
      </c>
    </row>
    <row r="306" spans="1:9" ht="22.5" hidden="1" customHeight="1">
      <c r="A306" s="3046">
        <f t="shared" si="33"/>
        <v>304</v>
      </c>
      <c r="B306" s="3047" t="s">
        <v>3084</v>
      </c>
      <c r="C306" s="3047" t="s">
        <v>3336</v>
      </c>
      <c r="D306" s="3047" t="s">
        <v>3365</v>
      </c>
      <c r="E306" s="3047" t="str">
        <f t="shared" si="36"/>
        <v>产权式酒店</v>
      </c>
      <c r="F306" s="3047" t="str">
        <f t="shared" si="36"/>
        <v>钢混</v>
      </c>
      <c r="G306" s="3047">
        <v>95.01</v>
      </c>
      <c r="H306" s="3159"/>
      <c r="I306" s="3047" t="s">
        <v>3088</v>
      </c>
    </row>
    <row r="307" spans="1:9" ht="22.5" hidden="1" customHeight="1">
      <c r="A307" s="3046">
        <f t="shared" si="33"/>
        <v>305</v>
      </c>
      <c r="B307" s="3047" t="s">
        <v>3084</v>
      </c>
      <c r="C307" s="3047" t="s">
        <v>3336</v>
      </c>
      <c r="D307" s="3047" t="s">
        <v>3366</v>
      </c>
      <c r="E307" s="3047" t="str">
        <f t="shared" si="36"/>
        <v>产权式酒店</v>
      </c>
      <c r="F307" s="3047" t="str">
        <f t="shared" si="36"/>
        <v>钢混</v>
      </c>
      <c r="G307" s="3047">
        <v>95.01</v>
      </c>
      <c r="H307" s="3155"/>
      <c r="I307" s="3047" t="s">
        <v>3088</v>
      </c>
    </row>
    <row r="308" spans="1:9" ht="22.5" hidden="1" customHeight="1">
      <c r="A308" s="3046">
        <f t="shared" si="33"/>
        <v>306</v>
      </c>
      <c r="B308" s="3047" t="s">
        <v>3084</v>
      </c>
      <c r="C308" s="3047" t="s">
        <v>3367</v>
      </c>
      <c r="D308" s="3047" t="s">
        <v>3368</v>
      </c>
      <c r="E308" s="3047" t="str">
        <f t="shared" si="36"/>
        <v>产权式酒店</v>
      </c>
      <c r="F308" s="3047" t="str">
        <f t="shared" si="36"/>
        <v>钢混</v>
      </c>
      <c r="G308" s="3047">
        <v>140.41</v>
      </c>
      <c r="H308" s="3154">
        <v>5169.95</v>
      </c>
      <c r="I308" s="3047" t="s">
        <v>3088</v>
      </c>
    </row>
    <row r="309" spans="1:9" ht="22.5" hidden="1" customHeight="1">
      <c r="A309" s="3046">
        <f t="shared" si="33"/>
        <v>307</v>
      </c>
      <c r="B309" s="3047" t="s">
        <v>3084</v>
      </c>
      <c r="C309" s="3047" t="s">
        <v>3367</v>
      </c>
      <c r="D309" s="3047" t="s">
        <v>3369</v>
      </c>
      <c r="E309" s="3047" t="str">
        <f t="shared" ref="E309:F324" si="37">E308</f>
        <v>产权式酒店</v>
      </c>
      <c r="F309" s="3047" t="str">
        <f t="shared" si="37"/>
        <v>钢混</v>
      </c>
      <c r="G309" s="3047">
        <v>140.41</v>
      </c>
      <c r="H309" s="3159"/>
      <c r="I309" s="3047" t="s">
        <v>3088</v>
      </c>
    </row>
    <row r="310" spans="1:9" ht="22.5" hidden="1" customHeight="1">
      <c r="A310" s="3046">
        <f t="shared" si="33"/>
        <v>308</v>
      </c>
      <c r="B310" s="3047" t="s">
        <v>3084</v>
      </c>
      <c r="C310" s="3047" t="s">
        <v>3367</v>
      </c>
      <c r="D310" s="3047" t="s">
        <v>3370</v>
      </c>
      <c r="E310" s="3047" t="str">
        <f t="shared" si="37"/>
        <v>产权式酒店</v>
      </c>
      <c r="F310" s="3047" t="str">
        <f t="shared" si="37"/>
        <v>钢混</v>
      </c>
      <c r="G310" s="3047">
        <v>140.41</v>
      </c>
      <c r="H310" s="3159"/>
      <c r="I310" s="3047" t="s">
        <v>3088</v>
      </c>
    </row>
    <row r="311" spans="1:9" ht="22.5" hidden="1" customHeight="1">
      <c r="A311" s="3046">
        <f t="shared" si="33"/>
        <v>309</v>
      </c>
      <c r="B311" s="3047" t="s">
        <v>3084</v>
      </c>
      <c r="C311" s="3047" t="s">
        <v>3367</v>
      </c>
      <c r="D311" s="3047" t="s">
        <v>3371</v>
      </c>
      <c r="E311" s="3047" t="str">
        <f t="shared" si="37"/>
        <v>产权式酒店</v>
      </c>
      <c r="F311" s="3047" t="str">
        <f t="shared" si="37"/>
        <v>钢混</v>
      </c>
      <c r="G311" s="3047">
        <v>140.41</v>
      </c>
      <c r="H311" s="3159"/>
      <c r="I311" s="3047" t="s">
        <v>3088</v>
      </c>
    </row>
    <row r="312" spans="1:9" ht="22.5" hidden="1" customHeight="1">
      <c r="A312" s="3046">
        <f t="shared" si="33"/>
        <v>310</v>
      </c>
      <c r="B312" s="3047" t="s">
        <v>3084</v>
      </c>
      <c r="C312" s="3047" t="s">
        <v>3367</v>
      </c>
      <c r="D312" s="3047" t="s">
        <v>3372</v>
      </c>
      <c r="E312" s="3047" t="str">
        <f t="shared" si="37"/>
        <v>产权式酒店</v>
      </c>
      <c r="F312" s="3047" t="str">
        <f t="shared" si="37"/>
        <v>钢混</v>
      </c>
      <c r="G312" s="3047">
        <v>140.41</v>
      </c>
      <c r="H312" s="3159"/>
      <c r="I312" s="3047" t="s">
        <v>3088</v>
      </c>
    </row>
    <row r="313" spans="1:9" ht="22.5" hidden="1" customHeight="1">
      <c r="A313" s="3046">
        <f t="shared" si="33"/>
        <v>311</v>
      </c>
      <c r="B313" s="3047" t="s">
        <v>3084</v>
      </c>
      <c r="C313" s="3047" t="s">
        <v>3367</v>
      </c>
      <c r="D313" s="3047" t="s">
        <v>3373</v>
      </c>
      <c r="E313" s="3047" t="str">
        <f t="shared" si="37"/>
        <v>产权式酒店</v>
      </c>
      <c r="F313" s="3047" t="str">
        <f t="shared" si="37"/>
        <v>钢混</v>
      </c>
      <c r="G313" s="3047">
        <v>140.41</v>
      </c>
      <c r="H313" s="3159"/>
      <c r="I313" s="3047" t="s">
        <v>3088</v>
      </c>
    </row>
    <row r="314" spans="1:9" ht="22.5" hidden="1" customHeight="1">
      <c r="A314" s="3046">
        <f t="shared" si="33"/>
        <v>312</v>
      </c>
      <c r="B314" s="3047" t="s">
        <v>3084</v>
      </c>
      <c r="C314" s="3047" t="s">
        <v>3367</v>
      </c>
      <c r="D314" s="3047" t="s">
        <v>3374</v>
      </c>
      <c r="E314" s="3047" t="str">
        <f t="shared" si="37"/>
        <v>产权式酒店</v>
      </c>
      <c r="F314" s="3047" t="str">
        <f t="shared" si="37"/>
        <v>钢混</v>
      </c>
      <c r="G314" s="3047">
        <v>129.22</v>
      </c>
      <c r="H314" s="3159"/>
      <c r="I314" s="3047" t="s">
        <v>3088</v>
      </c>
    </row>
    <row r="315" spans="1:9" ht="22.5" hidden="1" customHeight="1">
      <c r="A315" s="3046">
        <f t="shared" si="33"/>
        <v>313</v>
      </c>
      <c r="B315" s="3047" t="s">
        <v>3084</v>
      </c>
      <c r="C315" s="3047" t="s">
        <v>3367</v>
      </c>
      <c r="D315" s="3047" t="s">
        <v>3375</v>
      </c>
      <c r="E315" s="3047" t="str">
        <f t="shared" si="37"/>
        <v>产权式酒店</v>
      </c>
      <c r="F315" s="3047" t="str">
        <f t="shared" si="37"/>
        <v>钢混</v>
      </c>
      <c r="G315" s="3047">
        <v>129.22</v>
      </c>
      <c r="H315" s="3159"/>
      <c r="I315" s="3047" t="s">
        <v>3088</v>
      </c>
    </row>
    <row r="316" spans="1:9" ht="22.5" hidden="1" customHeight="1">
      <c r="A316" s="3046">
        <f t="shared" si="33"/>
        <v>314</v>
      </c>
      <c r="B316" s="3047" t="s">
        <v>3084</v>
      </c>
      <c r="C316" s="3047" t="s">
        <v>3367</v>
      </c>
      <c r="D316" s="3047" t="s">
        <v>3376</v>
      </c>
      <c r="E316" s="3047" t="str">
        <f t="shared" si="37"/>
        <v>产权式酒店</v>
      </c>
      <c r="F316" s="3047" t="str">
        <f t="shared" si="37"/>
        <v>钢混</v>
      </c>
      <c r="G316" s="3047">
        <v>129.22</v>
      </c>
      <c r="H316" s="3159"/>
      <c r="I316" s="3047" t="s">
        <v>3088</v>
      </c>
    </row>
    <row r="317" spans="1:9" ht="22.5" hidden="1" customHeight="1">
      <c r="A317" s="3046">
        <f t="shared" si="33"/>
        <v>315</v>
      </c>
      <c r="B317" s="3047" t="s">
        <v>3084</v>
      </c>
      <c r="C317" s="3047" t="s">
        <v>3367</v>
      </c>
      <c r="D317" s="3047" t="s">
        <v>3377</v>
      </c>
      <c r="E317" s="3047" t="str">
        <f t="shared" si="37"/>
        <v>产权式酒店</v>
      </c>
      <c r="F317" s="3047" t="str">
        <f t="shared" si="37"/>
        <v>钢混</v>
      </c>
      <c r="G317" s="3047">
        <v>129.22</v>
      </c>
      <c r="H317" s="3159"/>
      <c r="I317" s="3047" t="s">
        <v>3088</v>
      </c>
    </row>
    <row r="318" spans="1:9" ht="22.5" hidden="1" customHeight="1">
      <c r="A318" s="3046">
        <f t="shared" si="33"/>
        <v>316</v>
      </c>
      <c r="B318" s="3047" t="s">
        <v>3084</v>
      </c>
      <c r="C318" s="3047" t="s">
        <v>3367</v>
      </c>
      <c r="D318" s="3047" t="s">
        <v>3378</v>
      </c>
      <c r="E318" s="3047" t="str">
        <f t="shared" si="37"/>
        <v>产权式酒店</v>
      </c>
      <c r="F318" s="3047" t="str">
        <f t="shared" si="37"/>
        <v>钢混</v>
      </c>
      <c r="G318" s="3047">
        <v>129.22</v>
      </c>
      <c r="H318" s="3159"/>
      <c r="I318" s="3047" t="s">
        <v>3088</v>
      </c>
    </row>
    <row r="319" spans="1:9" ht="22.5" hidden="1" customHeight="1">
      <c r="A319" s="3046">
        <f t="shared" si="33"/>
        <v>317</v>
      </c>
      <c r="B319" s="3047" t="s">
        <v>3084</v>
      </c>
      <c r="C319" s="3047" t="s">
        <v>3367</v>
      </c>
      <c r="D319" s="3047" t="s">
        <v>3379</v>
      </c>
      <c r="E319" s="3047" t="str">
        <f t="shared" si="37"/>
        <v>产权式酒店</v>
      </c>
      <c r="F319" s="3047" t="str">
        <f t="shared" si="37"/>
        <v>钢混</v>
      </c>
      <c r="G319" s="3047">
        <v>129.22</v>
      </c>
      <c r="H319" s="3159"/>
      <c r="I319" s="3047" t="s">
        <v>3088</v>
      </c>
    </row>
    <row r="320" spans="1:9" ht="22.5" hidden="1" customHeight="1">
      <c r="A320" s="3046">
        <f t="shared" si="33"/>
        <v>318</v>
      </c>
      <c r="B320" s="3047" t="s">
        <v>3084</v>
      </c>
      <c r="C320" s="3047" t="s">
        <v>3367</v>
      </c>
      <c r="D320" s="3047" t="s">
        <v>3380</v>
      </c>
      <c r="E320" s="3047" t="str">
        <f t="shared" si="37"/>
        <v>产权式酒店</v>
      </c>
      <c r="F320" s="3047" t="str">
        <f t="shared" si="37"/>
        <v>钢混</v>
      </c>
      <c r="G320" s="3047">
        <v>110.19</v>
      </c>
      <c r="H320" s="3159"/>
      <c r="I320" s="3047" t="s">
        <v>3088</v>
      </c>
    </row>
    <row r="321" spans="1:9" ht="22.5" hidden="1" customHeight="1">
      <c r="A321" s="3046">
        <f t="shared" si="33"/>
        <v>319</v>
      </c>
      <c r="B321" s="3047" t="s">
        <v>3084</v>
      </c>
      <c r="C321" s="3047" t="s">
        <v>3367</v>
      </c>
      <c r="D321" s="3047" t="s">
        <v>3381</v>
      </c>
      <c r="E321" s="3047" t="str">
        <f t="shared" si="37"/>
        <v>产权式酒店</v>
      </c>
      <c r="F321" s="3047" t="str">
        <f t="shared" si="37"/>
        <v>钢混</v>
      </c>
      <c r="G321" s="3047">
        <v>110.19</v>
      </c>
      <c r="H321" s="3159"/>
      <c r="I321" s="3047" t="s">
        <v>3088</v>
      </c>
    </row>
    <row r="322" spans="1:9" ht="22.5" hidden="1" customHeight="1">
      <c r="A322" s="3046">
        <f t="shared" si="33"/>
        <v>320</v>
      </c>
      <c r="B322" s="3047" t="s">
        <v>3084</v>
      </c>
      <c r="C322" s="3047" t="s">
        <v>3367</v>
      </c>
      <c r="D322" s="3047" t="s">
        <v>3382</v>
      </c>
      <c r="E322" s="3047" t="str">
        <f t="shared" si="37"/>
        <v>产权式酒店</v>
      </c>
      <c r="F322" s="3047" t="str">
        <f t="shared" si="37"/>
        <v>钢混</v>
      </c>
      <c r="G322" s="3047">
        <v>110.19</v>
      </c>
      <c r="H322" s="3159"/>
      <c r="I322" s="3047" t="s">
        <v>3088</v>
      </c>
    </row>
    <row r="323" spans="1:9" ht="22.5" hidden="1" customHeight="1">
      <c r="A323" s="3046">
        <f t="shared" si="33"/>
        <v>321</v>
      </c>
      <c r="B323" s="3047" t="s">
        <v>3084</v>
      </c>
      <c r="C323" s="3047" t="s">
        <v>3367</v>
      </c>
      <c r="D323" s="3047" t="s">
        <v>3383</v>
      </c>
      <c r="E323" s="3047" t="str">
        <f t="shared" si="37"/>
        <v>产权式酒店</v>
      </c>
      <c r="F323" s="3047" t="str">
        <f t="shared" si="37"/>
        <v>钢混</v>
      </c>
      <c r="G323" s="3047">
        <v>110.19</v>
      </c>
      <c r="H323" s="3159"/>
      <c r="I323" s="3047" t="s">
        <v>3088</v>
      </c>
    </row>
    <row r="324" spans="1:9" ht="22.5" hidden="1" customHeight="1">
      <c r="A324" s="3046">
        <f t="shared" si="33"/>
        <v>322</v>
      </c>
      <c r="B324" s="3047" t="s">
        <v>3084</v>
      </c>
      <c r="C324" s="3047" t="s">
        <v>3367</v>
      </c>
      <c r="D324" s="3047" t="s">
        <v>3384</v>
      </c>
      <c r="E324" s="3047" t="str">
        <f t="shared" si="37"/>
        <v>产权式酒店</v>
      </c>
      <c r="F324" s="3047" t="str">
        <f t="shared" si="37"/>
        <v>钢混</v>
      </c>
      <c r="G324" s="3047">
        <v>110.19</v>
      </c>
      <c r="H324" s="3159"/>
      <c r="I324" s="3047" t="s">
        <v>3088</v>
      </c>
    </row>
    <row r="325" spans="1:9" ht="22.5" hidden="1" customHeight="1">
      <c r="A325" s="3046">
        <f t="shared" ref="A325:A388" si="38">A324+1</f>
        <v>323</v>
      </c>
      <c r="B325" s="3047" t="s">
        <v>3084</v>
      </c>
      <c r="C325" s="3047" t="s">
        <v>3367</v>
      </c>
      <c r="D325" s="3047" t="s">
        <v>3385</v>
      </c>
      <c r="E325" s="3047" t="str">
        <f t="shared" ref="E325:F340" si="39">E324</f>
        <v>产权式酒店</v>
      </c>
      <c r="F325" s="3047" t="str">
        <f t="shared" si="39"/>
        <v>钢混</v>
      </c>
      <c r="G325" s="3047">
        <v>110.19</v>
      </c>
      <c r="H325" s="3159"/>
      <c r="I325" s="3047" t="s">
        <v>3088</v>
      </c>
    </row>
    <row r="326" spans="1:9" ht="22.5" hidden="1" customHeight="1">
      <c r="A326" s="3046">
        <f t="shared" si="38"/>
        <v>324</v>
      </c>
      <c r="B326" s="3047" t="s">
        <v>3084</v>
      </c>
      <c r="C326" s="3047" t="s">
        <v>3367</v>
      </c>
      <c r="D326" s="3047" t="s">
        <v>3386</v>
      </c>
      <c r="E326" s="3047" t="str">
        <f t="shared" si="39"/>
        <v>产权式酒店</v>
      </c>
      <c r="F326" s="3047" t="str">
        <f t="shared" si="39"/>
        <v>钢混</v>
      </c>
      <c r="G326" s="3047">
        <v>102.45</v>
      </c>
      <c r="H326" s="3159"/>
      <c r="I326" s="3047" t="s">
        <v>3088</v>
      </c>
    </row>
    <row r="327" spans="1:9" ht="22.5" hidden="1" customHeight="1">
      <c r="A327" s="3046">
        <f t="shared" si="38"/>
        <v>325</v>
      </c>
      <c r="B327" s="3047" t="s">
        <v>3084</v>
      </c>
      <c r="C327" s="3047" t="s">
        <v>3367</v>
      </c>
      <c r="D327" s="3047" t="s">
        <v>3387</v>
      </c>
      <c r="E327" s="3047" t="str">
        <f t="shared" si="39"/>
        <v>产权式酒店</v>
      </c>
      <c r="F327" s="3047" t="str">
        <f t="shared" si="39"/>
        <v>钢混</v>
      </c>
      <c r="G327" s="3047">
        <v>102.45</v>
      </c>
      <c r="H327" s="3159"/>
      <c r="I327" s="3047" t="s">
        <v>3088</v>
      </c>
    </row>
    <row r="328" spans="1:9" ht="22.5" hidden="1" customHeight="1">
      <c r="A328" s="3046">
        <f t="shared" si="38"/>
        <v>326</v>
      </c>
      <c r="B328" s="3047" t="s">
        <v>3084</v>
      </c>
      <c r="C328" s="3047" t="s">
        <v>3367</v>
      </c>
      <c r="D328" s="3047" t="s">
        <v>3388</v>
      </c>
      <c r="E328" s="3047" t="str">
        <f t="shared" si="39"/>
        <v>产权式酒店</v>
      </c>
      <c r="F328" s="3047" t="str">
        <f t="shared" si="39"/>
        <v>钢混</v>
      </c>
      <c r="G328" s="3047">
        <v>102.45</v>
      </c>
      <c r="H328" s="3159"/>
      <c r="I328" s="3047" t="s">
        <v>3088</v>
      </c>
    </row>
    <row r="329" spans="1:9" ht="22.5" hidden="1" customHeight="1">
      <c r="A329" s="3046">
        <f t="shared" si="38"/>
        <v>327</v>
      </c>
      <c r="B329" s="3047" t="s">
        <v>3084</v>
      </c>
      <c r="C329" s="3047" t="s">
        <v>3367</v>
      </c>
      <c r="D329" s="3047" t="s">
        <v>3389</v>
      </c>
      <c r="E329" s="3047" t="str">
        <f t="shared" si="39"/>
        <v>产权式酒店</v>
      </c>
      <c r="F329" s="3047" t="str">
        <f t="shared" si="39"/>
        <v>钢混</v>
      </c>
      <c r="G329" s="3047">
        <v>102.45</v>
      </c>
      <c r="H329" s="3159"/>
      <c r="I329" s="3047" t="s">
        <v>3088</v>
      </c>
    </row>
    <row r="330" spans="1:9" ht="22.5" hidden="1" customHeight="1">
      <c r="A330" s="3046">
        <f t="shared" si="38"/>
        <v>328</v>
      </c>
      <c r="B330" s="3047" t="s">
        <v>3084</v>
      </c>
      <c r="C330" s="3047" t="s">
        <v>3367</v>
      </c>
      <c r="D330" s="3047" t="s">
        <v>3390</v>
      </c>
      <c r="E330" s="3047" t="str">
        <f t="shared" si="39"/>
        <v>产权式酒店</v>
      </c>
      <c r="F330" s="3047" t="str">
        <f t="shared" si="39"/>
        <v>钢混</v>
      </c>
      <c r="G330" s="3047">
        <v>102.45</v>
      </c>
      <c r="H330" s="3159"/>
      <c r="I330" s="3047" t="s">
        <v>3088</v>
      </c>
    </row>
    <row r="331" spans="1:9" ht="22.5" hidden="1" customHeight="1">
      <c r="A331" s="3046">
        <f t="shared" si="38"/>
        <v>329</v>
      </c>
      <c r="B331" s="3047" t="s">
        <v>3084</v>
      </c>
      <c r="C331" s="3047" t="s">
        <v>3367</v>
      </c>
      <c r="D331" s="3047" t="s">
        <v>3391</v>
      </c>
      <c r="E331" s="3047" t="str">
        <f t="shared" si="39"/>
        <v>产权式酒店</v>
      </c>
      <c r="F331" s="3047" t="str">
        <f t="shared" si="39"/>
        <v>钢混</v>
      </c>
      <c r="G331" s="3047">
        <v>102.45</v>
      </c>
      <c r="H331" s="3159"/>
      <c r="I331" s="3047" t="s">
        <v>3088</v>
      </c>
    </row>
    <row r="332" spans="1:9" ht="22.5" hidden="1" customHeight="1">
      <c r="A332" s="3046">
        <f t="shared" si="38"/>
        <v>330</v>
      </c>
      <c r="B332" s="3047" t="s">
        <v>3084</v>
      </c>
      <c r="C332" s="3047" t="s">
        <v>3367</v>
      </c>
      <c r="D332" s="3047" t="s">
        <v>3392</v>
      </c>
      <c r="E332" s="3047" t="str">
        <f t="shared" si="39"/>
        <v>产权式酒店</v>
      </c>
      <c r="F332" s="3047" t="str">
        <f t="shared" si="39"/>
        <v>钢混</v>
      </c>
      <c r="G332" s="3047">
        <v>86.24</v>
      </c>
      <c r="H332" s="3159"/>
      <c r="I332" s="3047" t="s">
        <v>3088</v>
      </c>
    </row>
    <row r="333" spans="1:9" ht="22.5" hidden="1" customHeight="1">
      <c r="A333" s="3046">
        <f t="shared" si="38"/>
        <v>331</v>
      </c>
      <c r="B333" s="3047" t="s">
        <v>3084</v>
      </c>
      <c r="C333" s="3047" t="s">
        <v>3367</v>
      </c>
      <c r="D333" s="3047" t="s">
        <v>3393</v>
      </c>
      <c r="E333" s="3047" t="str">
        <f t="shared" si="39"/>
        <v>产权式酒店</v>
      </c>
      <c r="F333" s="3047" t="str">
        <f t="shared" si="39"/>
        <v>钢混</v>
      </c>
      <c r="G333" s="3047">
        <v>86.24</v>
      </c>
      <c r="H333" s="3159"/>
      <c r="I333" s="3047" t="s">
        <v>3088</v>
      </c>
    </row>
    <row r="334" spans="1:9" ht="22.5" hidden="1" customHeight="1">
      <c r="A334" s="3046">
        <f t="shared" si="38"/>
        <v>332</v>
      </c>
      <c r="B334" s="3047" t="s">
        <v>3084</v>
      </c>
      <c r="C334" s="3047" t="s">
        <v>3367</v>
      </c>
      <c r="D334" s="3047" t="s">
        <v>3394</v>
      </c>
      <c r="E334" s="3047" t="str">
        <f t="shared" si="39"/>
        <v>产权式酒店</v>
      </c>
      <c r="F334" s="3047" t="str">
        <f t="shared" si="39"/>
        <v>钢混</v>
      </c>
      <c r="G334" s="3047">
        <v>86.24</v>
      </c>
      <c r="H334" s="3159"/>
      <c r="I334" s="3047" t="s">
        <v>3088</v>
      </c>
    </row>
    <row r="335" spans="1:9" ht="22.5" hidden="1" customHeight="1">
      <c r="A335" s="3046">
        <f t="shared" si="38"/>
        <v>333</v>
      </c>
      <c r="B335" s="3047" t="s">
        <v>3084</v>
      </c>
      <c r="C335" s="3047" t="s">
        <v>3367</v>
      </c>
      <c r="D335" s="3047" t="s">
        <v>3395</v>
      </c>
      <c r="E335" s="3047" t="str">
        <f t="shared" si="39"/>
        <v>产权式酒店</v>
      </c>
      <c r="F335" s="3047" t="str">
        <f t="shared" si="39"/>
        <v>钢混</v>
      </c>
      <c r="G335" s="3047">
        <v>86.24</v>
      </c>
      <c r="H335" s="3159"/>
      <c r="I335" s="3047" t="s">
        <v>3088</v>
      </c>
    </row>
    <row r="336" spans="1:9" ht="22.5" hidden="1" customHeight="1">
      <c r="A336" s="3046">
        <f t="shared" si="38"/>
        <v>334</v>
      </c>
      <c r="B336" s="3047" t="s">
        <v>3084</v>
      </c>
      <c r="C336" s="3047" t="s">
        <v>3367</v>
      </c>
      <c r="D336" s="3047" t="s">
        <v>3396</v>
      </c>
      <c r="E336" s="3047" t="str">
        <f t="shared" si="39"/>
        <v>产权式酒店</v>
      </c>
      <c r="F336" s="3047" t="str">
        <f t="shared" si="39"/>
        <v>钢混</v>
      </c>
      <c r="G336" s="3047">
        <v>86.24</v>
      </c>
      <c r="H336" s="3159"/>
      <c r="I336" s="3047" t="s">
        <v>3088</v>
      </c>
    </row>
    <row r="337" spans="1:9" ht="22.5" hidden="1" customHeight="1">
      <c r="A337" s="3046">
        <f t="shared" si="38"/>
        <v>335</v>
      </c>
      <c r="B337" s="3047" t="s">
        <v>3084</v>
      </c>
      <c r="C337" s="3047" t="s">
        <v>3367</v>
      </c>
      <c r="D337" s="3047" t="s">
        <v>3397</v>
      </c>
      <c r="E337" s="3047" t="str">
        <f t="shared" si="39"/>
        <v>产权式酒店</v>
      </c>
      <c r="F337" s="3047" t="str">
        <f t="shared" si="39"/>
        <v>钢混</v>
      </c>
      <c r="G337" s="3047">
        <v>86.24</v>
      </c>
      <c r="H337" s="3159"/>
      <c r="I337" s="3047" t="s">
        <v>3088</v>
      </c>
    </row>
    <row r="338" spans="1:9" ht="22.5" hidden="1" customHeight="1">
      <c r="A338" s="3046">
        <f t="shared" si="38"/>
        <v>336</v>
      </c>
      <c r="B338" s="3047" t="s">
        <v>3084</v>
      </c>
      <c r="C338" s="3047" t="s">
        <v>3367</v>
      </c>
      <c r="D338" s="3047" t="s">
        <v>3398</v>
      </c>
      <c r="E338" s="3047" t="str">
        <f t="shared" si="39"/>
        <v>产权式酒店</v>
      </c>
      <c r="F338" s="3047" t="str">
        <f t="shared" si="39"/>
        <v>钢混</v>
      </c>
      <c r="G338" s="3047">
        <v>83.54</v>
      </c>
      <c r="H338" s="3159"/>
      <c r="I338" s="3047" t="s">
        <v>3088</v>
      </c>
    </row>
    <row r="339" spans="1:9" ht="22.5" hidden="1" customHeight="1">
      <c r="A339" s="3046">
        <f t="shared" si="38"/>
        <v>337</v>
      </c>
      <c r="B339" s="3047" t="s">
        <v>3084</v>
      </c>
      <c r="C339" s="3047" t="s">
        <v>3367</v>
      </c>
      <c r="D339" s="3047" t="s">
        <v>3399</v>
      </c>
      <c r="E339" s="3047" t="str">
        <f t="shared" si="39"/>
        <v>产权式酒店</v>
      </c>
      <c r="F339" s="3047" t="str">
        <f t="shared" si="39"/>
        <v>钢混</v>
      </c>
      <c r="G339" s="3047">
        <v>83.54</v>
      </c>
      <c r="H339" s="3159"/>
      <c r="I339" s="3047" t="s">
        <v>3088</v>
      </c>
    </row>
    <row r="340" spans="1:9" ht="22.5" hidden="1" customHeight="1">
      <c r="A340" s="3046">
        <f t="shared" si="38"/>
        <v>338</v>
      </c>
      <c r="B340" s="3047" t="s">
        <v>3084</v>
      </c>
      <c r="C340" s="3047" t="s">
        <v>3367</v>
      </c>
      <c r="D340" s="3047" t="s">
        <v>3400</v>
      </c>
      <c r="E340" s="3047" t="str">
        <f t="shared" si="39"/>
        <v>产权式酒店</v>
      </c>
      <c r="F340" s="3047" t="str">
        <f t="shared" si="39"/>
        <v>钢混</v>
      </c>
      <c r="G340" s="3047">
        <v>83.54</v>
      </c>
      <c r="H340" s="3159"/>
      <c r="I340" s="3047" t="s">
        <v>3088</v>
      </c>
    </row>
    <row r="341" spans="1:9" ht="22.5" hidden="1" customHeight="1">
      <c r="A341" s="3046">
        <f t="shared" si="38"/>
        <v>339</v>
      </c>
      <c r="B341" s="3047" t="s">
        <v>3084</v>
      </c>
      <c r="C341" s="3047" t="s">
        <v>3367</v>
      </c>
      <c r="D341" s="3047" t="s">
        <v>3401</v>
      </c>
      <c r="E341" s="3047" t="str">
        <f t="shared" ref="E341:F356" si="40">E340</f>
        <v>产权式酒店</v>
      </c>
      <c r="F341" s="3047" t="str">
        <f t="shared" si="40"/>
        <v>钢混</v>
      </c>
      <c r="G341" s="3047">
        <v>83.54</v>
      </c>
      <c r="H341" s="3159"/>
      <c r="I341" s="3047" t="s">
        <v>3088</v>
      </c>
    </row>
    <row r="342" spans="1:9" ht="22.5" hidden="1" customHeight="1">
      <c r="A342" s="3046">
        <f t="shared" si="38"/>
        <v>340</v>
      </c>
      <c r="B342" s="3047" t="s">
        <v>3084</v>
      </c>
      <c r="C342" s="3047" t="s">
        <v>3367</v>
      </c>
      <c r="D342" s="3047" t="s">
        <v>3402</v>
      </c>
      <c r="E342" s="3047" t="str">
        <f t="shared" si="40"/>
        <v>产权式酒店</v>
      </c>
      <c r="F342" s="3047" t="str">
        <f t="shared" si="40"/>
        <v>钢混</v>
      </c>
      <c r="G342" s="3047">
        <v>83.54</v>
      </c>
      <c r="H342" s="3159"/>
      <c r="I342" s="3047" t="s">
        <v>3088</v>
      </c>
    </row>
    <row r="343" spans="1:9" ht="22.5" hidden="1" customHeight="1">
      <c r="A343" s="3046">
        <f t="shared" si="38"/>
        <v>341</v>
      </c>
      <c r="B343" s="3047" t="s">
        <v>3084</v>
      </c>
      <c r="C343" s="3047" t="s">
        <v>3367</v>
      </c>
      <c r="D343" s="3047" t="s">
        <v>3403</v>
      </c>
      <c r="E343" s="3047" t="str">
        <f t="shared" si="40"/>
        <v>产权式酒店</v>
      </c>
      <c r="F343" s="3047" t="str">
        <f t="shared" si="40"/>
        <v>钢混</v>
      </c>
      <c r="G343" s="3047">
        <v>83.54</v>
      </c>
      <c r="H343" s="3155"/>
      <c r="I343" s="3047" t="s">
        <v>3088</v>
      </c>
    </row>
    <row r="344" spans="1:9" ht="22.5" hidden="1" customHeight="1">
      <c r="A344" s="3046">
        <f t="shared" si="38"/>
        <v>342</v>
      </c>
      <c r="B344" s="3047" t="s">
        <v>3084</v>
      </c>
      <c r="C344" s="3047" t="s">
        <v>3404</v>
      </c>
      <c r="D344" s="3047" t="s">
        <v>3405</v>
      </c>
      <c r="E344" s="3047" t="str">
        <f t="shared" si="40"/>
        <v>产权式酒店</v>
      </c>
      <c r="F344" s="3047" t="str">
        <f t="shared" si="40"/>
        <v>钢混</v>
      </c>
      <c r="G344" s="3047">
        <v>116.88</v>
      </c>
      <c r="H344" s="3154">
        <v>5804.18</v>
      </c>
      <c r="I344" s="3047" t="s">
        <v>3088</v>
      </c>
    </row>
    <row r="345" spans="1:9" ht="22.5" hidden="1" customHeight="1">
      <c r="A345" s="3046">
        <f t="shared" si="38"/>
        <v>343</v>
      </c>
      <c r="B345" s="3047" t="s">
        <v>3084</v>
      </c>
      <c r="C345" s="3047" t="s">
        <v>3404</v>
      </c>
      <c r="D345" s="3047" t="s">
        <v>3406</v>
      </c>
      <c r="E345" s="3047" t="str">
        <f t="shared" si="40"/>
        <v>产权式酒店</v>
      </c>
      <c r="F345" s="3047" t="str">
        <f t="shared" si="40"/>
        <v>钢混</v>
      </c>
      <c r="G345" s="3047">
        <v>114.88</v>
      </c>
      <c r="H345" s="3159"/>
      <c r="I345" s="3047" t="s">
        <v>3088</v>
      </c>
    </row>
    <row r="346" spans="1:9" ht="22.5" hidden="1" customHeight="1">
      <c r="A346" s="3046">
        <f t="shared" si="38"/>
        <v>344</v>
      </c>
      <c r="B346" s="3047" t="s">
        <v>3084</v>
      </c>
      <c r="C346" s="3047" t="s">
        <v>3404</v>
      </c>
      <c r="D346" s="3047" t="s">
        <v>3407</v>
      </c>
      <c r="E346" s="3047" t="str">
        <f t="shared" si="40"/>
        <v>产权式酒店</v>
      </c>
      <c r="F346" s="3047" t="str">
        <f t="shared" si="40"/>
        <v>钢混</v>
      </c>
      <c r="G346" s="3047">
        <v>116.88</v>
      </c>
      <c r="H346" s="3159"/>
      <c r="I346" s="3047" t="s">
        <v>3088</v>
      </c>
    </row>
    <row r="347" spans="1:9" ht="22.5" hidden="1" customHeight="1">
      <c r="A347" s="3046">
        <f t="shared" si="38"/>
        <v>345</v>
      </c>
      <c r="B347" s="3047" t="s">
        <v>3084</v>
      </c>
      <c r="C347" s="3047" t="s">
        <v>3404</v>
      </c>
      <c r="D347" s="3047" t="s">
        <v>3408</v>
      </c>
      <c r="E347" s="3047" t="str">
        <f t="shared" si="40"/>
        <v>产权式酒店</v>
      </c>
      <c r="F347" s="3047" t="str">
        <f t="shared" si="40"/>
        <v>钢混</v>
      </c>
      <c r="G347" s="3047">
        <v>114.88</v>
      </c>
      <c r="H347" s="3159"/>
      <c r="I347" s="3047" t="s">
        <v>3088</v>
      </c>
    </row>
    <row r="348" spans="1:9" ht="22.5" hidden="1" customHeight="1">
      <c r="A348" s="3046">
        <f t="shared" si="38"/>
        <v>346</v>
      </c>
      <c r="B348" s="3047" t="s">
        <v>3084</v>
      </c>
      <c r="C348" s="3047" t="s">
        <v>3404</v>
      </c>
      <c r="D348" s="3047" t="s">
        <v>3409</v>
      </c>
      <c r="E348" s="3047" t="str">
        <f t="shared" si="40"/>
        <v>产权式酒店</v>
      </c>
      <c r="F348" s="3047" t="str">
        <f t="shared" si="40"/>
        <v>钢混</v>
      </c>
      <c r="G348" s="3047">
        <v>116.88</v>
      </c>
      <c r="H348" s="3159"/>
      <c r="I348" s="3047" t="s">
        <v>3088</v>
      </c>
    </row>
    <row r="349" spans="1:9" ht="22.5" hidden="1" customHeight="1">
      <c r="A349" s="3046">
        <f t="shared" si="38"/>
        <v>347</v>
      </c>
      <c r="B349" s="3047" t="s">
        <v>3084</v>
      </c>
      <c r="C349" s="3047" t="s">
        <v>3404</v>
      </c>
      <c r="D349" s="3047" t="s">
        <v>3410</v>
      </c>
      <c r="E349" s="3047" t="str">
        <f t="shared" si="40"/>
        <v>产权式酒店</v>
      </c>
      <c r="F349" s="3047" t="str">
        <f t="shared" si="40"/>
        <v>钢混</v>
      </c>
      <c r="G349" s="3047">
        <v>114.88</v>
      </c>
      <c r="H349" s="3159"/>
      <c r="I349" s="3047" t="s">
        <v>3088</v>
      </c>
    </row>
    <row r="350" spans="1:9" ht="22.5" hidden="1" customHeight="1">
      <c r="A350" s="3046">
        <f t="shared" si="38"/>
        <v>348</v>
      </c>
      <c r="B350" s="3047" t="s">
        <v>3084</v>
      </c>
      <c r="C350" s="3047" t="s">
        <v>3404</v>
      </c>
      <c r="D350" s="3047" t="s">
        <v>3411</v>
      </c>
      <c r="E350" s="3047" t="str">
        <f t="shared" si="40"/>
        <v>产权式酒店</v>
      </c>
      <c r="F350" s="3047" t="str">
        <f t="shared" si="40"/>
        <v>钢混</v>
      </c>
      <c r="G350" s="3047">
        <v>113.16</v>
      </c>
      <c r="H350" s="3159"/>
      <c r="I350" s="3047" t="s">
        <v>3088</v>
      </c>
    </row>
    <row r="351" spans="1:9" ht="22.5" hidden="1" customHeight="1">
      <c r="A351" s="3046">
        <f t="shared" si="38"/>
        <v>349</v>
      </c>
      <c r="B351" s="3047" t="s">
        <v>3084</v>
      </c>
      <c r="C351" s="3047" t="s">
        <v>3404</v>
      </c>
      <c r="D351" s="3047" t="s">
        <v>3412</v>
      </c>
      <c r="E351" s="3047" t="str">
        <f t="shared" si="40"/>
        <v>产权式酒店</v>
      </c>
      <c r="F351" s="3047" t="str">
        <f t="shared" si="40"/>
        <v>钢混</v>
      </c>
      <c r="G351" s="3047">
        <v>113.16</v>
      </c>
      <c r="H351" s="3159"/>
      <c r="I351" s="3047" t="s">
        <v>3088</v>
      </c>
    </row>
    <row r="352" spans="1:9" ht="22.5" hidden="1" customHeight="1">
      <c r="A352" s="3046">
        <f t="shared" si="38"/>
        <v>350</v>
      </c>
      <c r="B352" s="3047" t="s">
        <v>3084</v>
      </c>
      <c r="C352" s="3047" t="s">
        <v>3404</v>
      </c>
      <c r="D352" s="3047" t="s">
        <v>3413</v>
      </c>
      <c r="E352" s="3047" t="str">
        <f t="shared" si="40"/>
        <v>产权式酒店</v>
      </c>
      <c r="F352" s="3047" t="str">
        <f t="shared" si="40"/>
        <v>钢混</v>
      </c>
      <c r="G352" s="3047">
        <v>113.16</v>
      </c>
      <c r="H352" s="3159"/>
      <c r="I352" s="3047" t="s">
        <v>3088</v>
      </c>
    </row>
    <row r="353" spans="1:9" ht="22.5" hidden="1" customHeight="1">
      <c r="A353" s="3046">
        <f t="shared" si="38"/>
        <v>351</v>
      </c>
      <c r="B353" s="3047" t="s">
        <v>3084</v>
      </c>
      <c r="C353" s="3047" t="s">
        <v>3404</v>
      </c>
      <c r="D353" s="3047" t="s">
        <v>3414</v>
      </c>
      <c r="E353" s="3047" t="str">
        <f t="shared" si="40"/>
        <v>产权式酒店</v>
      </c>
      <c r="F353" s="3047" t="str">
        <f t="shared" si="40"/>
        <v>钢混</v>
      </c>
      <c r="G353" s="3047">
        <v>113.16</v>
      </c>
      <c r="H353" s="3159"/>
      <c r="I353" s="3047" t="s">
        <v>3088</v>
      </c>
    </row>
    <row r="354" spans="1:9" ht="22.5" hidden="1" customHeight="1">
      <c r="A354" s="3046">
        <f t="shared" si="38"/>
        <v>352</v>
      </c>
      <c r="B354" s="3047" t="s">
        <v>3084</v>
      </c>
      <c r="C354" s="3047" t="s">
        <v>3404</v>
      </c>
      <c r="D354" s="3047" t="s">
        <v>3415</v>
      </c>
      <c r="E354" s="3047" t="str">
        <f t="shared" si="40"/>
        <v>产权式酒店</v>
      </c>
      <c r="F354" s="3047" t="str">
        <f t="shared" si="40"/>
        <v>钢混</v>
      </c>
      <c r="G354" s="3047">
        <v>113.16</v>
      </c>
      <c r="H354" s="3159"/>
      <c r="I354" s="3047" t="s">
        <v>3088</v>
      </c>
    </row>
    <row r="355" spans="1:9" ht="22.5" hidden="1" customHeight="1">
      <c r="A355" s="3046">
        <f t="shared" si="38"/>
        <v>353</v>
      </c>
      <c r="B355" s="3047" t="s">
        <v>3084</v>
      </c>
      <c r="C355" s="3047" t="s">
        <v>3404</v>
      </c>
      <c r="D355" s="3047" t="s">
        <v>3416</v>
      </c>
      <c r="E355" s="3047" t="str">
        <f t="shared" si="40"/>
        <v>产权式酒店</v>
      </c>
      <c r="F355" s="3047" t="str">
        <f t="shared" si="40"/>
        <v>钢混</v>
      </c>
      <c r="G355" s="3047">
        <v>113.16</v>
      </c>
      <c r="H355" s="3159"/>
      <c r="I355" s="3047" t="s">
        <v>3088</v>
      </c>
    </row>
    <row r="356" spans="1:9" ht="22.5" hidden="1" customHeight="1">
      <c r="A356" s="3046">
        <f t="shared" si="38"/>
        <v>354</v>
      </c>
      <c r="B356" s="3047" t="s">
        <v>3084</v>
      </c>
      <c r="C356" s="3047" t="s">
        <v>3404</v>
      </c>
      <c r="D356" s="3047" t="s">
        <v>3417</v>
      </c>
      <c r="E356" s="3047" t="str">
        <f t="shared" si="40"/>
        <v>产权式酒店</v>
      </c>
      <c r="F356" s="3047" t="str">
        <f t="shared" si="40"/>
        <v>钢混</v>
      </c>
      <c r="G356" s="3047">
        <v>104.48</v>
      </c>
      <c r="H356" s="3159"/>
      <c r="I356" s="3047" t="s">
        <v>3088</v>
      </c>
    </row>
    <row r="357" spans="1:9" ht="22.5" hidden="1" customHeight="1">
      <c r="A357" s="3046">
        <f t="shared" si="38"/>
        <v>355</v>
      </c>
      <c r="B357" s="3047" t="s">
        <v>3084</v>
      </c>
      <c r="C357" s="3047" t="s">
        <v>3404</v>
      </c>
      <c r="D357" s="3047" t="s">
        <v>3418</v>
      </c>
      <c r="E357" s="3047" t="str">
        <f t="shared" ref="E357:F372" si="41">E356</f>
        <v>产权式酒店</v>
      </c>
      <c r="F357" s="3047" t="str">
        <f t="shared" si="41"/>
        <v>钢混</v>
      </c>
      <c r="G357" s="3047">
        <v>104.48</v>
      </c>
      <c r="H357" s="3159"/>
      <c r="I357" s="3047" t="s">
        <v>3088</v>
      </c>
    </row>
    <row r="358" spans="1:9" ht="22.5" hidden="1" customHeight="1">
      <c r="A358" s="3046">
        <f t="shared" si="38"/>
        <v>356</v>
      </c>
      <c r="B358" s="3047" t="s">
        <v>3084</v>
      </c>
      <c r="C358" s="3047" t="s">
        <v>3404</v>
      </c>
      <c r="D358" s="3047" t="s">
        <v>3419</v>
      </c>
      <c r="E358" s="3047" t="str">
        <f t="shared" si="41"/>
        <v>产权式酒店</v>
      </c>
      <c r="F358" s="3047" t="str">
        <f t="shared" si="41"/>
        <v>钢混</v>
      </c>
      <c r="G358" s="3047">
        <v>104.48</v>
      </c>
      <c r="H358" s="3159"/>
      <c r="I358" s="3047" t="s">
        <v>3088</v>
      </c>
    </row>
    <row r="359" spans="1:9" ht="22.5" hidden="1" customHeight="1">
      <c r="A359" s="3046">
        <f t="shared" si="38"/>
        <v>357</v>
      </c>
      <c r="B359" s="3047" t="s">
        <v>3084</v>
      </c>
      <c r="C359" s="3047" t="s">
        <v>3404</v>
      </c>
      <c r="D359" s="3047" t="s">
        <v>3420</v>
      </c>
      <c r="E359" s="3047" t="str">
        <f t="shared" si="41"/>
        <v>产权式酒店</v>
      </c>
      <c r="F359" s="3047" t="str">
        <f t="shared" si="41"/>
        <v>钢混</v>
      </c>
      <c r="G359" s="3047">
        <v>104.48</v>
      </c>
      <c r="H359" s="3159"/>
      <c r="I359" s="3047" t="s">
        <v>3088</v>
      </c>
    </row>
    <row r="360" spans="1:9" ht="22.5" hidden="1" customHeight="1">
      <c r="A360" s="3046">
        <f t="shared" si="38"/>
        <v>358</v>
      </c>
      <c r="B360" s="3047" t="s">
        <v>3084</v>
      </c>
      <c r="C360" s="3047" t="s">
        <v>3404</v>
      </c>
      <c r="D360" s="3047" t="s">
        <v>3421</v>
      </c>
      <c r="E360" s="3047" t="str">
        <f t="shared" si="41"/>
        <v>产权式酒店</v>
      </c>
      <c r="F360" s="3047" t="str">
        <f t="shared" si="41"/>
        <v>钢混</v>
      </c>
      <c r="G360" s="3047">
        <v>104.48</v>
      </c>
      <c r="H360" s="3159"/>
      <c r="I360" s="3047" t="s">
        <v>3088</v>
      </c>
    </row>
    <row r="361" spans="1:9" ht="22.5" hidden="1" customHeight="1">
      <c r="A361" s="3046">
        <f t="shared" si="38"/>
        <v>359</v>
      </c>
      <c r="B361" s="3047" t="s">
        <v>3084</v>
      </c>
      <c r="C361" s="3047" t="s">
        <v>3404</v>
      </c>
      <c r="D361" s="3047" t="s">
        <v>3422</v>
      </c>
      <c r="E361" s="3047" t="str">
        <f t="shared" si="41"/>
        <v>产权式酒店</v>
      </c>
      <c r="F361" s="3047" t="str">
        <f t="shared" si="41"/>
        <v>钢混</v>
      </c>
      <c r="G361" s="3047">
        <v>104.48</v>
      </c>
      <c r="H361" s="3159"/>
      <c r="I361" s="3047" t="s">
        <v>3088</v>
      </c>
    </row>
    <row r="362" spans="1:9" ht="22.5" hidden="1" customHeight="1">
      <c r="A362" s="3046">
        <f t="shared" si="38"/>
        <v>360</v>
      </c>
      <c r="B362" s="3047" t="s">
        <v>3084</v>
      </c>
      <c r="C362" s="3047" t="s">
        <v>3404</v>
      </c>
      <c r="D362" s="3047" t="s">
        <v>3423</v>
      </c>
      <c r="E362" s="3047" t="str">
        <f t="shared" si="41"/>
        <v>产权式酒店</v>
      </c>
      <c r="F362" s="3047" t="str">
        <f t="shared" si="41"/>
        <v>钢混</v>
      </c>
      <c r="G362" s="3047">
        <v>102.4</v>
      </c>
      <c r="H362" s="3159"/>
      <c r="I362" s="3047" t="s">
        <v>3088</v>
      </c>
    </row>
    <row r="363" spans="1:9" ht="22.5" hidden="1" customHeight="1">
      <c r="A363" s="3046">
        <f t="shared" si="38"/>
        <v>361</v>
      </c>
      <c r="B363" s="3047" t="s">
        <v>3084</v>
      </c>
      <c r="C363" s="3047" t="s">
        <v>3404</v>
      </c>
      <c r="D363" s="3047" t="s">
        <v>3424</v>
      </c>
      <c r="E363" s="3047" t="str">
        <f t="shared" si="41"/>
        <v>产权式酒店</v>
      </c>
      <c r="F363" s="3047" t="str">
        <f t="shared" si="41"/>
        <v>钢混</v>
      </c>
      <c r="G363" s="3047">
        <v>102.4</v>
      </c>
      <c r="H363" s="3159"/>
      <c r="I363" s="3047" t="s">
        <v>3088</v>
      </c>
    </row>
    <row r="364" spans="1:9" ht="22.5" hidden="1" customHeight="1">
      <c r="A364" s="3046">
        <f t="shared" si="38"/>
        <v>362</v>
      </c>
      <c r="B364" s="3047" t="s">
        <v>3084</v>
      </c>
      <c r="C364" s="3047" t="s">
        <v>3404</v>
      </c>
      <c r="D364" s="3047" t="s">
        <v>3425</v>
      </c>
      <c r="E364" s="3047" t="str">
        <f t="shared" si="41"/>
        <v>产权式酒店</v>
      </c>
      <c r="F364" s="3047" t="str">
        <f t="shared" si="41"/>
        <v>钢混</v>
      </c>
      <c r="G364" s="3047">
        <v>102.4</v>
      </c>
      <c r="H364" s="3159"/>
      <c r="I364" s="3047" t="s">
        <v>3088</v>
      </c>
    </row>
    <row r="365" spans="1:9" ht="22.5" hidden="1" customHeight="1">
      <c r="A365" s="3046">
        <f t="shared" si="38"/>
        <v>363</v>
      </c>
      <c r="B365" s="3047" t="s">
        <v>3084</v>
      </c>
      <c r="C365" s="3047" t="s">
        <v>3404</v>
      </c>
      <c r="D365" s="3047" t="s">
        <v>3426</v>
      </c>
      <c r="E365" s="3047" t="str">
        <f t="shared" si="41"/>
        <v>产权式酒店</v>
      </c>
      <c r="F365" s="3047" t="str">
        <f t="shared" si="41"/>
        <v>钢混</v>
      </c>
      <c r="G365" s="3047">
        <v>102.4</v>
      </c>
      <c r="H365" s="3159"/>
      <c r="I365" s="3047" t="s">
        <v>3088</v>
      </c>
    </row>
    <row r="366" spans="1:9" ht="22.5" hidden="1" customHeight="1">
      <c r="A366" s="3046">
        <f t="shared" si="38"/>
        <v>364</v>
      </c>
      <c r="B366" s="3047" t="s">
        <v>3084</v>
      </c>
      <c r="C366" s="3047" t="s">
        <v>3404</v>
      </c>
      <c r="D366" s="3047" t="s">
        <v>3427</v>
      </c>
      <c r="E366" s="3047" t="str">
        <f t="shared" si="41"/>
        <v>产权式酒店</v>
      </c>
      <c r="F366" s="3047" t="str">
        <f t="shared" si="41"/>
        <v>钢混</v>
      </c>
      <c r="G366" s="3047">
        <v>102.4</v>
      </c>
      <c r="H366" s="3159"/>
      <c r="I366" s="3047" t="s">
        <v>3088</v>
      </c>
    </row>
    <row r="367" spans="1:9" ht="22.5" hidden="1" customHeight="1">
      <c r="A367" s="3046">
        <f t="shared" si="38"/>
        <v>365</v>
      </c>
      <c r="B367" s="3047" t="s">
        <v>3084</v>
      </c>
      <c r="C367" s="3047" t="s">
        <v>3404</v>
      </c>
      <c r="D367" s="3047" t="s">
        <v>3428</v>
      </c>
      <c r="E367" s="3047" t="str">
        <f t="shared" si="41"/>
        <v>产权式酒店</v>
      </c>
      <c r="F367" s="3047" t="str">
        <f t="shared" si="41"/>
        <v>钢混</v>
      </c>
      <c r="G367" s="3047">
        <v>102.4</v>
      </c>
      <c r="H367" s="3159"/>
      <c r="I367" s="3047" t="s">
        <v>3088</v>
      </c>
    </row>
    <row r="368" spans="1:9" ht="22.5" hidden="1" customHeight="1">
      <c r="A368" s="3046">
        <f t="shared" si="38"/>
        <v>366</v>
      </c>
      <c r="B368" s="3047" t="s">
        <v>3084</v>
      </c>
      <c r="C368" s="3047" t="s">
        <v>3404</v>
      </c>
      <c r="D368" s="3047" t="s">
        <v>3429</v>
      </c>
      <c r="E368" s="3047" t="str">
        <f t="shared" si="41"/>
        <v>产权式酒店</v>
      </c>
      <c r="F368" s="3047" t="str">
        <f t="shared" si="41"/>
        <v>钢混</v>
      </c>
      <c r="G368" s="3047">
        <v>97.28</v>
      </c>
      <c r="H368" s="3159"/>
      <c r="I368" s="3047" t="s">
        <v>3088</v>
      </c>
    </row>
    <row r="369" spans="1:9" ht="22.5" hidden="1" customHeight="1">
      <c r="A369" s="3046">
        <f t="shared" si="38"/>
        <v>367</v>
      </c>
      <c r="B369" s="3047" t="s">
        <v>3084</v>
      </c>
      <c r="C369" s="3047" t="s">
        <v>3404</v>
      </c>
      <c r="D369" s="3047" t="s">
        <v>3430</v>
      </c>
      <c r="E369" s="3047" t="str">
        <f t="shared" si="41"/>
        <v>产权式酒店</v>
      </c>
      <c r="F369" s="3047" t="str">
        <f t="shared" si="41"/>
        <v>钢混</v>
      </c>
      <c r="G369" s="3047">
        <v>97.28</v>
      </c>
      <c r="H369" s="3159"/>
      <c r="I369" s="3047" t="s">
        <v>3088</v>
      </c>
    </row>
    <row r="370" spans="1:9" ht="22.5" hidden="1" customHeight="1">
      <c r="A370" s="3046">
        <f t="shared" si="38"/>
        <v>368</v>
      </c>
      <c r="B370" s="3047" t="s">
        <v>3084</v>
      </c>
      <c r="C370" s="3047" t="s">
        <v>3404</v>
      </c>
      <c r="D370" s="3047" t="s">
        <v>3431</v>
      </c>
      <c r="E370" s="3047" t="str">
        <f t="shared" si="41"/>
        <v>产权式酒店</v>
      </c>
      <c r="F370" s="3047" t="str">
        <f t="shared" si="41"/>
        <v>钢混</v>
      </c>
      <c r="G370" s="3047">
        <v>97.28</v>
      </c>
      <c r="H370" s="3159"/>
      <c r="I370" s="3047" t="s">
        <v>3088</v>
      </c>
    </row>
    <row r="371" spans="1:9" ht="22.5" hidden="1" customHeight="1">
      <c r="A371" s="3046">
        <f t="shared" si="38"/>
        <v>369</v>
      </c>
      <c r="B371" s="3047" t="s">
        <v>3084</v>
      </c>
      <c r="C371" s="3047" t="s">
        <v>3404</v>
      </c>
      <c r="D371" s="3047" t="s">
        <v>3432</v>
      </c>
      <c r="E371" s="3047" t="str">
        <f t="shared" si="41"/>
        <v>产权式酒店</v>
      </c>
      <c r="F371" s="3047" t="str">
        <f t="shared" si="41"/>
        <v>钢混</v>
      </c>
      <c r="G371" s="3047">
        <v>97.28</v>
      </c>
      <c r="H371" s="3159"/>
      <c r="I371" s="3047" t="s">
        <v>3088</v>
      </c>
    </row>
    <row r="372" spans="1:9" ht="22.5" hidden="1" customHeight="1">
      <c r="A372" s="3046">
        <f t="shared" si="38"/>
        <v>370</v>
      </c>
      <c r="B372" s="3047" t="s">
        <v>3084</v>
      </c>
      <c r="C372" s="3047" t="s">
        <v>3404</v>
      </c>
      <c r="D372" s="3047" t="s">
        <v>3433</v>
      </c>
      <c r="E372" s="3047" t="str">
        <f t="shared" si="41"/>
        <v>产权式酒店</v>
      </c>
      <c r="F372" s="3047" t="str">
        <f t="shared" si="41"/>
        <v>钢混</v>
      </c>
      <c r="G372" s="3047">
        <v>97.28</v>
      </c>
      <c r="H372" s="3159"/>
      <c r="I372" s="3047" t="s">
        <v>3088</v>
      </c>
    </row>
    <row r="373" spans="1:9" ht="22.5" hidden="1" customHeight="1">
      <c r="A373" s="3046">
        <f t="shared" si="38"/>
        <v>371</v>
      </c>
      <c r="B373" s="3047" t="s">
        <v>3084</v>
      </c>
      <c r="C373" s="3047" t="s">
        <v>3404</v>
      </c>
      <c r="D373" s="3047" t="s">
        <v>3434</v>
      </c>
      <c r="E373" s="3047" t="str">
        <f t="shared" ref="E373:F388" si="42">E372</f>
        <v>产权式酒店</v>
      </c>
      <c r="F373" s="3047" t="str">
        <f t="shared" si="42"/>
        <v>钢混</v>
      </c>
      <c r="G373" s="3047">
        <v>97.28</v>
      </c>
      <c r="H373" s="3159"/>
      <c r="I373" s="3047" t="s">
        <v>3088</v>
      </c>
    </row>
    <row r="374" spans="1:9" ht="22.5" hidden="1" customHeight="1">
      <c r="A374" s="3046">
        <f t="shared" si="38"/>
        <v>372</v>
      </c>
      <c r="B374" s="3047" t="s">
        <v>3084</v>
      </c>
      <c r="C374" s="3047" t="s">
        <v>3404</v>
      </c>
      <c r="D374" s="3047" t="s">
        <v>3435</v>
      </c>
      <c r="E374" s="3047" t="str">
        <f t="shared" si="42"/>
        <v>产权式酒店</v>
      </c>
      <c r="F374" s="3047" t="str">
        <f t="shared" si="42"/>
        <v>钢混</v>
      </c>
      <c r="G374" s="3047">
        <v>97.28</v>
      </c>
      <c r="H374" s="3159"/>
      <c r="I374" s="3047" t="s">
        <v>3088</v>
      </c>
    </row>
    <row r="375" spans="1:9" ht="22.5" hidden="1" customHeight="1">
      <c r="A375" s="3046">
        <f t="shared" si="38"/>
        <v>373</v>
      </c>
      <c r="B375" s="3047" t="s">
        <v>3084</v>
      </c>
      <c r="C375" s="3047" t="s">
        <v>3404</v>
      </c>
      <c r="D375" s="3047" t="s">
        <v>3436</v>
      </c>
      <c r="E375" s="3047" t="str">
        <f t="shared" si="42"/>
        <v>产权式酒店</v>
      </c>
      <c r="F375" s="3047" t="str">
        <f t="shared" si="42"/>
        <v>钢混</v>
      </c>
      <c r="G375" s="3047">
        <v>97.28</v>
      </c>
      <c r="H375" s="3159"/>
      <c r="I375" s="3047" t="s">
        <v>3088</v>
      </c>
    </row>
    <row r="376" spans="1:9" ht="22.5" hidden="1" customHeight="1">
      <c r="A376" s="3046">
        <f t="shared" si="38"/>
        <v>374</v>
      </c>
      <c r="B376" s="3047" t="s">
        <v>3084</v>
      </c>
      <c r="C376" s="3047" t="s">
        <v>3404</v>
      </c>
      <c r="D376" s="3047" t="s">
        <v>3437</v>
      </c>
      <c r="E376" s="3047" t="str">
        <f t="shared" si="42"/>
        <v>产权式酒店</v>
      </c>
      <c r="F376" s="3047" t="str">
        <f t="shared" si="42"/>
        <v>钢混</v>
      </c>
      <c r="G376" s="3047">
        <v>97.28</v>
      </c>
      <c r="H376" s="3159"/>
      <c r="I376" s="3047" t="s">
        <v>3088</v>
      </c>
    </row>
    <row r="377" spans="1:9" ht="22.5" hidden="1" customHeight="1">
      <c r="A377" s="3046">
        <f t="shared" si="38"/>
        <v>375</v>
      </c>
      <c r="B377" s="3047" t="s">
        <v>3084</v>
      </c>
      <c r="C377" s="3047" t="s">
        <v>3404</v>
      </c>
      <c r="D377" s="3047" t="s">
        <v>3438</v>
      </c>
      <c r="E377" s="3047" t="str">
        <f t="shared" si="42"/>
        <v>产权式酒店</v>
      </c>
      <c r="F377" s="3047" t="str">
        <f t="shared" si="42"/>
        <v>钢混</v>
      </c>
      <c r="G377" s="3047">
        <v>97.28</v>
      </c>
      <c r="H377" s="3159"/>
      <c r="I377" s="3047" t="s">
        <v>3088</v>
      </c>
    </row>
    <row r="378" spans="1:9" ht="22.5" hidden="1" customHeight="1">
      <c r="A378" s="3046">
        <f t="shared" si="38"/>
        <v>376</v>
      </c>
      <c r="B378" s="3047" t="s">
        <v>3084</v>
      </c>
      <c r="C378" s="3047" t="s">
        <v>3404</v>
      </c>
      <c r="D378" s="3047" t="s">
        <v>3439</v>
      </c>
      <c r="E378" s="3047" t="str">
        <f t="shared" si="42"/>
        <v>产权式酒店</v>
      </c>
      <c r="F378" s="3047" t="str">
        <f t="shared" si="42"/>
        <v>钢混</v>
      </c>
      <c r="G378" s="3047">
        <v>97.28</v>
      </c>
      <c r="H378" s="3159"/>
      <c r="I378" s="3047" t="s">
        <v>3088</v>
      </c>
    </row>
    <row r="379" spans="1:9" ht="22.5" hidden="1" customHeight="1">
      <c r="A379" s="3046">
        <f t="shared" si="38"/>
        <v>377</v>
      </c>
      <c r="B379" s="3047" t="s">
        <v>3084</v>
      </c>
      <c r="C379" s="3047" t="s">
        <v>3404</v>
      </c>
      <c r="D379" s="3047" t="s">
        <v>3440</v>
      </c>
      <c r="E379" s="3047" t="str">
        <f t="shared" si="42"/>
        <v>产权式酒店</v>
      </c>
      <c r="F379" s="3047" t="str">
        <f t="shared" si="42"/>
        <v>钢混</v>
      </c>
      <c r="G379" s="3047">
        <v>97.28</v>
      </c>
      <c r="H379" s="3159"/>
      <c r="I379" s="3047" t="s">
        <v>3088</v>
      </c>
    </row>
    <row r="380" spans="1:9" ht="22.5" hidden="1" customHeight="1">
      <c r="A380" s="3046">
        <f t="shared" si="38"/>
        <v>378</v>
      </c>
      <c r="B380" s="3047" t="s">
        <v>3084</v>
      </c>
      <c r="C380" s="3047" t="s">
        <v>3404</v>
      </c>
      <c r="D380" s="3047" t="s">
        <v>3441</v>
      </c>
      <c r="E380" s="3047" t="str">
        <f t="shared" si="42"/>
        <v>产权式酒店</v>
      </c>
      <c r="F380" s="3047" t="str">
        <f t="shared" si="42"/>
        <v>钢混</v>
      </c>
      <c r="G380" s="3047">
        <v>95.01</v>
      </c>
      <c r="H380" s="3159"/>
      <c r="I380" s="3047" t="s">
        <v>3088</v>
      </c>
    </row>
    <row r="381" spans="1:9" ht="22.5" hidden="1" customHeight="1">
      <c r="A381" s="3046">
        <f t="shared" si="38"/>
        <v>379</v>
      </c>
      <c r="B381" s="3047" t="s">
        <v>3084</v>
      </c>
      <c r="C381" s="3047" t="s">
        <v>3404</v>
      </c>
      <c r="D381" s="3047" t="s">
        <v>3442</v>
      </c>
      <c r="E381" s="3047" t="str">
        <f t="shared" si="42"/>
        <v>产权式酒店</v>
      </c>
      <c r="F381" s="3047" t="str">
        <f t="shared" si="42"/>
        <v>钢混</v>
      </c>
      <c r="G381" s="3047">
        <v>95.01</v>
      </c>
      <c r="H381" s="3159"/>
      <c r="I381" s="3047" t="s">
        <v>3088</v>
      </c>
    </row>
    <row r="382" spans="1:9" ht="22.5" hidden="1" customHeight="1">
      <c r="A382" s="3046">
        <f t="shared" si="38"/>
        <v>380</v>
      </c>
      <c r="B382" s="3047" t="s">
        <v>3084</v>
      </c>
      <c r="C382" s="3047" t="s">
        <v>3404</v>
      </c>
      <c r="D382" s="3047" t="s">
        <v>3443</v>
      </c>
      <c r="E382" s="3047" t="str">
        <f t="shared" si="42"/>
        <v>产权式酒店</v>
      </c>
      <c r="F382" s="3047" t="str">
        <f t="shared" si="42"/>
        <v>钢混</v>
      </c>
      <c r="G382" s="3047">
        <v>95.01</v>
      </c>
      <c r="H382" s="3159"/>
      <c r="I382" s="3047" t="s">
        <v>3088</v>
      </c>
    </row>
    <row r="383" spans="1:9" ht="22.5" hidden="1" customHeight="1">
      <c r="A383" s="3046">
        <f t="shared" si="38"/>
        <v>381</v>
      </c>
      <c r="B383" s="3047" t="s">
        <v>3084</v>
      </c>
      <c r="C383" s="3047" t="s">
        <v>3404</v>
      </c>
      <c r="D383" s="3047" t="s">
        <v>3444</v>
      </c>
      <c r="E383" s="3047" t="str">
        <f t="shared" si="42"/>
        <v>产权式酒店</v>
      </c>
      <c r="F383" s="3047" t="str">
        <f t="shared" si="42"/>
        <v>钢混</v>
      </c>
      <c r="G383" s="3047">
        <v>95.01</v>
      </c>
      <c r="H383" s="3159"/>
      <c r="I383" s="3047" t="s">
        <v>3088</v>
      </c>
    </row>
    <row r="384" spans="1:9" ht="22.5" hidden="1" customHeight="1">
      <c r="A384" s="3046">
        <f t="shared" si="38"/>
        <v>382</v>
      </c>
      <c r="B384" s="3047" t="s">
        <v>3084</v>
      </c>
      <c r="C384" s="3047" t="s">
        <v>3404</v>
      </c>
      <c r="D384" s="3047" t="s">
        <v>3445</v>
      </c>
      <c r="E384" s="3047" t="str">
        <f t="shared" si="42"/>
        <v>产权式酒店</v>
      </c>
      <c r="F384" s="3047" t="str">
        <f t="shared" si="42"/>
        <v>钢混</v>
      </c>
      <c r="G384" s="3047">
        <v>95.01</v>
      </c>
      <c r="H384" s="3159"/>
      <c r="I384" s="3047" t="s">
        <v>3088</v>
      </c>
    </row>
    <row r="385" spans="1:9" ht="22.5" hidden="1" customHeight="1">
      <c r="A385" s="3046">
        <f t="shared" si="38"/>
        <v>383</v>
      </c>
      <c r="B385" s="3047" t="s">
        <v>3084</v>
      </c>
      <c r="C385" s="3047" t="s">
        <v>3404</v>
      </c>
      <c r="D385" s="3047" t="s">
        <v>3446</v>
      </c>
      <c r="E385" s="3047" t="str">
        <f t="shared" si="42"/>
        <v>产权式酒店</v>
      </c>
      <c r="F385" s="3047" t="str">
        <f t="shared" si="42"/>
        <v>钢混</v>
      </c>
      <c r="G385" s="3047">
        <v>95.01</v>
      </c>
      <c r="H385" s="3155"/>
      <c r="I385" s="3047" t="s">
        <v>3088</v>
      </c>
    </row>
    <row r="386" spans="1:9" ht="22.5" hidden="1" customHeight="1">
      <c r="A386" s="3046">
        <f t="shared" si="38"/>
        <v>384</v>
      </c>
      <c r="B386" s="3047" t="s">
        <v>3084</v>
      </c>
      <c r="C386" s="3047" t="s">
        <v>3447</v>
      </c>
      <c r="D386" s="3047" t="s">
        <v>3448</v>
      </c>
      <c r="E386" s="3047" t="str">
        <f t="shared" si="42"/>
        <v>产权式酒店</v>
      </c>
      <c r="F386" s="3047" t="str">
        <f t="shared" si="42"/>
        <v>钢混</v>
      </c>
      <c r="G386" s="3047">
        <v>140.41</v>
      </c>
      <c r="H386" s="3154">
        <v>5169.95</v>
      </c>
      <c r="I386" s="3047" t="s">
        <v>3088</v>
      </c>
    </row>
    <row r="387" spans="1:9" ht="22.5" hidden="1" customHeight="1">
      <c r="A387" s="3046">
        <f t="shared" si="38"/>
        <v>385</v>
      </c>
      <c r="B387" s="3047" t="s">
        <v>3084</v>
      </c>
      <c r="C387" s="3047" t="s">
        <v>3447</v>
      </c>
      <c r="D387" s="3047" t="s">
        <v>3449</v>
      </c>
      <c r="E387" s="3047" t="str">
        <f t="shared" si="42"/>
        <v>产权式酒店</v>
      </c>
      <c r="F387" s="3047" t="str">
        <f t="shared" si="42"/>
        <v>钢混</v>
      </c>
      <c r="G387" s="3047">
        <v>140.41</v>
      </c>
      <c r="H387" s="3159"/>
      <c r="I387" s="3047" t="s">
        <v>3088</v>
      </c>
    </row>
    <row r="388" spans="1:9" ht="22.5" hidden="1" customHeight="1">
      <c r="A388" s="3046">
        <f t="shared" si="38"/>
        <v>386</v>
      </c>
      <c r="B388" s="3047" t="s">
        <v>3084</v>
      </c>
      <c r="C388" s="3047" t="s">
        <v>3447</v>
      </c>
      <c r="D388" s="3047" t="s">
        <v>3450</v>
      </c>
      <c r="E388" s="3047" t="str">
        <f t="shared" si="42"/>
        <v>产权式酒店</v>
      </c>
      <c r="F388" s="3047" t="str">
        <f t="shared" si="42"/>
        <v>钢混</v>
      </c>
      <c r="G388" s="3047">
        <v>140.41</v>
      </c>
      <c r="H388" s="3159"/>
      <c r="I388" s="3047" t="s">
        <v>3088</v>
      </c>
    </row>
    <row r="389" spans="1:9" ht="22.5" hidden="1" customHeight="1">
      <c r="A389" s="3046">
        <f t="shared" ref="A389:A452" si="43">A388+1</f>
        <v>387</v>
      </c>
      <c r="B389" s="3047" t="s">
        <v>3084</v>
      </c>
      <c r="C389" s="3047" t="s">
        <v>3447</v>
      </c>
      <c r="D389" s="3047" t="s">
        <v>3451</v>
      </c>
      <c r="E389" s="3047" t="str">
        <f t="shared" ref="E389:F404" si="44">E388</f>
        <v>产权式酒店</v>
      </c>
      <c r="F389" s="3047" t="str">
        <f t="shared" si="44"/>
        <v>钢混</v>
      </c>
      <c r="G389" s="3047">
        <v>140.41</v>
      </c>
      <c r="H389" s="3159"/>
      <c r="I389" s="3047" t="s">
        <v>3088</v>
      </c>
    </row>
    <row r="390" spans="1:9" ht="22.5" hidden="1" customHeight="1">
      <c r="A390" s="3046">
        <f t="shared" si="43"/>
        <v>388</v>
      </c>
      <c r="B390" s="3047" t="s">
        <v>3084</v>
      </c>
      <c r="C390" s="3047" t="s">
        <v>3447</v>
      </c>
      <c r="D390" s="3047" t="s">
        <v>3452</v>
      </c>
      <c r="E390" s="3047" t="str">
        <f t="shared" si="44"/>
        <v>产权式酒店</v>
      </c>
      <c r="F390" s="3047" t="str">
        <f t="shared" si="44"/>
        <v>钢混</v>
      </c>
      <c r="G390" s="3047">
        <v>140.41</v>
      </c>
      <c r="H390" s="3159"/>
      <c r="I390" s="3047" t="s">
        <v>3088</v>
      </c>
    </row>
    <row r="391" spans="1:9" ht="22.5" hidden="1" customHeight="1">
      <c r="A391" s="3046">
        <f t="shared" si="43"/>
        <v>389</v>
      </c>
      <c r="B391" s="3047" t="s">
        <v>3084</v>
      </c>
      <c r="C391" s="3047" t="s">
        <v>3447</v>
      </c>
      <c r="D391" s="3047" t="s">
        <v>3453</v>
      </c>
      <c r="E391" s="3047" t="str">
        <f t="shared" si="44"/>
        <v>产权式酒店</v>
      </c>
      <c r="F391" s="3047" t="str">
        <f t="shared" si="44"/>
        <v>钢混</v>
      </c>
      <c r="G391" s="3047">
        <v>140.41</v>
      </c>
      <c r="H391" s="3159"/>
      <c r="I391" s="3047" t="s">
        <v>3088</v>
      </c>
    </row>
    <row r="392" spans="1:9" ht="22.5" hidden="1" customHeight="1">
      <c r="A392" s="3046">
        <f t="shared" si="43"/>
        <v>390</v>
      </c>
      <c r="B392" s="3047" t="s">
        <v>3084</v>
      </c>
      <c r="C392" s="3047" t="s">
        <v>3447</v>
      </c>
      <c r="D392" s="3047" t="s">
        <v>3454</v>
      </c>
      <c r="E392" s="3047" t="str">
        <f t="shared" si="44"/>
        <v>产权式酒店</v>
      </c>
      <c r="F392" s="3047" t="str">
        <f t="shared" si="44"/>
        <v>钢混</v>
      </c>
      <c r="G392" s="3047">
        <v>129.22</v>
      </c>
      <c r="H392" s="3159"/>
      <c r="I392" s="3047" t="s">
        <v>3088</v>
      </c>
    </row>
    <row r="393" spans="1:9" ht="22.5" hidden="1" customHeight="1">
      <c r="A393" s="3046">
        <f t="shared" si="43"/>
        <v>391</v>
      </c>
      <c r="B393" s="3047" t="s">
        <v>3084</v>
      </c>
      <c r="C393" s="3047" t="s">
        <v>3447</v>
      </c>
      <c r="D393" s="3047" t="s">
        <v>3455</v>
      </c>
      <c r="E393" s="3047" t="str">
        <f t="shared" si="44"/>
        <v>产权式酒店</v>
      </c>
      <c r="F393" s="3047" t="str">
        <f t="shared" si="44"/>
        <v>钢混</v>
      </c>
      <c r="G393" s="3047">
        <v>129.22</v>
      </c>
      <c r="H393" s="3159"/>
      <c r="I393" s="3047" t="s">
        <v>3088</v>
      </c>
    </row>
    <row r="394" spans="1:9" ht="22.5" hidden="1" customHeight="1">
      <c r="A394" s="3046">
        <f t="shared" si="43"/>
        <v>392</v>
      </c>
      <c r="B394" s="3047" t="s">
        <v>3084</v>
      </c>
      <c r="C394" s="3047" t="s">
        <v>3447</v>
      </c>
      <c r="D394" s="3047" t="s">
        <v>3456</v>
      </c>
      <c r="E394" s="3047" t="str">
        <f t="shared" si="44"/>
        <v>产权式酒店</v>
      </c>
      <c r="F394" s="3047" t="str">
        <f t="shared" si="44"/>
        <v>钢混</v>
      </c>
      <c r="G394" s="3047">
        <v>129.22</v>
      </c>
      <c r="H394" s="3159"/>
      <c r="I394" s="3047" t="s">
        <v>3088</v>
      </c>
    </row>
    <row r="395" spans="1:9" ht="22.5" hidden="1" customHeight="1">
      <c r="A395" s="3046">
        <f t="shared" si="43"/>
        <v>393</v>
      </c>
      <c r="B395" s="3047" t="s">
        <v>3084</v>
      </c>
      <c r="C395" s="3047" t="s">
        <v>3447</v>
      </c>
      <c r="D395" s="3047" t="s">
        <v>3457</v>
      </c>
      <c r="E395" s="3047" t="str">
        <f t="shared" si="44"/>
        <v>产权式酒店</v>
      </c>
      <c r="F395" s="3047" t="str">
        <f t="shared" si="44"/>
        <v>钢混</v>
      </c>
      <c r="G395" s="3047">
        <v>129.22</v>
      </c>
      <c r="H395" s="3159"/>
      <c r="I395" s="3047" t="s">
        <v>3088</v>
      </c>
    </row>
    <row r="396" spans="1:9" ht="22.5" hidden="1" customHeight="1">
      <c r="A396" s="3046">
        <f t="shared" si="43"/>
        <v>394</v>
      </c>
      <c r="B396" s="3047" t="s">
        <v>3084</v>
      </c>
      <c r="C396" s="3047" t="s">
        <v>3447</v>
      </c>
      <c r="D396" s="3047" t="s">
        <v>3458</v>
      </c>
      <c r="E396" s="3047" t="str">
        <f t="shared" si="44"/>
        <v>产权式酒店</v>
      </c>
      <c r="F396" s="3047" t="str">
        <f t="shared" si="44"/>
        <v>钢混</v>
      </c>
      <c r="G396" s="3047">
        <v>129.22</v>
      </c>
      <c r="H396" s="3159"/>
      <c r="I396" s="3047" t="s">
        <v>3088</v>
      </c>
    </row>
    <row r="397" spans="1:9" ht="22.5" hidden="1" customHeight="1">
      <c r="A397" s="3046">
        <f t="shared" si="43"/>
        <v>395</v>
      </c>
      <c r="B397" s="3047" t="s">
        <v>3084</v>
      </c>
      <c r="C397" s="3047" t="s">
        <v>3447</v>
      </c>
      <c r="D397" s="3047" t="s">
        <v>3459</v>
      </c>
      <c r="E397" s="3047" t="str">
        <f t="shared" si="44"/>
        <v>产权式酒店</v>
      </c>
      <c r="F397" s="3047" t="str">
        <f t="shared" si="44"/>
        <v>钢混</v>
      </c>
      <c r="G397" s="3047">
        <v>129.22</v>
      </c>
      <c r="H397" s="3159"/>
      <c r="I397" s="3047" t="s">
        <v>3088</v>
      </c>
    </row>
    <row r="398" spans="1:9" ht="22.5" hidden="1" customHeight="1">
      <c r="A398" s="3046">
        <f t="shared" si="43"/>
        <v>396</v>
      </c>
      <c r="B398" s="3047" t="s">
        <v>3084</v>
      </c>
      <c r="C398" s="3047" t="s">
        <v>3447</v>
      </c>
      <c r="D398" s="3047" t="s">
        <v>3460</v>
      </c>
      <c r="E398" s="3047" t="str">
        <f t="shared" si="44"/>
        <v>产权式酒店</v>
      </c>
      <c r="F398" s="3047" t="str">
        <f t="shared" si="44"/>
        <v>钢混</v>
      </c>
      <c r="G398" s="3047">
        <v>110.19</v>
      </c>
      <c r="H398" s="3159"/>
      <c r="I398" s="3047" t="s">
        <v>3088</v>
      </c>
    </row>
    <row r="399" spans="1:9" ht="22.5" hidden="1" customHeight="1">
      <c r="A399" s="3046">
        <f t="shared" si="43"/>
        <v>397</v>
      </c>
      <c r="B399" s="3047" t="s">
        <v>3084</v>
      </c>
      <c r="C399" s="3047" t="s">
        <v>3447</v>
      </c>
      <c r="D399" s="3047" t="s">
        <v>3461</v>
      </c>
      <c r="E399" s="3047" t="str">
        <f t="shared" si="44"/>
        <v>产权式酒店</v>
      </c>
      <c r="F399" s="3047" t="str">
        <f t="shared" si="44"/>
        <v>钢混</v>
      </c>
      <c r="G399" s="3047">
        <v>110.19</v>
      </c>
      <c r="H399" s="3159"/>
      <c r="I399" s="3047" t="s">
        <v>3088</v>
      </c>
    </row>
    <row r="400" spans="1:9" ht="22.5" hidden="1" customHeight="1">
      <c r="A400" s="3046">
        <f t="shared" si="43"/>
        <v>398</v>
      </c>
      <c r="B400" s="3047" t="s">
        <v>3084</v>
      </c>
      <c r="C400" s="3047" t="s">
        <v>3447</v>
      </c>
      <c r="D400" s="3047" t="s">
        <v>3462</v>
      </c>
      <c r="E400" s="3047" t="str">
        <f t="shared" si="44"/>
        <v>产权式酒店</v>
      </c>
      <c r="F400" s="3047" t="str">
        <f t="shared" si="44"/>
        <v>钢混</v>
      </c>
      <c r="G400" s="3047">
        <v>110.19</v>
      </c>
      <c r="H400" s="3159"/>
      <c r="I400" s="3047" t="s">
        <v>3088</v>
      </c>
    </row>
    <row r="401" spans="1:9" ht="22.5" hidden="1" customHeight="1">
      <c r="A401" s="3046">
        <f t="shared" si="43"/>
        <v>399</v>
      </c>
      <c r="B401" s="3047" t="s">
        <v>3084</v>
      </c>
      <c r="C401" s="3047" t="s">
        <v>3447</v>
      </c>
      <c r="D401" s="3047" t="s">
        <v>3463</v>
      </c>
      <c r="E401" s="3047" t="str">
        <f t="shared" si="44"/>
        <v>产权式酒店</v>
      </c>
      <c r="F401" s="3047" t="str">
        <f t="shared" si="44"/>
        <v>钢混</v>
      </c>
      <c r="G401" s="3047">
        <v>110.19</v>
      </c>
      <c r="H401" s="3159"/>
      <c r="I401" s="3047" t="s">
        <v>3088</v>
      </c>
    </row>
    <row r="402" spans="1:9" ht="22.5" hidden="1" customHeight="1">
      <c r="A402" s="3046">
        <f t="shared" si="43"/>
        <v>400</v>
      </c>
      <c r="B402" s="3047" t="s">
        <v>3084</v>
      </c>
      <c r="C402" s="3047" t="s">
        <v>3447</v>
      </c>
      <c r="D402" s="3047" t="s">
        <v>3464</v>
      </c>
      <c r="E402" s="3047" t="str">
        <f t="shared" si="44"/>
        <v>产权式酒店</v>
      </c>
      <c r="F402" s="3047" t="str">
        <f t="shared" si="44"/>
        <v>钢混</v>
      </c>
      <c r="G402" s="3047">
        <v>110.19</v>
      </c>
      <c r="H402" s="3159"/>
      <c r="I402" s="3047" t="s">
        <v>3088</v>
      </c>
    </row>
    <row r="403" spans="1:9" ht="22.5" hidden="1" customHeight="1">
      <c r="A403" s="3046">
        <f t="shared" si="43"/>
        <v>401</v>
      </c>
      <c r="B403" s="3047" t="s">
        <v>3084</v>
      </c>
      <c r="C403" s="3047" t="s">
        <v>3447</v>
      </c>
      <c r="D403" s="3047" t="s">
        <v>3465</v>
      </c>
      <c r="E403" s="3047" t="str">
        <f t="shared" si="44"/>
        <v>产权式酒店</v>
      </c>
      <c r="F403" s="3047" t="str">
        <f t="shared" si="44"/>
        <v>钢混</v>
      </c>
      <c r="G403" s="3047">
        <v>110.19</v>
      </c>
      <c r="H403" s="3159"/>
      <c r="I403" s="3047" t="s">
        <v>3088</v>
      </c>
    </row>
    <row r="404" spans="1:9" ht="22.5" hidden="1" customHeight="1">
      <c r="A404" s="3046">
        <f t="shared" si="43"/>
        <v>402</v>
      </c>
      <c r="B404" s="3047" t="s">
        <v>3084</v>
      </c>
      <c r="C404" s="3047" t="s">
        <v>3447</v>
      </c>
      <c r="D404" s="3047" t="s">
        <v>3466</v>
      </c>
      <c r="E404" s="3047" t="str">
        <f t="shared" si="44"/>
        <v>产权式酒店</v>
      </c>
      <c r="F404" s="3047" t="str">
        <f t="shared" si="44"/>
        <v>钢混</v>
      </c>
      <c r="G404" s="3047">
        <v>102.45</v>
      </c>
      <c r="H404" s="3159"/>
      <c r="I404" s="3047" t="s">
        <v>3088</v>
      </c>
    </row>
    <row r="405" spans="1:9" ht="22.5" hidden="1" customHeight="1">
      <c r="A405" s="3046">
        <f t="shared" si="43"/>
        <v>403</v>
      </c>
      <c r="B405" s="3047" t="s">
        <v>3084</v>
      </c>
      <c r="C405" s="3047" t="s">
        <v>3447</v>
      </c>
      <c r="D405" s="3047" t="s">
        <v>3467</v>
      </c>
      <c r="E405" s="3047" t="str">
        <f t="shared" ref="E405:F420" si="45">E404</f>
        <v>产权式酒店</v>
      </c>
      <c r="F405" s="3047" t="str">
        <f t="shared" si="45"/>
        <v>钢混</v>
      </c>
      <c r="G405" s="3047">
        <v>102.45</v>
      </c>
      <c r="H405" s="3159"/>
      <c r="I405" s="3047" t="s">
        <v>3088</v>
      </c>
    </row>
    <row r="406" spans="1:9" ht="22.5" hidden="1" customHeight="1">
      <c r="A406" s="3046">
        <f t="shared" si="43"/>
        <v>404</v>
      </c>
      <c r="B406" s="3047" t="s">
        <v>3084</v>
      </c>
      <c r="C406" s="3047" t="s">
        <v>3447</v>
      </c>
      <c r="D406" s="3047" t="s">
        <v>3468</v>
      </c>
      <c r="E406" s="3047" t="str">
        <f t="shared" si="45"/>
        <v>产权式酒店</v>
      </c>
      <c r="F406" s="3047" t="str">
        <f t="shared" si="45"/>
        <v>钢混</v>
      </c>
      <c r="G406" s="3047">
        <v>102.45</v>
      </c>
      <c r="H406" s="3159"/>
      <c r="I406" s="3047" t="s">
        <v>3088</v>
      </c>
    </row>
    <row r="407" spans="1:9" ht="22.5" hidden="1" customHeight="1">
      <c r="A407" s="3046">
        <f t="shared" si="43"/>
        <v>405</v>
      </c>
      <c r="B407" s="3047" t="s">
        <v>3084</v>
      </c>
      <c r="C407" s="3047" t="s">
        <v>3447</v>
      </c>
      <c r="D407" s="3047" t="s">
        <v>3469</v>
      </c>
      <c r="E407" s="3047" t="str">
        <f t="shared" si="45"/>
        <v>产权式酒店</v>
      </c>
      <c r="F407" s="3047" t="str">
        <f t="shared" si="45"/>
        <v>钢混</v>
      </c>
      <c r="G407" s="3047">
        <v>102.45</v>
      </c>
      <c r="H407" s="3159"/>
      <c r="I407" s="3047" t="s">
        <v>3088</v>
      </c>
    </row>
    <row r="408" spans="1:9" ht="22.5" hidden="1" customHeight="1">
      <c r="A408" s="3046">
        <f t="shared" si="43"/>
        <v>406</v>
      </c>
      <c r="B408" s="3047" t="s">
        <v>3084</v>
      </c>
      <c r="C408" s="3047" t="s">
        <v>3447</v>
      </c>
      <c r="D408" s="3047" t="s">
        <v>3470</v>
      </c>
      <c r="E408" s="3047" t="str">
        <f t="shared" si="45"/>
        <v>产权式酒店</v>
      </c>
      <c r="F408" s="3047" t="str">
        <f t="shared" si="45"/>
        <v>钢混</v>
      </c>
      <c r="G408" s="3047">
        <v>102.45</v>
      </c>
      <c r="H408" s="3159"/>
      <c r="I408" s="3047" t="s">
        <v>3088</v>
      </c>
    </row>
    <row r="409" spans="1:9" ht="22.5" hidden="1" customHeight="1">
      <c r="A409" s="3046">
        <f t="shared" si="43"/>
        <v>407</v>
      </c>
      <c r="B409" s="3047" t="s">
        <v>3084</v>
      </c>
      <c r="C409" s="3047" t="s">
        <v>3447</v>
      </c>
      <c r="D409" s="3047" t="s">
        <v>3471</v>
      </c>
      <c r="E409" s="3047" t="str">
        <f t="shared" si="45"/>
        <v>产权式酒店</v>
      </c>
      <c r="F409" s="3047" t="str">
        <f t="shared" si="45"/>
        <v>钢混</v>
      </c>
      <c r="G409" s="3047">
        <v>102.45</v>
      </c>
      <c r="H409" s="3159"/>
      <c r="I409" s="3047" t="s">
        <v>3088</v>
      </c>
    </row>
    <row r="410" spans="1:9" ht="22.5" hidden="1" customHeight="1">
      <c r="A410" s="3046">
        <f t="shared" si="43"/>
        <v>408</v>
      </c>
      <c r="B410" s="3047" t="s">
        <v>3084</v>
      </c>
      <c r="C410" s="3047" t="s">
        <v>3447</v>
      </c>
      <c r="D410" s="3047" t="s">
        <v>3472</v>
      </c>
      <c r="E410" s="3047" t="str">
        <f t="shared" si="45"/>
        <v>产权式酒店</v>
      </c>
      <c r="F410" s="3047" t="str">
        <f t="shared" si="45"/>
        <v>钢混</v>
      </c>
      <c r="G410" s="3047">
        <v>86.24</v>
      </c>
      <c r="H410" s="3159"/>
      <c r="I410" s="3047" t="s">
        <v>3088</v>
      </c>
    </row>
    <row r="411" spans="1:9" ht="22.5" hidden="1" customHeight="1">
      <c r="A411" s="3046">
        <f t="shared" si="43"/>
        <v>409</v>
      </c>
      <c r="B411" s="3047" t="s">
        <v>3084</v>
      </c>
      <c r="C411" s="3047" t="s">
        <v>3447</v>
      </c>
      <c r="D411" s="3047" t="s">
        <v>3473</v>
      </c>
      <c r="E411" s="3047" t="str">
        <f t="shared" si="45"/>
        <v>产权式酒店</v>
      </c>
      <c r="F411" s="3047" t="str">
        <f t="shared" si="45"/>
        <v>钢混</v>
      </c>
      <c r="G411" s="3047">
        <v>86.24</v>
      </c>
      <c r="H411" s="3159"/>
      <c r="I411" s="3047" t="s">
        <v>3088</v>
      </c>
    </row>
    <row r="412" spans="1:9" ht="22.5" hidden="1" customHeight="1">
      <c r="A412" s="3046">
        <f t="shared" si="43"/>
        <v>410</v>
      </c>
      <c r="B412" s="3047" t="s">
        <v>3084</v>
      </c>
      <c r="C412" s="3047" t="s">
        <v>3447</v>
      </c>
      <c r="D412" s="3047" t="s">
        <v>3474</v>
      </c>
      <c r="E412" s="3047" t="str">
        <f t="shared" si="45"/>
        <v>产权式酒店</v>
      </c>
      <c r="F412" s="3047" t="str">
        <f t="shared" si="45"/>
        <v>钢混</v>
      </c>
      <c r="G412" s="3047">
        <v>86.24</v>
      </c>
      <c r="H412" s="3159"/>
      <c r="I412" s="3047" t="s">
        <v>3088</v>
      </c>
    </row>
    <row r="413" spans="1:9" ht="22.5" hidden="1" customHeight="1">
      <c r="A413" s="3046">
        <f t="shared" si="43"/>
        <v>411</v>
      </c>
      <c r="B413" s="3047" t="s">
        <v>3084</v>
      </c>
      <c r="C413" s="3047" t="s">
        <v>3447</v>
      </c>
      <c r="D413" s="3047" t="s">
        <v>3475</v>
      </c>
      <c r="E413" s="3047" t="str">
        <f t="shared" si="45"/>
        <v>产权式酒店</v>
      </c>
      <c r="F413" s="3047" t="str">
        <f t="shared" si="45"/>
        <v>钢混</v>
      </c>
      <c r="G413" s="3047">
        <v>86.24</v>
      </c>
      <c r="H413" s="3159"/>
      <c r="I413" s="3047" t="s">
        <v>3088</v>
      </c>
    </row>
    <row r="414" spans="1:9" ht="22.5" hidden="1" customHeight="1">
      <c r="A414" s="3046">
        <f t="shared" si="43"/>
        <v>412</v>
      </c>
      <c r="B414" s="3047" t="s">
        <v>3084</v>
      </c>
      <c r="C414" s="3047" t="s">
        <v>3447</v>
      </c>
      <c r="D414" s="3047" t="s">
        <v>3476</v>
      </c>
      <c r="E414" s="3047" t="str">
        <f t="shared" si="45"/>
        <v>产权式酒店</v>
      </c>
      <c r="F414" s="3047" t="str">
        <f t="shared" si="45"/>
        <v>钢混</v>
      </c>
      <c r="G414" s="3047">
        <v>86.24</v>
      </c>
      <c r="H414" s="3159"/>
      <c r="I414" s="3047" t="s">
        <v>3088</v>
      </c>
    </row>
    <row r="415" spans="1:9" ht="22.5" hidden="1" customHeight="1">
      <c r="A415" s="3046">
        <f t="shared" si="43"/>
        <v>413</v>
      </c>
      <c r="B415" s="3047" t="s">
        <v>3084</v>
      </c>
      <c r="C415" s="3047" t="s">
        <v>3447</v>
      </c>
      <c r="D415" s="3047" t="s">
        <v>3477</v>
      </c>
      <c r="E415" s="3047" t="str">
        <f t="shared" si="45"/>
        <v>产权式酒店</v>
      </c>
      <c r="F415" s="3047" t="str">
        <f t="shared" si="45"/>
        <v>钢混</v>
      </c>
      <c r="G415" s="3047">
        <v>86.24</v>
      </c>
      <c r="H415" s="3159"/>
      <c r="I415" s="3047" t="s">
        <v>3088</v>
      </c>
    </row>
    <row r="416" spans="1:9" ht="22.5" hidden="1" customHeight="1">
      <c r="A416" s="3046">
        <f t="shared" si="43"/>
        <v>414</v>
      </c>
      <c r="B416" s="3047" t="s">
        <v>3084</v>
      </c>
      <c r="C416" s="3047" t="s">
        <v>3447</v>
      </c>
      <c r="D416" s="3047" t="s">
        <v>3478</v>
      </c>
      <c r="E416" s="3047" t="str">
        <f t="shared" si="45"/>
        <v>产权式酒店</v>
      </c>
      <c r="F416" s="3047" t="str">
        <f t="shared" si="45"/>
        <v>钢混</v>
      </c>
      <c r="G416" s="3047">
        <v>83.54</v>
      </c>
      <c r="H416" s="3159"/>
      <c r="I416" s="3047" t="s">
        <v>3088</v>
      </c>
    </row>
    <row r="417" spans="1:9" ht="22.5" hidden="1" customHeight="1">
      <c r="A417" s="3046">
        <f t="shared" si="43"/>
        <v>415</v>
      </c>
      <c r="B417" s="3047" t="s">
        <v>3084</v>
      </c>
      <c r="C417" s="3047" t="s">
        <v>3447</v>
      </c>
      <c r="D417" s="3047" t="s">
        <v>3479</v>
      </c>
      <c r="E417" s="3047" t="str">
        <f t="shared" si="45"/>
        <v>产权式酒店</v>
      </c>
      <c r="F417" s="3047" t="str">
        <f t="shared" si="45"/>
        <v>钢混</v>
      </c>
      <c r="G417" s="3047">
        <v>83.54</v>
      </c>
      <c r="H417" s="3159"/>
      <c r="I417" s="3047" t="s">
        <v>3088</v>
      </c>
    </row>
    <row r="418" spans="1:9" ht="22.5" hidden="1" customHeight="1">
      <c r="A418" s="3046">
        <f t="shared" si="43"/>
        <v>416</v>
      </c>
      <c r="B418" s="3047" t="s">
        <v>3084</v>
      </c>
      <c r="C418" s="3047" t="s">
        <v>3447</v>
      </c>
      <c r="D418" s="3047" t="s">
        <v>3480</v>
      </c>
      <c r="E418" s="3047" t="str">
        <f t="shared" si="45"/>
        <v>产权式酒店</v>
      </c>
      <c r="F418" s="3047" t="str">
        <f t="shared" si="45"/>
        <v>钢混</v>
      </c>
      <c r="G418" s="3047">
        <v>83.54</v>
      </c>
      <c r="H418" s="3159"/>
      <c r="I418" s="3047" t="s">
        <v>3088</v>
      </c>
    </row>
    <row r="419" spans="1:9" ht="22.5" hidden="1" customHeight="1">
      <c r="A419" s="3046">
        <f t="shared" si="43"/>
        <v>417</v>
      </c>
      <c r="B419" s="3047" t="s">
        <v>3084</v>
      </c>
      <c r="C419" s="3047" t="s">
        <v>3447</v>
      </c>
      <c r="D419" s="3047" t="s">
        <v>3481</v>
      </c>
      <c r="E419" s="3047" t="str">
        <f t="shared" si="45"/>
        <v>产权式酒店</v>
      </c>
      <c r="F419" s="3047" t="str">
        <f t="shared" si="45"/>
        <v>钢混</v>
      </c>
      <c r="G419" s="3047">
        <v>83.54</v>
      </c>
      <c r="H419" s="3159"/>
      <c r="I419" s="3047" t="s">
        <v>3088</v>
      </c>
    </row>
    <row r="420" spans="1:9" ht="22.5" hidden="1" customHeight="1">
      <c r="A420" s="3046">
        <f t="shared" si="43"/>
        <v>418</v>
      </c>
      <c r="B420" s="3047" t="s">
        <v>3084</v>
      </c>
      <c r="C420" s="3047" t="s">
        <v>3447</v>
      </c>
      <c r="D420" s="3047" t="s">
        <v>3482</v>
      </c>
      <c r="E420" s="3047" t="str">
        <f t="shared" si="45"/>
        <v>产权式酒店</v>
      </c>
      <c r="F420" s="3047" t="str">
        <f t="shared" si="45"/>
        <v>钢混</v>
      </c>
      <c r="G420" s="3047">
        <v>83.54</v>
      </c>
      <c r="H420" s="3159"/>
      <c r="I420" s="3047" t="s">
        <v>3088</v>
      </c>
    </row>
    <row r="421" spans="1:9" ht="22.5" hidden="1" customHeight="1">
      <c r="A421" s="3046">
        <f t="shared" si="43"/>
        <v>419</v>
      </c>
      <c r="B421" s="3047" t="s">
        <v>3084</v>
      </c>
      <c r="C421" s="3047" t="s">
        <v>3447</v>
      </c>
      <c r="D421" s="3047" t="s">
        <v>3483</v>
      </c>
      <c r="E421" s="3047" t="str">
        <f t="shared" ref="E421:F436" si="46">E420</f>
        <v>产权式酒店</v>
      </c>
      <c r="F421" s="3047" t="str">
        <f t="shared" si="46"/>
        <v>钢混</v>
      </c>
      <c r="G421" s="3047">
        <v>83.54</v>
      </c>
      <c r="H421" s="3155"/>
      <c r="I421" s="3047" t="s">
        <v>3088</v>
      </c>
    </row>
    <row r="422" spans="1:9" ht="22.5" hidden="1" customHeight="1">
      <c r="A422" s="3046">
        <f t="shared" si="43"/>
        <v>420</v>
      </c>
      <c r="B422" s="3047" t="s">
        <v>3084</v>
      </c>
      <c r="C422" s="3047" t="s">
        <v>3484</v>
      </c>
      <c r="D422" s="3047" t="s">
        <v>3485</v>
      </c>
      <c r="E422" s="3047" t="str">
        <f t="shared" si="46"/>
        <v>产权式酒店</v>
      </c>
      <c r="F422" s="3047" t="str">
        <f t="shared" si="46"/>
        <v>钢混</v>
      </c>
      <c r="G422" s="3047">
        <v>116.88</v>
      </c>
      <c r="H422" s="3154">
        <v>3869.48</v>
      </c>
      <c r="I422" s="3047" t="s">
        <v>3088</v>
      </c>
    </row>
    <row r="423" spans="1:9" ht="22.5" hidden="1" customHeight="1">
      <c r="A423" s="3046">
        <f t="shared" si="43"/>
        <v>421</v>
      </c>
      <c r="B423" s="3047" t="s">
        <v>3084</v>
      </c>
      <c r="C423" s="3047" t="s">
        <v>3484</v>
      </c>
      <c r="D423" s="3047" t="s">
        <v>3486</v>
      </c>
      <c r="E423" s="3047" t="str">
        <f t="shared" si="46"/>
        <v>产权式酒店</v>
      </c>
      <c r="F423" s="3047" t="str">
        <f t="shared" si="46"/>
        <v>钢混</v>
      </c>
      <c r="G423" s="3047">
        <v>114.88</v>
      </c>
      <c r="H423" s="3159"/>
      <c r="I423" s="3047" t="s">
        <v>3088</v>
      </c>
    </row>
    <row r="424" spans="1:9" ht="22.5" hidden="1" customHeight="1">
      <c r="A424" s="3046">
        <f t="shared" si="43"/>
        <v>422</v>
      </c>
      <c r="B424" s="3047" t="s">
        <v>3084</v>
      </c>
      <c r="C424" s="3047" t="s">
        <v>3484</v>
      </c>
      <c r="D424" s="3047" t="s">
        <v>3487</v>
      </c>
      <c r="E424" s="3047" t="str">
        <f t="shared" si="46"/>
        <v>产权式酒店</v>
      </c>
      <c r="F424" s="3047" t="str">
        <f t="shared" si="46"/>
        <v>钢混</v>
      </c>
      <c r="G424" s="3047">
        <v>116.88</v>
      </c>
      <c r="H424" s="3159"/>
      <c r="I424" s="3047" t="s">
        <v>3088</v>
      </c>
    </row>
    <row r="425" spans="1:9" ht="22.5" hidden="1" customHeight="1">
      <c r="A425" s="3046">
        <f t="shared" si="43"/>
        <v>423</v>
      </c>
      <c r="B425" s="3047" t="s">
        <v>3084</v>
      </c>
      <c r="C425" s="3047" t="s">
        <v>3484</v>
      </c>
      <c r="D425" s="3047" t="s">
        <v>3488</v>
      </c>
      <c r="E425" s="3047" t="str">
        <f t="shared" si="46"/>
        <v>产权式酒店</v>
      </c>
      <c r="F425" s="3047" t="str">
        <f t="shared" si="46"/>
        <v>钢混</v>
      </c>
      <c r="G425" s="3047">
        <v>114.88</v>
      </c>
      <c r="H425" s="3159"/>
      <c r="I425" s="3047" t="s">
        <v>3088</v>
      </c>
    </row>
    <row r="426" spans="1:9" ht="22.5" hidden="1" customHeight="1">
      <c r="A426" s="3046">
        <f t="shared" si="43"/>
        <v>424</v>
      </c>
      <c r="B426" s="3047" t="s">
        <v>3084</v>
      </c>
      <c r="C426" s="3047" t="s">
        <v>3484</v>
      </c>
      <c r="D426" s="3047" t="s">
        <v>3489</v>
      </c>
      <c r="E426" s="3047" t="str">
        <f t="shared" si="46"/>
        <v>产权式酒店</v>
      </c>
      <c r="F426" s="3047" t="str">
        <f t="shared" si="46"/>
        <v>钢混</v>
      </c>
      <c r="G426" s="3047">
        <v>113.16</v>
      </c>
      <c r="H426" s="3159"/>
      <c r="I426" s="3047" t="s">
        <v>3088</v>
      </c>
    </row>
    <row r="427" spans="1:9" ht="22.5" hidden="1" customHeight="1">
      <c r="A427" s="3046">
        <f t="shared" si="43"/>
        <v>425</v>
      </c>
      <c r="B427" s="3047" t="s">
        <v>3084</v>
      </c>
      <c r="C427" s="3047" t="s">
        <v>3484</v>
      </c>
      <c r="D427" s="3047" t="s">
        <v>3490</v>
      </c>
      <c r="E427" s="3047" t="str">
        <f t="shared" si="46"/>
        <v>产权式酒店</v>
      </c>
      <c r="F427" s="3047" t="str">
        <f t="shared" si="46"/>
        <v>钢混</v>
      </c>
      <c r="G427" s="3047">
        <v>113.16</v>
      </c>
      <c r="H427" s="3159"/>
      <c r="I427" s="3047" t="s">
        <v>3088</v>
      </c>
    </row>
    <row r="428" spans="1:9" ht="22.5" hidden="1" customHeight="1">
      <c r="A428" s="3046">
        <f t="shared" si="43"/>
        <v>426</v>
      </c>
      <c r="B428" s="3047" t="s">
        <v>3084</v>
      </c>
      <c r="C428" s="3047" t="s">
        <v>3484</v>
      </c>
      <c r="D428" s="3047" t="s">
        <v>3491</v>
      </c>
      <c r="E428" s="3047" t="str">
        <f t="shared" si="46"/>
        <v>产权式酒店</v>
      </c>
      <c r="F428" s="3047" t="str">
        <f t="shared" si="46"/>
        <v>钢混</v>
      </c>
      <c r="G428" s="3047">
        <v>113.16</v>
      </c>
      <c r="H428" s="3159"/>
      <c r="I428" s="3047" t="s">
        <v>3088</v>
      </c>
    </row>
    <row r="429" spans="1:9" ht="22.5" hidden="1" customHeight="1">
      <c r="A429" s="3046">
        <f t="shared" si="43"/>
        <v>427</v>
      </c>
      <c r="B429" s="3047" t="s">
        <v>3084</v>
      </c>
      <c r="C429" s="3047" t="s">
        <v>3484</v>
      </c>
      <c r="D429" s="3047" t="s">
        <v>3492</v>
      </c>
      <c r="E429" s="3047" t="str">
        <f t="shared" si="46"/>
        <v>产权式酒店</v>
      </c>
      <c r="F429" s="3047" t="str">
        <f t="shared" si="46"/>
        <v>钢混</v>
      </c>
      <c r="G429" s="3047">
        <v>113.16</v>
      </c>
      <c r="H429" s="3159"/>
      <c r="I429" s="3047" t="s">
        <v>3088</v>
      </c>
    </row>
    <row r="430" spans="1:9" ht="22.5" hidden="1" customHeight="1">
      <c r="A430" s="3046">
        <f t="shared" si="43"/>
        <v>428</v>
      </c>
      <c r="B430" s="3047" t="s">
        <v>3084</v>
      </c>
      <c r="C430" s="3047" t="s">
        <v>3484</v>
      </c>
      <c r="D430" s="3047" t="s">
        <v>3493</v>
      </c>
      <c r="E430" s="3047" t="str">
        <f t="shared" si="46"/>
        <v>产权式酒店</v>
      </c>
      <c r="F430" s="3047" t="str">
        <f t="shared" si="46"/>
        <v>钢混</v>
      </c>
      <c r="G430" s="3047">
        <v>104.48</v>
      </c>
      <c r="H430" s="3159"/>
      <c r="I430" s="3047" t="s">
        <v>3088</v>
      </c>
    </row>
    <row r="431" spans="1:9" ht="22.5" hidden="1" customHeight="1">
      <c r="A431" s="3046">
        <f t="shared" si="43"/>
        <v>429</v>
      </c>
      <c r="B431" s="3047" t="s">
        <v>3084</v>
      </c>
      <c r="C431" s="3047" t="s">
        <v>3484</v>
      </c>
      <c r="D431" s="3047" t="s">
        <v>3494</v>
      </c>
      <c r="E431" s="3047" t="str">
        <f t="shared" si="46"/>
        <v>产权式酒店</v>
      </c>
      <c r="F431" s="3047" t="str">
        <f t="shared" si="46"/>
        <v>钢混</v>
      </c>
      <c r="G431" s="3047">
        <v>104.48</v>
      </c>
      <c r="H431" s="3159"/>
      <c r="I431" s="3047" t="s">
        <v>3088</v>
      </c>
    </row>
    <row r="432" spans="1:9" ht="22.5" hidden="1" customHeight="1">
      <c r="A432" s="3046">
        <f t="shared" si="43"/>
        <v>430</v>
      </c>
      <c r="B432" s="3047" t="s">
        <v>3084</v>
      </c>
      <c r="C432" s="3047" t="s">
        <v>3484</v>
      </c>
      <c r="D432" s="3047" t="s">
        <v>3495</v>
      </c>
      <c r="E432" s="3047" t="str">
        <f t="shared" si="46"/>
        <v>产权式酒店</v>
      </c>
      <c r="F432" s="3047" t="str">
        <f t="shared" si="46"/>
        <v>钢混</v>
      </c>
      <c r="G432" s="3047">
        <v>104.48</v>
      </c>
      <c r="H432" s="3159"/>
      <c r="I432" s="3047" t="s">
        <v>3088</v>
      </c>
    </row>
    <row r="433" spans="1:9" ht="22.5" hidden="1" customHeight="1">
      <c r="A433" s="3046">
        <f t="shared" si="43"/>
        <v>431</v>
      </c>
      <c r="B433" s="3047" t="s">
        <v>3084</v>
      </c>
      <c r="C433" s="3047" t="s">
        <v>3484</v>
      </c>
      <c r="D433" s="3047" t="s">
        <v>3496</v>
      </c>
      <c r="E433" s="3047" t="str">
        <f t="shared" si="46"/>
        <v>产权式酒店</v>
      </c>
      <c r="F433" s="3047" t="str">
        <f t="shared" si="46"/>
        <v>钢混</v>
      </c>
      <c r="G433" s="3047">
        <v>104.48</v>
      </c>
      <c r="H433" s="3159"/>
      <c r="I433" s="3047" t="s">
        <v>3088</v>
      </c>
    </row>
    <row r="434" spans="1:9" ht="22.5" hidden="1" customHeight="1">
      <c r="A434" s="3046">
        <f t="shared" si="43"/>
        <v>432</v>
      </c>
      <c r="B434" s="3047" t="s">
        <v>3084</v>
      </c>
      <c r="C434" s="3047" t="s">
        <v>3484</v>
      </c>
      <c r="D434" s="3047" t="s">
        <v>3497</v>
      </c>
      <c r="E434" s="3047" t="str">
        <f t="shared" si="46"/>
        <v>产权式酒店</v>
      </c>
      <c r="F434" s="3047" t="str">
        <f t="shared" si="46"/>
        <v>钢混</v>
      </c>
      <c r="G434" s="3047">
        <v>102.4</v>
      </c>
      <c r="H434" s="3159"/>
      <c r="I434" s="3047" t="s">
        <v>3088</v>
      </c>
    </row>
    <row r="435" spans="1:9" ht="22.5" hidden="1" customHeight="1">
      <c r="A435" s="3046">
        <f t="shared" si="43"/>
        <v>433</v>
      </c>
      <c r="B435" s="3047" t="s">
        <v>3084</v>
      </c>
      <c r="C435" s="3047" t="s">
        <v>3484</v>
      </c>
      <c r="D435" s="3047" t="s">
        <v>3498</v>
      </c>
      <c r="E435" s="3047" t="str">
        <f t="shared" si="46"/>
        <v>产权式酒店</v>
      </c>
      <c r="F435" s="3047" t="str">
        <f t="shared" si="46"/>
        <v>钢混</v>
      </c>
      <c r="G435" s="3047">
        <v>102.4</v>
      </c>
      <c r="H435" s="3159"/>
      <c r="I435" s="3047" t="s">
        <v>3088</v>
      </c>
    </row>
    <row r="436" spans="1:9" ht="22.5" hidden="1" customHeight="1">
      <c r="A436" s="3046">
        <f t="shared" si="43"/>
        <v>434</v>
      </c>
      <c r="B436" s="3047" t="s">
        <v>3084</v>
      </c>
      <c r="C436" s="3047" t="s">
        <v>3484</v>
      </c>
      <c r="D436" s="3047" t="s">
        <v>3499</v>
      </c>
      <c r="E436" s="3047" t="str">
        <f t="shared" si="46"/>
        <v>产权式酒店</v>
      </c>
      <c r="F436" s="3047" t="str">
        <f t="shared" si="46"/>
        <v>钢混</v>
      </c>
      <c r="G436" s="3047">
        <v>102.4</v>
      </c>
      <c r="H436" s="3159"/>
      <c r="I436" s="3047" t="s">
        <v>3088</v>
      </c>
    </row>
    <row r="437" spans="1:9" ht="22.5" hidden="1" customHeight="1">
      <c r="A437" s="3046">
        <f t="shared" si="43"/>
        <v>435</v>
      </c>
      <c r="B437" s="3047" t="s">
        <v>3084</v>
      </c>
      <c r="C437" s="3047" t="s">
        <v>3484</v>
      </c>
      <c r="D437" s="3047" t="s">
        <v>3500</v>
      </c>
      <c r="E437" s="3047" t="str">
        <f t="shared" ref="E437:F452" si="47">E436</f>
        <v>产权式酒店</v>
      </c>
      <c r="F437" s="3047" t="str">
        <f t="shared" si="47"/>
        <v>钢混</v>
      </c>
      <c r="G437" s="3047">
        <v>102.4</v>
      </c>
      <c r="H437" s="3159"/>
      <c r="I437" s="3047" t="s">
        <v>3088</v>
      </c>
    </row>
    <row r="438" spans="1:9" ht="22.5" hidden="1" customHeight="1">
      <c r="A438" s="3046">
        <f t="shared" si="43"/>
        <v>436</v>
      </c>
      <c r="B438" s="3047" t="s">
        <v>3084</v>
      </c>
      <c r="C438" s="3047" t="s">
        <v>3484</v>
      </c>
      <c r="D438" s="3047" t="s">
        <v>3501</v>
      </c>
      <c r="E438" s="3047" t="str">
        <f t="shared" si="47"/>
        <v>产权式酒店</v>
      </c>
      <c r="F438" s="3047" t="str">
        <f t="shared" si="47"/>
        <v>钢混</v>
      </c>
      <c r="G438" s="3047">
        <v>97.28</v>
      </c>
      <c r="H438" s="3159"/>
      <c r="I438" s="3047" t="s">
        <v>3088</v>
      </c>
    </row>
    <row r="439" spans="1:9" ht="22.5" hidden="1" customHeight="1">
      <c r="A439" s="3046">
        <f t="shared" si="43"/>
        <v>437</v>
      </c>
      <c r="B439" s="3047" t="s">
        <v>3084</v>
      </c>
      <c r="C439" s="3047" t="s">
        <v>3484</v>
      </c>
      <c r="D439" s="3047" t="s">
        <v>3502</v>
      </c>
      <c r="E439" s="3047" t="str">
        <f t="shared" si="47"/>
        <v>产权式酒店</v>
      </c>
      <c r="F439" s="3047" t="str">
        <f t="shared" si="47"/>
        <v>钢混</v>
      </c>
      <c r="G439" s="3047">
        <v>97.28</v>
      </c>
      <c r="H439" s="3159"/>
      <c r="I439" s="3047" t="s">
        <v>3088</v>
      </c>
    </row>
    <row r="440" spans="1:9" ht="22.5" hidden="1" customHeight="1">
      <c r="A440" s="3046">
        <f t="shared" si="43"/>
        <v>438</v>
      </c>
      <c r="B440" s="3047" t="s">
        <v>3084</v>
      </c>
      <c r="C440" s="3047" t="s">
        <v>3484</v>
      </c>
      <c r="D440" s="3047" t="s">
        <v>3503</v>
      </c>
      <c r="E440" s="3047" t="str">
        <f t="shared" si="47"/>
        <v>产权式酒店</v>
      </c>
      <c r="F440" s="3047" t="str">
        <f t="shared" si="47"/>
        <v>钢混</v>
      </c>
      <c r="G440" s="3047">
        <v>97.28</v>
      </c>
      <c r="H440" s="3159"/>
      <c r="I440" s="3047" t="s">
        <v>3088</v>
      </c>
    </row>
    <row r="441" spans="1:9" ht="22.5" hidden="1" customHeight="1">
      <c r="A441" s="3046">
        <f t="shared" si="43"/>
        <v>439</v>
      </c>
      <c r="B441" s="3047" t="s">
        <v>3084</v>
      </c>
      <c r="C441" s="3047" t="s">
        <v>3484</v>
      </c>
      <c r="D441" s="3047" t="s">
        <v>3504</v>
      </c>
      <c r="E441" s="3047" t="str">
        <f t="shared" si="47"/>
        <v>产权式酒店</v>
      </c>
      <c r="F441" s="3047" t="str">
        <f t="shared" si="47"/>
        <v>钢混</v>
      </c>
      <c r="G441" s="3047">
        <v>97.28</v>
      </c>
      <c r="H441" s="3159"/>
      <c r="I441" s="3047" t="s">
        <v>3088</v>
      </c>
    </row>
    <row r="442" spans="1:9" ht="22.5" hidden="1" customHeight="1">
      <c r="A442" s="3046">
        <f t="shared" si="43"/>
        <v>440</v>
      </c>
      <c r="B442" s="3047" t="s">
        <v>3084</v>
      </c>
      <c r="C442" s="3047" t="s">
        <v>3484</v>
      </c>
      <c r="D442" s="3047" t="s">
        <v>3505</v>
      </c>
      <c r="E442" s="3047" t="str">
        <f t="shared" si="47"/>
        <v>产权式酒店</v>
      </c>
      <c r="F442" s="3047" t="str">
        <f t="shared" si="47"/>
        <v>钢混</v>
      </c>
      <c r="G442" s="3047">
        <v>97.28</v>
      </c>
      <c r="H442" s="3159"/>
      <c r="I442" s="3047" t="s">
        <v>3088</v>
      </c>
    </row>
    <row r="443" spans="1:9" ht="22.5" hidden="1" customHeight="1">
      <c r="A443" s="3046">
        <f t="shared" si="43"/>
        <v>441</v>
      </c>
      <c r="B443" s="3047" t="s">
        <v>3084</v>
      </c>
      <c r="C443" s="3047" t="s">
        <v>3484</v>
      </c>
      <c r="D443" s="3047" t="s">
        <v>3506</v>
      </c>
      <c r="E443" s="3047" t="str">
        <f t="shared" si="47"/>
        <v>产权式酒店</v>
      </c>
      <c r="F443" s="3047" t="str">
        <f t="shared" si="47"/>
        <v>钢混</v>
      </c>
      <c r="G443" s="3047">
        <v>97.28</v>
      </c>
      <c r="H443" s="3159"/>
      <c r="I443" s="3047" t="s">
        <v>3088</v>
      </c>
    </row>
    <row r="444" spans="1:9" ht="22.5" hidden="1" customHeight="1">
      <c r="A444" s="3046">
        <f t="shared" si="43"/>
        <v>442</v>
      </c>
      <c r="B444" s="3047" t="s">
        <v>3084</v>
      </c>
      <c r="C444" s="3047" t="s">
        <v>3484</v>
      </c>
      <c r="D444" s="3047" t="s">
        <v>3507</v>
      </c>
      <c r="E444" s="3047" t="str">
        <f t="shared" si="47"/>
        <v>产权式酒店</v>
      </c>
      <c r="F444" s="3047" t="str">
        <f t="shared" si="47"/>
        <v>钢混</v>
      </c>
      <c r="G444" s="3047">
        <v>97.28</v>
      </c>
      <c r="H444" s="3159"/>
      <c r="I444" s="3047" t="s">
        <v>3088</v>
      </c>
    </row>
    <row r="445" spans="1:9" ht="22.5" hidden="1" customHeight="1">
      <c r="A445" s="3046">
        <f t="shared" si="43"/>
        <v>443</v>
      </c>
      <c r="B445" s="3047" t="s">
        <v>3084</v>
      </c>
      <c r="C445" s="3047" t="s">
        <v>3484</v>
      </c>
      <c r="D445" s="3047" t="s">
        <v>3508</v>
      </c>
      <c r="E445" s="3047" t="str">
        <f t="shared" si="47"/>
        <v>产权式酒店</v>
      </c>
      <c r="F445" s="3047" t="str">
        <f t="shared" si="47"/>
        <v>钢混</v>
      </c>
      <c r="G445" s="3047">
        <v>97.28</v>
      </c>
      <c r="H445" s="3159"/>
      <c r="I445" s="3047" t="s">
        <v>3088</v>
      </c>
    </row>
    <row r="446" spans="1:9" ht="22.5" hidden="1" customHeight="1">
      <c r="A446" s="3046">
        <f t="shared" si="43"/>
        <v>444</v>
      </c>
      <c r="B446" s="3047" t="s">
        <v>3084</v>
      </c>
      <c r="C446" s="3047" t="s">
        <v>3484</v>
      </c>
      <c r="D446" s="3047" t="s">
        <v>3509</v>
      </c>
      <c r="E446" s="3047" t="str">
        <f t="shared" si="47"/>
        <v>产权式酒店</v>
      </c>
      <c r="F446" s="3047" t="str">
        <f t="shared" si="47"/>
        <v>钢混</v>
      </c>
      <c r="G446" s="3047">
        <v>95.01</v>
      </c>
      <c r="H446" s="3159"/>
      <c r="I446" s="3047" t="s">
        <v>3088</v>
      </c>
    </row>
    <row r="447" spans="1:9" ht="22.5" hidden="1" customHeight="1">
      <c r="A447" s="3046">
        <f t="shared" si="43"/>
        <v>445</v>
      </c>
      <c r="B447" s="3047" t="s">
        <v>3084</v>
      </c>
      <c r="C447" s="3047" t="s">
        <v>3484</v>
      </c>
      <c r="D447" s="3047" t="s">
        <v>3510</v>
      </c>
      <c r="E447" s="3047" t="str">
        <f t="shared" si="47"/>
        <v>产权式酒店</v>
      </c>
      <c r="F447" s="3047" t="str">
        <f t="shared" si="47"/>
        <v>钢混</v>
      </c>
      <c r="G447" s="3047">
        <v>95.01</v>
      </c>
      <c r="H447" s="3159"/>
      <c r="I447" s="3047" t="s">
        <v>3088</v>
      </c>
    </row>
    <row r="448" spans="1:9" ht="22.5" hidden="1" customHeight="1">
      <c r="A448" s="3046">
        <f t="shared" si="43"/>
        <v>446</v>
      </c>
      <c r="B448" s="3047" t="s">
        <v>3084</v>
      </c>
      <c r="C448" s="3047" t="s">
        <v>3484</v>
      </c>
      <c r="D448" s="3047" t="s">
        <v>3511</v>
      </c>
      <c r="E448" s="3047" t="str">
        <f t="shared" si="47"/>
        <v>产权式酒店</v>
      </c>
      <c r="F448" s="3047" t="str">
        <f t="shared" si="47"/>
        <v>钢混</v>
      </c>
      <c r="G448" s="3047">
        <v>95.01</v>
      </c>
      <c r="H448" s="3159"/>
      <c r="I448" s="3047" t="s">
        <v>3088</v>
      </c>
    </row>
    <row r="449" spans="1:9" ht="22.5" hidden="1" customHeight="1">
      <c r="A449" s="3046">
        <f t="shared" si="43"/>
        <v>447</v>
      </c>
      <c r="B449" s="3047" t="s">
        <v>3084</v>
      </c>
      <c r="C449" s="3047" t="s">
        <v>3484</v>
      </c>
      <c r="D449" s="3047" t="s">
        <v>3512</v>
      </c>
      <c r="E449" s="3047" t="str">
        <f t="shared" si="47"/>
        <v>产权式酒店</v>
      </c>
      <c r="F449" s="3047" t="str">
        <f t="shared" si="47"/>
        <v>钢混</v>
      </c>
      <c r="G449" s="3047">
        <v>95.01</v>
      </c>
      <c r="H449" s="3155"/>
      <c r="I449" s="3047" t="s">
        <v>3088</v>
      </c>
    </row>
    <row r="450" spans="1:9" ht="22.5" hidden="1" customHeight="1">
      <c r="A450" s="3046">
        <f t="shared" si="43"/>
        <v>448</v>
      </c>
      <c r="B450" s="3047" t="s">
        <v>3084</v>
      </c>
      <c r="C450" s="3047" t="s">
        <v>3513</v>
      </c>
      <c r="D450" s="3047" t="s">
        <v>3514</v>
      </c>
      <c r="E450" s="3047" t="str">
        <f t="shared" si="47"/>
        <v>产权式酒店</v>
      </c>
      <c r="F450" s="3047" t="str">
        <f t="shared" si="47"/>
        <v>钢混</v>
      </c>
      <c r="G450" s="3047">
        <v>140.41</v>
      </c>
      <c r="H450" s="3154">
        <v>5169.95</v>
      </c>
      <c r="I450" s="3047" t="s">
        <v>3088</v>
      </c>
    </row>
    <row r="451" spans="1:9" ht="22.5" hidden="1" customHeight="1">
      <c r="A451" s="3046">
        <f t="shared" si="43"/>
        <v>449</v>
      </c>
      <c r="B451" s="3047" t="s">
        <v>3084</v>
      </c>
      <c r="C451" s="3047" t="s">
        <v>3513</v>
      </c>
      <c r="D451" s="3047" t="s">
        <v>3515</v>
      </c>
      <c r="E451" s="3047" t="str">
        <f t="shared" si="47"/>
        <v>产权式酒店</v>
      </c>
      <c r="F451" s="3047" t="str">
        <f t="shared" si="47"/>
        <v>钢混</v>
      </c>
      <c r="G451" s="3047">
        <v>140.41</v>
      </c>
      <c r="H451" s="3159"/>
      <c r="I451" s="3047" t="s">
        <v>3088</v>
      </c>
    </row>
    <row r="452" spans="1:9" ht="22.5" hidden="1" customHeight="1">
      <c r="A452" s="3046">
        <f t="shared" si="43"/>
        <v>450</v>
      </c>
      <c r="B452" s="3047" t="s">
        <v>3084</v>
      </c>
      <c r="C452" s="3047" t="s">
        <v>3513</v>
      </c>
      <c r="D452" s="3047" t="s">
        <v>3516</v>
      </c>
      <c r="E452" s="3047" t="str">
        <f t="shared" si="47"/>
        <v>产权式酒店</v>
      </c>
      <c r="F452" s="3047" t="str">
        <f t="shared" si="47"/>
        <v>钢混</v>
      </c>
      <c r="G452" s="3047">
        <v>140.41</v>
      </c>
      <c r="H452" s="3159"/>
      <c r="I452" s="3047" t="s">
        <v>3088</v>
      </c>
    </row>
    <row r="453" spans="1:9" ht="22.5" hidden="1" customHeight="1">
      <c r="A453" s="3046">
        <f t="shared" ref="A453:A512" si="48">A452+1</f>
        <v>451</v>
      </c>
      <c r="B453" s="3047" t="s">
        <v>3084</v>
      </c>
      <c r="C453" s="3047" t="s">
        <v>3513</v>
      </c>
      <c r="D453" s="3047" t="s">
        <v>3517</v>
      </c>
      <c r="E453" s="3047" t="str">
        <f t="shared" ref="E453:F468" si="49">E452</f>
        <v>产权式酒店</v>
      </c>
      <c r="F453" s="3047" t="str">
        <f t="shared" si="49"/>
        <v>钢混</v>
      </c>
      <c r="G453" s="3047">
        <v>140.41</v>
      </c>
      <c r="H453" s="3159"/>
      <c r="I453" s="3047" t="s">
        <v>3088</v>
      </c>
    </row>
    <row r="454" spans="1:9" ht="22.5" hidden="1" customHeight="1">
      <c r="A454" s="3046">
        <f t="shared" si="48"/>
        <v>452</v>
      </c>
      <c r="B454" s="3047" t="s">
        <v>3084</v>
      </c>
      <c r="C454" s="3047" t="s">
        <v>3513</v>
      </c>
      <c r="D454" s="3047" t="s">
        <v>3518</v>
      </c>
      <c r="E454" s="3047" t="str">
        <f t="shared" si="49"/>
        <v>产权式酒店</v>
      </c>
      <c r="F454" s="3047" t="str">
        <f t="shared" si="49"/>
        <v>钢混</v>
      </c>
      <c r="G454" s="3047">
        <v>140.41</v>
      </c>
      <c r="H454" s="3159"/>
      <c r="I454" s="3047" t="s">
        <v>3088</v>
      </c>
    </row>
    <row r="455" spans="1:9" ht="22.5" hidden="1" customHeight="1">
      <c r="A455" s="3046">
        <f t="shared" si="48"/>
        <v>453</v>
      </c>
      <c r="B455" s="3047" t="s">
        <v>3084</v>
      </c>
      <c r="C455" s="3047" t="s">
        <v>3513</v>
      </c>
      <c r="D455" s="3047" t="s">
        <v>3519</v>
      </c>
      <c r="E455" s="3047" t="str">
        <f t="shared" si="49"/>
        <v>产权式酒店</v>
      </c>
      <c r="F455" s="3047" t="str">
        <f t="shared" si="49"/>
        <v>钢混</v>
      </c>
      <c r="G455" s="3047">
        <v>129.22</v>
      </c>
      <c r="H455" s="3159"/>
      <c r="I455" s="3047" t="s">
        <v>3088</v>
      </c>
    </row>
    <row r="456" spans="1:9" ht="22.5" hidden="1" customHeight="1">
      <c r="A456" s="3046">
        <f t="shared" si="48"/>
        <v>454</v>
      </c>
      <c r="B456" s="3047" t="s">
        <v>3084</v>
      </c>
      <c r="C456" s="3047" t="s">
        <v>3513</v>
      </c>
      <c r="D456" s="3047" t="s">
        <v>3520</v>
      </c>
      <c r="E456" s="3047" t="str">
        <f t="shared" si="49"/>
        <v>产权式酒店</v>
      </c>
      <c r="F456" s="3047" t="str">
        <f t="shared" si="49"/>
        <v>钢混</v>
      </c>
      <c r="G456" s="3047">
        <v>129.22</v>
      </c>
      <c r="H456" s="3159"/>
      <c r="I456" s="3047" t="s">
        <v>3088</v>
      </c>
    </row>
    <row r="457" spans="1:9" ht="22.5" hidden="1" customHeight="1">
      <c r="A457" s="3046">
        <f t="shared" si="48"/>
        <v>455</v>
      </c>
      <c r="B457" s="3047" t="s">
        <v>3084</v>
      </c>
      <c r="C457" s="3047" t="s">
        <v>3513</v>
      </c>
      <c r="D457" s="3047" t="s">
        <v>3521</v>
      </c>
      <c r="E457" s="3047" t="str">
        <f t="shared" si="49"/>
        <v>产权式酒店</v>
      </c>
      <c r="F457" s="3047" t="str">
        <f t="shared" si="49"/>
        <v>钢混</v>
      </c>
      <c r="G457" s="3047">
        <v>129.22</v>
      </c>
      <c r="H457" s="3159"/>
      <c r="I457" s="3047" t="s">
        <v>3088</v>
      </c>
    </row>
    <row r="458" spans="1:9" ht="22.5" hidden="1" customHeight="1">
      <c r="A458" s="3046">
        <f t="shared" si="48"/>
        <v>456</v>
      </c>
      <c r="B458" s="3047" t="s">
        <v>3084</v>
      </c>
      <c r="C458" s="3047" t="s">
        <v>3513</v>
      </c>
      <c r="D458" s="3047" t="s">
        <v>3522</v>
      </c>
      <c r="E458" s="3047" t="str">
        <f t="shared" si="49"/>
        <v>产权式酒店</v>
      </c>
      <c r="F458" s="3047" t="str">
        <f t="shared" si="49"/>
        <v>钢混</v>
      </c>
      <c r="G458" s="3047">
        <v>129.22</v>
      </c>
      <c r="H458" s="3159"/>
      <c r="I458" s="3047" t="s">
        <v>3088</v>
      </c>
    </row>
    <row r="459" spans="1:9" ht="22.5" hidden="1" customHeight="1">
      <c r="A459" s="3046">
        <f t="shared" si="48"/>
        <v>457</v>
      </c>
      <c r="B459" s="3047" t="s">
        <v>3084</v>
      </c>
      <c r="C459" s="3047" t="s">
        <v>3513</v>
      </c>
      <c r="D459" s="3047" t="s">
        <v>3523</v>
      </c>
      <c r="E459" s="3047" t="str">
        <f t="shared" si="49"/>
        <v>产权式酒店</v>
      </c>
      <c r="F459" s="3047" t="str">
        <f t="shared" si="49"/>
        <v>钢混</v>
      </c>
      <c r="G459" s="3047">
        <v>129.22</v>
      </c>
      <c r="H459" s="3159"/>
      <c r="I459" s="3047" t="s">
        <v>3088</v>
      </c>
    </row>
    <row r="460" spans="1:9" ht="22.5" hidden="1" customHeight="1">
      <c r="A460" s="3046">
        <f t="shared" si="48"/>
        <v>458</v>
      </c>
      <c r="B460" s="3047" t="s">
        <v>3084</v>
      </c>
      <c r="C460" s="3047" t="s">
        <v>3513</v>
      </c>
      <c r="D460" s="3047" t="s">
        <v>3524</v>
      </c>
      <c r="E460" s="3047" t="str">
        <f t="shared" si="49"/>
        <v>产权式酒店</v>
      </c>
      <c r="F460" s="3047" t="str">
        <f t="shared" si="49"/>
        <v>钢混</v>
      </c>
      <c r="G460" s="3047">
        <v>110.19</v>
      </c>
      <c r="H460" s="3159"/>
      <c r="I460" s="3047" t="s">
        <v>3088</v>
      </c>
    </row>
    <row r="461" spans="1:9" ht="22.5" hidden="1" customHeight="1">
      <c r="A461" s="3046">
        <f t="shared" si="48"/>
        <v>459</v>
      </c>
      <c r="B461" s="3047" t="s">
        <v>3084</v>
      </c>
      <c r="C461" s="3047" t="s">
        <v>3513</v>
      </c>
      <c r="D461" s="3047" t="s">
        <v>3525</v>
      </c>
      <c r="E461" s="3047" t="str">
        <f t="shared" si="49"/>
        <v>产权式酒店</v>
      </c>
      <c r="F461" s="3047" t="str">
        <f t="shared" si="49"/>
        <v>钢混</v>
      </c>
      <c r="G461" s="3047">
        <v>110.19</v>
      </c>
      <c r="H461" s="3159"/>
      <c r="I461" s="3047" t="s">
        <v>3088</v>
      </c>
    </row>
    <row r="462" spans="1:9" ht="22.5" hidden="1" customHeight="1">
      <c r="A462" s="3046">
        <f t="shared" si="48"/>
        <v>460</v>
      </c>
      <c r="B462" s="3047" t="s">
        <v>3084</v>
      </c>
      <c r="C462" s="3047" t="s">
        <v>3513</v>
      </c>
      <c r="D462" s="3047" t="s">
        <v>3526</v>
      </c>
      <c r="E462" s="3047" t="str">
        <f t="shared" si="49"/>
        <v>产权式酒店</v>
      </c>
      <c r="F462" s="3047" t="str">
        <f t="shared" si="49"/>
        <v>钢混</v>
      </c>
      <c r="G462" s="3047">
        <v>110.19</v>
      </c>
      <c r="H462" s="3159"/>
      <c r="I462" s="3047" t="s">
        <v>3088</v>
      </c>
    </row>
    <row r="463" spans="1:9" ht="22.5" hidden="1" customHeight="1">
      <c r="A463" s="3046">
        <f t="shared" si="48"/>
        <v>461</v>
      </c>
      <c r="B463" s="3047" t="s">
        <v>3084</v>
      </c>
      <c r="C463" s="3047" t="s">
        <v>3513</v>
      </c>
      <c r="D463" s="3047" t="s">
        <v>3527</v>
      </c>
      <c r="E463" s="3047" t="str">
        <f t="shared" si="49"/>
        <v>产权式酒店</v>
      </c>
      <c r="F463" s="3047" t="str">
        <f t="shared" si="49"/>
        <v>钢混</v>
      </c>
      <c r="G463" s="3047">
        <v>110.19</v>
      </c>
      <c r="H463" s="3159"/>
      <c r="I463" s="3047" t="s">
        <v>3088</v>
      </c>
    </row>
    <row r="464" spans="1:9" ht="22.5" hidden="1" customHeight="1">
      <c r="A464" s="3046">
        <f t="shared" si="48"/>
        <v>462</v>
      </c>
      <c r="B464" s="3047" t="s">
        <v>3084</v>
      </c>
      <c r="C464" s="3047" t="s">
        <v>3513</v>
      </c>
      <c r="D464" s="3047" t="s">
        <v>3528</v>
      </c>
      <c r="E464" s="3047" t="str">
        <f t="shared" si="49"/>
        <v>产权式酒店</v>
      </c>
      <c r="F464" s="3047" t="str">
        <f t="shared" si="49"/>
        <v>钢混</v>
      </c>
      <c r="G464" s="3047">
        <v>110.19</v>
      </c>
      <c r="H464" s="3159"/>
      <c r="I464" s="3047" t="s">
        <v>3088</v>
      </c>
    </row>
    <row r="465" spans="1:9" ht="22.5" hidden="1" customHeight="1">
      <c r="A465" s="3046">
        <f t="shared" si="48"/>
        <v>463</v>
      </c>
      <c r="B465" s="3047" t="s">
        <v>3084</v>
      </c>
      <c r="C465" s="3047" t="s">
        <v>3513</v>
      </c>
      <c r="D465" s="3047" t="s">
        <v>3529</v>
      </c>
      <c r="E465" s="3047" t="str">
        <f t="shared" si="49"/>
        <v>产权式酒店</v>
      </c>
      <c r="F465" s="3047" t="str">
        <f t="shared" si="49"/>
        <v>钢混</v>
      </c>
      <c r="G465" s="3047">
        <v>110.19</v>
      </c>
      <c r="H465" s="3159"/>
      <c r="I465" s="3047" t="s">
        <v>3088</v>
      </c>
    </row>
    <row r="466" spans="1:9" ht="22.5" hidden="1" customHeight="1">
      <c r="A466" s="3046">
        <f t="shared" si="48"/>
        <v>464</v>
      </c>
      <c r="B466" s="3047" t="s">
        <v>3084</v>
      </c>
      <c r="C466" s="3047" t="s">
        <v>3513</v>
      </c>
      <c r="D466" s="3047" t="s">
        <v>3530</v>
      </c>
      <c r="E466" s="3047" t="str">
        <f t="shared" si="49"/>
        <v>产权式酒店</v>
      </c>
      <c r="F466" s="3047" t="str">
        <f t="shared" si="49"/>
        <v>钢混</v>
      </c>
      <c r="G466" s="3047">
        <v>102.45</v>
      </c>
      <c r="H466" s="3159"/>
      <c r="I466" s="3047" t="s">
        <v>3088</v>
      </c>
    </row>
    <row r="467" spans="1:9" ht="22.5" hidden="1" customHeight="1">
      <c r="A467" s="3046">
        <f t="shared" si="48"/>
        <v>465</v>
      </c>
      <c r="B467" s="3047" t="s">
        <v>3084</v>
      </c>
      <c r="C467" s="3047" t="s">
        <v>3513</v>
      </c>
      <c r="D467" s="3047" t="s">
        <v>3531</v>
      </c>
      <c r="E467" s="3047" t="str">
        <f t="shared" si="49"/>
        <v>产权式酒店</v>
      </c>
      <c r="F467" s="3047" t="str">
        <f t="shared" si="49"/>
        <v>钢混</v>
      </c>
      <c r="G467" s="3047">
        <v>102.45</v>
      </c>
      <c r="H467" s="3159"/>
      <c r="I467" s="3047" t="s">
        <v>3088</v>
      </c>
    </row>
    <row r="468" spans="1:9" ht="22.5" hidden="1" customHeight="1">
      <c r="A468" s="3046">
        <f t="shared" si="48"/>
        <v>466</v>
      </c>
      <c r="B468" s="3047" t="s">
        <v>3084</v>
      </c>
      <c r="C468" s="3047" t="s">
        <v>3513</v>
      </c>
      <c r="D468" s="3047" t="s">
        <v>3532</v>
      </c>
      <c r="E468" s="3047" t="str">
        <f t="shared" si="49"/>
        <v>产权式酒店</v>
      </c>
      <c r="F468" s="3047" t="str">
        <f t="shared" si="49"/>
        <v>钢混</v>
      </c>
      <c r="G468" s="3047">
        <v>102.45</v>
      </c>
      <c r="H468" s="3159"/>
      <c r="I468" s="3047" t="s">
        <v>3088</v>
      </c>
    </row>
    <row r="469" spans="1:9" ht="22.5" hidden="1" customHeight="1">
      <c r="A469" s="3046">
        <f t="shared" si="48"/>
        <v>467</v>
      </c>
      <c r="B469" s="3047" t="s">
        <v>3084</v>
      </c>
      <c r="C469" s="3047" t="s">
        <v>3513</v>
      </c>
      <c r="D469" s="3047" t="s">
        <v>3533</v>
      </c>
      <c r="E469" s="3047" t="str">
        <f t="shared" ref="E469:F484" si="50">E468</f>
        <v>产权式酒店</v>
      </c>
      <c r="F469" s="3047" t="str">
        <f t="shared" si="50"/>
        <v>钢混</v>
      </c>
      <c r="G469" s="3047">
        <v>102.45</v>
      </c>
      <c r="H469" s="3159"/>
      <c r="I469" s="3047" t="s">
        <v>3088</v>
      </c>
    </row>
    <row r="470" spans="1:9" ht="22.5" hidden="1" customHeight="1">
      <c r="A470" s="3046">
        <f t="shared" si="48"/>
        <v>468</v>
      </c>
      <c r="B470" s="3047" t="s">
        <v>3084</v>
      </c>
      <c r="C470" s="3047" t="s">
        <v>3513</v>
      </c>
      <c r="D470" s="3047" t="s">
        <v>3534</v>
      </c>
      <c r="E470" s="3047" t="str">
        <f t="shared" si="50"/>
        <v>产权式酒店</v>
      </c>
      <c r="F470" s="3047" t="str">
        <f t="shared" si="50"/>
        <v>钢混</v>
      </c>
      <c r="G470" s="3047">
        <v>102.45</v>
      </c>
      <c r="H470" s="3159"/>
      <c r="I470" s="3047" t="s">
        <v>3088</v>
      </c>
    </row>
    <row r="471" spans="1:9" ht="22.5" hidden="1" customHeight="1">
      <c r="A471" s="3046">
        <f t="shared" si="48"/>
        <v>469</v>
      </c>
      <c r="B471" s="3047" t="s">
        <v>3084</v>
      </c>
      <c r="C471" s="3047" t="s">
        <v>3513</v>
      </c>
      <c r="D471" s="3047" t="s">
        <v>3535</v>
      </c>
      <c r="E471" s="3047" t="str">
        <f t="shared" si="50"/>
        <v>产权式酒店</v>
      </c>
      <c r="F471" s="3047" t="str">
        <f t="shared" si="50"/>
        <v>钢混</v>
      </c>
      <c r="G471" s="3047">
        <v>102.45</v>
      </c>
      <c r="H471" s="3159"/>
      <c r="I471" s="3047" t="s">
        <v>3088</v>
      </c>
    </row>
    <row r="472" spans="1:9" ht="22.5" hidden="1" customHeight="1">
      <c r="A472" s="3046">
        <f t="shared" si="48"/>
        <v>470</v>
      </c>
      <c r="B472" s="3047" t="s">
        <v>3084</v>
      </c>
      <c r="C472" s="3047" t="s">
        <v>3513</v>
      </c>
      <c r="D472" s="3047" t="s">
        <v>3536</v>
      </c>
      <c r="E472" s="3047" t="str">
        <f t="shared" si="50"/>
        <v>产权式酒店</v>
      </c>
      <c r="F472" s="3047" t="str">
        <f t="shared" si="50"/>
        <v>钢混</v>
      </c>
      <c r="G472" s="3047">
        <v>86.24</v>
      </c>
      <c r="H472" s="3159"/>
      <c r="I472" s="3047" t="s">
        <v>3088</v>
      </c>
    </row>
    <row r="473" spans="1:9" ht="22.5" hidden="1" customHeight="1">
      <c r="A473" s="3046">
        <f t="shared" si="48"/>
        <v>471</v>
      </c>
      <c r="B473" s="3047" t="s">
        <v>3084</v>
      </c>
      <c r="C473" s="3047" t="s">
        <v>3513</v>
      </c>
      <c r="D473" s="3047" t="s">
        <v>3537</v>
      </c>
      <c r="E473" s="3047" t="str">
        <f t="shared" si="50"/>
        <v>产权式酒店</v>
      </c>
      <c r="F473" s="3047" t="str">
        <f t="shared" si="50"/>
        <v>钢混</v>
      </c>
      <c r="G473" s="3047">
        <v>86.24</v>
      </c>
      <c r="H473" s="3159"/>
      <c r="I473" s="3047" t="s">
        <v>3088</v>
      </c>
    </row>
    <row r="474" spans="1:9" ht="22.5" hidden="1" customHeight="1">
      <c r="A474" s="3046">
        <f t="shared" si="48"/>
        <v>472</v>
      </c>
      <c r="B474" s="3047" t="s">
        <v>3084</v>
      </c>
      <c r="C474" s="3047" t="s">
        <v>3513</v>
      </c>
      <c r="D474" s="3047" t="s">
        <v>3538</v>
      </c>
      <c r="E474" s="3047" t="str">
        <f t="shared" si="50"/>
        <v>产权式酒店</v>
      </c>
      <c r="F474" s="3047" t="str">
        <f t="shared" si="50"/>
        <v>钢混</v>
      </c>
      <c r="G474" s="3047">
        <v>86.24</v>
      </c>
      <c r="H474" s="3159"/>
      <c r="I474" s="3047" t="s">
        <v>3088</v>
      </c>
    </row>
    <row r="475" spans="1:9" ht="22.5" hidden="1" customHeight="1">
      <c r="A475" s="3046">
        <f t="shared" si="48"/>
        <v>473</v>
      </c>
      <c r="B475" s="3047" t="s">
        <v>3084</v>
      </c>
      <c r="C475" s="3047" t="s">
        <v>3513</v>
      </c>
      <c r="D475" s="3047" t="s">
        <v>3539</v>
      </c>
      <c r="E475" s="3047" t="str">
        <f t="shared" si="50"/>
        <v>产权式酒店</v>
      </c>
      <c r="F475" s="3047" t="str">
        <f t="shared" si="50"/>
        <v>钢混</v>
      </c>
      <c r="G475" s="3047">
        <v>86.24</v>
      </c>
      <c r="H475" s="3159"/>
      <c r="I475" s="3047" t="s">
        <v>3088</v>
      </c>
    </row>
    <row r="476" spans="1:9" ht="22.5" hidden="1" customHeight="1">
      <c r="A476" s="3046">
        <f t="shared" si="48"/>
        <v>474</v>
      </c>
      <c r="B476" s="3047" t="s">
        <v>3084</v>
      </c>
      <c r="C476" s="3047" t="s">
        <v>3513</v>
      </c>
      <c r="D476" s="3047" t="s">
        <v>3540</v>
      </c>
      <c r="E476" s="3047" t="str">
        <f t="shared" si="50"/>
        <v>产权式酒店</v>
      </c>
      <c r="F476" s="3047" t="str">
        <f t="shared" si="50"/>
        <v>钢混</v>
      </c>
      <c r="G476" s="3047">
        <v>86.24</v>
      </c>
      <c r="H476" s="3159"/>
      <c r="I476" s="3047" t="s">
        <v>3088</v>
      </c>
    </row>
    <row r="477" spans="1:9" ht="22.5" hidden="1" customHeight="1">
      <c r="A477" s="3046">
        <f t="shared" si="48"/>
        <v>475</v>
      </c>
      <c r="B477" s="3047" t="s">
        <v>3084</v>
      </c>
      <c r="C477" s="3047" t="s">
        <v>3513</v>
      </c>
      <c r="D477" s="3047" t="s">
        <v>3541</v>
      </c>
      <c r="E477" s="3047" t="str">
        <f t="shared" si="50"/>
        <v>产权式酒店</v>
      </c>
      <c r="F477" s="3047" t="str">
        <f t="shared" si="50"/>
        <v>钢混</v>
      </c>
      <c r="G477" s="3047">
        <v>86.24</v>
      </c>
      <c r="H477" s="3159"/>
      <c r="I477" s="3047" t="s">
        <v>3088</v>
      </c>
    </row>
    <row r="478" spans="1:9" ht="22.5" hidden="1" customHeight="1">
      <c r="A478" s="3046">
        <f t="shared" si="48"/>
        <v>476</v>
      </c>
      <c r="B478" s="3047" t="s">
        <v>3084</v>
      </c>
      <c r="C478" s="3047" t="s">
        <v>3513</v>
      </c>
      <c r="D478" s="3047" t="s">
        <v>3542</v>
      </c>
      <c r="E478" s="3047" t="str">
        <f t="shared" si="50"/>
        <v>产权式酒店</v>
      </c>
      <c r="F478" s="3047" t="str">
        <f t="shared" si="50"/>
        <v>钢混</v>
      </c>
      <c r="G478" s="3047">
        <v>83.54</v>
      </c>
      <c r="H478" s="3159"/>
      <c r="I478" s="3047" t="s">
        <v>3088</v>
      </c>
    </row>
    <row r="479" spans="1:9" ht="22.5" hidden="1" customHeight="1">
      <c r="A479" s="3046">
        <f t="shared" si="48"/>
        <v>477</v>
      </c>
      <c r="B479" s="3047" t="s">
        <v>3084</v>
      </c>
      <c r="C479" s="3047" t="s">
        <v>3513</v>
      </c>
      <c r="D479" s="3047" t="s">
        <v>3543</v>
      </c>
      <c r="E479" s="3047" t="str">
        <f t="shared" si="50"/>
        <v>产权式酒店</v>
      </c>
      <c r="F479" s="3047" t="str">
        <f t="shared" si="50"/>
        <v>钢混</v>
      </c>
      <c r="G479" s="3047">
        <v>83.54</v>
      </c>
      <c r="H479" s="3159"/>
      <c r="I479" s="3047" t="s">
        <v>3088</v>
      </c>
    </row>
    <row r="480" spans="1:9" ht="22.5" hidden="1" customHeight="1">
      <c r="A480" s="3046">
        <f t="shared" si="48"/>
        <v>478</v>
      </c>
      <c r="B480" s="3047" t="s">
        <v>3084</v>
      </c>
      <c r="C480" s="3047" t="s">
        <v>3513</v>
      </c>
      <c r="D480" s="3047" t="s">
        <v>3544</v>
      </c>
      <c r="E480" s="3047" t="str">
        <f t="shared" si="50"/>
        <v>产权式酒店</v>
      </c>
      <c r="F480" s="3047" t="str">
        <f t="shared" si="50"/>
        <v>钢混</v>
      </c>
      <c r="G480" s="3047">
        <v>83.54</v>
      </c>
      <c r="H480" s="3159"/>
      <c r="I480" s="3047" t="s">
        <v>3088</v>
      </c>
    </row>
    <row r="481" spans="1:10" ht="22.5" hidden="1" customHeight="1">
      <c r="A481" s="3046">
        <f t="shared" si="48"/>
        <v>479</v>
      </c>
      <c r="B481" s="3047" t="s">
        <v>3084</v>
      </c>
      <c r="C481" s="3047" t="s">
        <v>3513</v>
      </c>
      <c r="D481" s="3047" t="s">
        <v>3545</v>
      </c>
      <c r="E481" s="3047" t="str">
        <f t="shared" si="50"/>
        <v>产权式酒店</v>
      </c>
      <c r="F481" s="3047" t="str">
        <f t="shared" si="50"/>
        <v>钢混</v>
      </c>
      <c r="G481" s="3047">
        <v>83.54</v>
      </c>
      <c r="H481" s="3159"/>
      <c r="I481" s="3047" t="s">
        <v>3088</v>
      </c>
    </row>
    <row r="482" spans="1:10" ht="22.5" hidden="1" customHeight="1">
      <c r="A482" s="3046">
        <f t="shared" si="48"/>
        <v>480</v>
      </c>
      <c r="B482" s="3047" t="s">
        <v>3084</v>
      </c>
      <c r="C482" s="3047" t="s">
        <v>3513</v>
      </c>
      <c r="D482" s="3047" t="s">
        <v>3546</v>
      </c>
      <c r="E482" s="3047" t="str">
        <f t="shared" si="50"/>
        <v>产权式酒店</v>
      </c>
      <c r="F482" s="3047" t="str">
        <f t="shared" si="50"/>
        <v>钢混</v>
      </c>
      <c r="G482" s="3047">
        <v>83.54</v>
      </c>
      <c r="H482" s="3159"/>
      <c r="I482" s="3047" t="s">
        <v>3088</v>
      </c>
    </row>
    <row r="483" spans="1:10" ht="22.5" hidden="1" customHeight="1">
      <c r="A483" s="3046">
        <f t="shared" si="48"/>
        <v>481</v>
      </c>
      <c r="B483" s="3047" t="s">
        <v>3084</v>
      </c>
      <c r="C483" s="3047" t="s">
        <v>3513</v>
      </c>
      <c r="D483" s="3047" t="s">
        <v>3547</v>
      </c>
      <c r="E483" s="3047" t="str">
        <f t="shared" si="50"/>
        <v>产权式酒店</v>
      </c>
      <c r="F483" s="3047" t="str">
        <f t="shared" si="50"/>
        <v>钢混</v>
      </c>
      <c r="G483" s="3047">
        <v>83.54</v>
      </c>
      <c r="H483" s="3155"/>
      <c r="I483" s="3047" t="s">
        <v>3088</v>
      </c>
      <c r="J483" s="3045">
        <f>SUM(G3:G483)</f>
        <v>55609.830000000169</v>
      </c>
    </row>
    <row r="484" spans="1:10" ht="22.5" customHeight="1">
      <c r="A484" s="3046">
        <v>1</v>
      </c>
      <c r="B484" s="3047" t="s">
        <v>3084</v>
      </c>
      <c r="C484" s="3047" t="s">
        <v>3611</v>
      </c>
      <c r="D484" s="3047" t="s">
        <v>3548</v>
      </c>
      <c r="E484" s="3047" t="s">
        <v>3549</v>
      </c>
      <c r="F484" s="3047" t="str">
        <f t="shared" si="50"/>
        <v>钢混</v>
      </c>
      <c r="G484" s="3047">
        <v>1561.71</v>
      </c>
      <c r="H484" s="3047">
        <f>G484</f>
        <v>1561.71</v>
      </c>
      <c r="I484" s="3047" t="s">
        <v>3088</v>
      </c>
      <c r="J484" s="3045">
        <v>2</v>
      </c>
    </row>
    <row r="485" spans="1:10" ht="22.5" customHeight="1">
      <c r="A485" s="3046">
        <f t="shared" si="48"/>
        <v>2</v>
      </c>
      <c r="B485" s="3047" t="s">
        <v>3084</v>
      </c>
      <c r="C485" s="3047" t="s">
        <v>3550</v>
      </c>
      <c r="D485" s="3047" t="s">
        <v>3551</v>
      </c>
      <c r="E485" s="3047" t="str">
        <f>E484</f>
        <v>商业服务</v>
      </c>
      <c r="F485" s="3047" t="str">
        <f t="shared" ref="F485:F512" si="51">F484</f>
        <v>钢混</v>
      </c>
      <c r="G485" s="3047">
        <v>227.67</v>
      </c>
      <c r="H485" s="3047">
        <f t="shared" ref="H485:H512" si="52">G485</f>
        <v>227.67</v>
      </c>
      <c r="I485" s="3047" t="s">
        <v>3088</v>
      </c>
      <c r="J485" s="3045">
        <v>2</v>
      </c>
    </row>
    <row r="486" spans="1:10" ht="22.5" customHeight="1">
      <c r="A486" s="3046">
        <f t="shared" si="48"/>
        <v>3</v>
      </c>
      <c r="B486" s="3047" t="s">
        <v>3084</v>
      </c>
      <c r="C486" s="3047" t="s">
        <v>3552</v>
      </c>
      <c r="D486" s="3047" t="s">
        <v>3552</v>
      </c>
      <c r="E486" s="3047" t="str">
        <f t="shared" ref="E486:E512" si="53">E485</f>
        <v>商业服务</v>
      </c>
      <c r="F486" s="3047" t="str">
        <f t="shared" si="51"/>
        <v>钢混</v>
      </c>
      <c r="G486" s="3047">
        <v>227.67</v>
      </c>
      <c r="H486" s="3047">
        <f t="shared" si="52"/>
        <v>227.67</v>
      </c>
      <c r="I486" s="3047" t="s">
        <v>3088</v>
      </c>
      <c r="J486" s="3045">
        <v>2</v>
      </c>
    </row>
    <row r="487" spans="1:10" ht="22.5" customHeight="1">
      <c r="A487" s="3046">
        <f t="shared" si="48"/>
        <v>4</v>
      </c>
      <c r="B487" s="3047" t="s">
        <v>3084</v>
      </c>
      <c r="C487" s="3047" t="s">
        <v>3553</v>
      </c>
      <c r="D487" s="3047" t="s">
        <v>3553</v>
      </c>
      <c r="E487" s="3047" t="str">
        <f t="shared" si="53"/>
        <v>商业服务</v>
      </c>
      <c r="F487" s="3047" t="str">
        <f t="shared" si="51"/>
        <v>钢混</v>
      </c>
      <c r="G487" s="3047">
        <v>109.93</v>
      </c>
      <c r="H487" s="3047">
        <f t="shared" si="52"/>
        <v>109.93</v>
      </c>
      <c r="I487" s="3047" t="s">
        <v>3088</v>
      </c>
      <c r="J487" s="3045">
        <v>1</v>
      </c>
    </row>
    <row r="488" spans="1:10" ht="22.5" customHeight="1">
      <c r="A488" s="3046">
        <f t="shared" si="48"/>
        <v>5</v>
      </c>
      <c r="B488" s="3047" t="s">
        <v>3084</v>
      </c>
      <c r="C488" s="3047" t="s">
        <v>3554</v>
      </c>
      <c r="D488" s="3047" t="s">
        <v>3554</v>
      </c>
      <c r="E488" s="3047" t="str">
        <f t="shared" si="53"/>
        <v>商业服务</v>
      </c>
      <c r="F488" s="3047" t="str">
        <f t="shared" si="51"/>
        <v>钢混</v>
      </c>
      <c r="G488" s="3047">
        <v>109.93</v>
      </c>
      <c r="H488" s="3047">
        <f t="shared" si="52"/>
        <v>109.93</v>
      </c>
      <c r="I488" s="3047" t="s">
        <v>3088</v>
      </c>
      <c r="J488" s="3045">
        <v>1</v>
      </c>
    </row>
    <row r="489" spans="1:10" ht="22.5" customHeight="1">
      <c r="A489" s="3046">
        <f t="shared" si="48"/>
        <v>6</v>
      </c>
      <c r="B489" s="3047" t="s">
        <v>3084</v>
      </c>
      <c r="C489" s="3047" t="s">
        <v>3555</v>
      </c>
      <c r="D489" s="3047" t="s">
        <v>3555</v>
      </c>
      <c r="E489" s="3047" t="str">
        <f t="shared" si="53"/>
        <v>商业服务</v>
      </c>
      <c r="F489" s="3047" t="str">
        <f t="shared" si="51"/>
        <v>钢混</v>
      </c>
      <c r="G489" s="3047">
        <v>109.93</v>
      </c>
      <c r="H489" s="3047">
        <f t="shared" si="52"/>
        <v>109.93</v>
      </c>
      <c r="I489" s="3047" t="s">
        <v>3088</v>
      </c>
      <c r="J489" s="3045">
        <v>1</v>
      </c>
    </row>
    <row r="490" spans="1:10" ht="22.5" customHeight="1">
      <c r="A490" s="3046">
        <f t="shared" si="48"/>
        <v>7</v>
      </c>
      <c r="B490" s="3047" t="s">
        <v>3084</v>
      </c>
      <c r="C490" s="3047" t="s">
        <v>3556</v>
      </c>
      <c r="D490" s="3047" t="s">
        <v>3556</v>
      </c>
      <c r="E490" s="3047" t="str">
        <f t="shared" si="53"/>
        <v>商业服务</v>
      </c>
      <c r="F490" s="3047" t="str">
        <f t="shared" si="51"/>
        <v>钢混</v>
      </c>
      <c r="G490" s="3047">
        <v>109.93</v>
      </c>
      <c r="H490" s="3047">
        <f t="shared" si="52"/>
        <v>109.93</v>
      </c>
      <c r="I490" s="3047" t="s">
        <v>3088</v>
      </c>
      <c r="J490" s="3045">
        <v>1</v>
      </c>
    </row>
    <row r="491" spans="1:10" ht="22.5" customHeight="1">
      <c r="A491" s="3046">
        <f t="shared" si="48"/>
        <v>8</v>
      </c>
      <c r="B491" s="3047" t="s">
        <v>3084</v>
      </c>
      <c r="C491" s="3047" t="s">
        <v>3557</v>
      </c>
      <c r="D491" s="3047" t="s">
        <v>3557</v>
      </c>
      <c r="E491" s="3047" t="str">
        <f t="shared" si="53"/>
        <v>商业服务</v>
      </c>
      <c r="F491" s="3047" t="str">
        <f t="shared" si="51"/>
        <v>钢混</v>
      </c>
      <c r="G491" s="3047">
        <v>2149.84</v>
      </c>
      <c r="H491" s="3047">
        <f t="shared" si="52"/>
        <v>2149.84</v>
      </c>
      <c r="I491" s="3047" t="s">
        <v>3088</v>
      </c>
      <c r="J491" s="3045">
        <v>2</v>
      </c>
    </row>
    <row r="492" spans="1:10" ht="22.5" customHeight="1">
      <c r="A492" s="3046">
        <f t="shared" si="48"/>
        <v>9</v>
      </c>
      <c r="B492" s="3047" t="s">
        <v>3084</v>
      </c>
      <c r="C492" s="3047" t="s">
        <v>3558</v>
      </c>
      <c r="D492" s="3047" t="s">
        <v>3558</v>
      </c>
      <c r="E492" s="3047" t="str">
        <f t="shared" si="53"/>
        <v>商业服务</v>
      </c>
      <c r="F492" s="3047" t="str">
        <f t="shared" si="51"/>
        <v>钢混</v>
      </c>
      <c r="G492" s="3047">
        <v>239.43</v>
      </c>
      <c r="H492" s="3047">
        <f t="shared" si="52"/>
        <v>239.43</v>
      </c>
      <c r="I492" s="3047" t="s">
        <v>3088</v>
      </c>
      <c r="J492" s="3045">
        <v>2</v>
      </c>
    </row>
    <row r="493" spans="1:10" ht="22.5" customHeight="1">
      <c r="A493" s="3046">
        <f t="shared" si="48"/>
        <v>10</v>
      </c>
      <c r="B493" s="3047" t="s">
        <v>3084</v>
      </c>
      <c r="C493" s="3047" t="s">
        <v>3559</v>
      </c>
      <c r="D493" s="3047" t="s">
        <v>3559</v>
      </c>
      <c r="E493" s="3047" t="str">
        <f t="shared" si="53"/>
        <v>商业服务</v>
      </c>
      <c r="F493" s="3047" t="str">
        <f t="shared" si="51"/>
        <v>钢混</v>
      </c>
      <c r="G493" s="3047">
        <v>239.43</v>
      </c>
      <c r="H493" s="3047">
        <f t="shared" si="52"/>
        <v>239.43</v>
      </c>
      <c r="I493" s="3047" t="s">
        <v>3088</v>
      </c>
      <c r="J493" s="3045">
        <v>2</v>
      </c>
    </row>
    <row r="494" spans="1:10" ht="22.5" customHeight="1">
      <c r="A494" s="3046">
        <f t="shared" si="48"/>
        <v>11</v>
      </c>
      <c r="B494" s="3047" t="s">
        <v>3084</v>
      </c>
      <c r="C494" s="3047" t="s">
        <v>3560</v>
      </c>
      <c r="D494" s="3047" t="s">
        <v>3560</v>
      </c>
      <c r="E494" s="3047" t="str">
        <f t="shared" si="53"/>
        <v>商业服务</v>
      </c>
      <c r="F494" s="3047" t="str">
        <f t="shared" si="51"/>
        <v>钢混</v>
      </c>
      <c r="G494" s="3047">
        <v>123</v>
      </c>
      <c r="H494" s="3047">
        <f t="shared" si="52"/>
        <v>123</v>
      </c>
      <c r="I494" s="3047" t="s">
        <v>3088</v>
      </c>
      <c r="J494" s="3045">
        <v>1</v>
      </c>
    </row>
    <row r="495" spans="1:10" ht="22.5" customHeight="1">
      <c r="A495" s="3046">
        <f t="shared" si="48"/>
        <v>12</v>
      </c>
      <c r="B495" s="3047" t="s">
        <v>3084</v>
      </c>
      <c r="C495" s="3047" t="s">
        <v>3561</v>
      </c>
      <c r="D495" s="3047" t="s">
        <v>3561</v>
      </c>
      <c r="E495" s="3047" t="str">
        <f t="shared" si="53"/>
        <v>商业服务</v>
      </c>
      <c r="F495" s="3047" t="str">
        <f t="shared" si="51"/>
        <v>钢混</v>
      </c>
      <c r="G495" s="3047">
        <v>123</v>
      </c>
      <c r="H495" s="3047">
        <f t="shared" si="52"/>
        <v>123</v>
      </c>
      <c r="I495" s="3047" t="s">
        <v>3088</v>
      </c>
      <c r="J495" s="3045">
        <v>1</v>
      </c>
    </row>
    <row r="496" spans="1:10" ht="22.5" customHeight="1">
      <c r="A496" s="3046">
        <f t="shared" si="48"/>
        <v>13</v>
      </c>
      <c r="B496" s="3047" t="s">
        <v>3084</v>
      </c>
      <c r="C496" s="3047" t="s">
        <v>3562</v>
      </c>
      <c r="D496" s="3047" t="s">
        <v>3562</v>
      </c>
      <c r="E496" s="3047" t="str">
        <f t="shared" si="53"/>
        <v>商业服务</v>
      </c>
      <c r="F496" s="3047" t="str">
        <f t="shared" si="51"/>
        <v>钢混</v>
      </c>
      <c r="G496" s="3047">
        <v>123</v>
      </c>
      <c r="H496" s="3047">
        <f t="shared" si="52"/>
        <v>123</v>
      </c>
      <c r="I496" s="3047" t="s">
        <v>3088</v>
      </c>
      <c r="J496" s="3045">
        <v>1</v>
      </c>
    </row>
    <row r="497" spans="1:12" ht="22.5" customHeight="1">
      <c r="A497" s="3046">
        <f t="shared" si="48"/>
        <v>14</v>
      </c>
      <c r="B497" s="3047" t="s">
        <v>3084</v>
      </c>
      <c r="C497" s="3047" t="s">
        <v>3563</v>
      </c>
      <c r="D497" s="3047" t="s">
        <v>3563</v>
      </c>
      <c r="E497" s="3047" t="str">
        <f t="shared" si="53"/>
        <v>商业服务</v>
      </c>
      <c r="F497" s="3047" t="str">
        <f t="shared" si="51"/>
        <v>钢混</v>
      </c>
      <c r="G497" s="3047">
        <v>123</v>
      </c>
      <c r="H497" s="3047">
        <f t="shared" si="52"/>
        <v>123</v>
      </c>
      <c r="I497" s="3047" t="s">
        <v>3088</v>
      </c>
      <c r="J497" s="3045">
        <v>1</v>
      </c>
    </row>
    <row r="498" spans="1:12" ht="22.5" customHeight="1">
      <c r="A498" s="3046">
        <f t="shared" si="48"/>
        <v>15</v>
      </c>
      <c r="B498" s="3047" t="s">
        <v>3084</v>
      </c>
      <c r="C498" s="3047" t="s">
        <v>3564</v>
      </c>
      <c r="D498" s="3047" t="s">
        <v>3564</v>
      </c>
      <c r="E498" s="3047" t="str">
        <f t="shared" si="53"/>
        <v>商业服务</v>
      </c>
      <c r="F498" s="3047" t="str">
        <f t="shared" si="51"/>
        <v>钢混</v>
      </c>
      <c r="G498" s="3047">
        <v>2281.75</v>
      </c>
      <c r="H498" s="3047">
        <f t="shared" si="52"/>
        <v>2281.75</v>
      </c>
      <c r="I498" s="3047" t="s">
        <v>3088</v>
      </c>
      <c r="J498" s="3045">
        <v>2</v>
      </c>
      <c r="K498" s="3045">
        <v>230.54</v>
      </c>
      <c r="L498" s="3053">
        <v>2</v>
      </c>
    </row>
    <row r="499" spans="1:12" ht="22.5" customHeight="1">
      <c r="A499" s="3046">
        <f t="shared" si="48"/>
        <v>16</v>
      </c>
      <c r="B499" s="3047" t="s">
        <v>3084</v>
      </c>
      <c r="C499" s="3047" t="s">
        <v>3565</v>
      </c>
      <c r="D499" s="3047" t="s">
        <v>3565</v>
      </c>
      <c r="E499" s="3047" t="str">
        <f t="shared" si="53"/>
        <v>商业服务</v>
      </c>
      <c r="F499" s="3047" t="str">
        <f t="shared" si="51"/>
        <v>钢混</v>
      </c>
      <c r="G499" s="3047">
        <v>1964.12</v>
      </c>
      <c r="H499" s="3047">
        <f t="shared" si="52"/>
        <v>1964.12</v>
      </c>
      <c r="I499" s="3047" t="s">
        <v>3088</v>
      </c>
      <c r="J499" s="3045">
        <v>2</v>
      </c>
      <c r="K499" s="3045">
        <v>118.29</v>
      </c>
      <c r="L499" s="3045">
        <v>4</v>
      </c>
    </row>
    <row r="500" spans="1:12" ht="22.5" customHeight="1">
      <c r="A500" s="3046">
        <f t="shared" si="48"/>
        <v>17</v>
      </c>
      <c r="B500" s="3047" t="s">
        <v>3084</v>
      </c>
      <c r="C500" s="3047" t="s">
        <v>3566</v>
      </c>
      <c r="D500" s="3047" t="s">
        <v>3566</v>
      </c>
      <c r="E500" s="3047" t="str">
        <f t="shared" si="53"/>
        <v>商业服务</v>
      </c>
      <c r="F500" s="3047" t="str">
        <f t="shared" si="51"/>
        <v>钢混</v>
      </c>
      <c r="G500" s="3047">
        <v>236.04</v>
      </c>
      <c r="H500" s="3047">
        <f t="shared" si="52"/>
        <v>236.04</v>
      </c>
      <c r="I500" s="3047" t="s">
        <v>3088</v>
      </c>
      <c r="J500" s="3045">
        <v>2</v>
      </c>
      <c r="K500" s="3045">
        <f>K498*L498+K499*L499</f>
        <v>934.24</v>
      </c>
    </row>
    <row r="501" spans="1:12" ht="22.5" customHeight="1">
      <c r="A501" s="3046">
        <f t="shared" si="48"/>
        <v>18</v>
      </c>
      <c r="B501" s="3047" t="s">
        <v>3084</v>
      </c>
      <c r="C501" s="3047" t="s">
        <v>3567</v>
      </c>
      <c r="D501" s="3047" t="s">
        <v>3567</v>
      </c>
      <c r="E501" s="3047" t="str">
        <f t="shared" si="53"/>
        <v>商业服务</v>
      </c>
      <c r="F501" s="3047" t="str">
        <f t="shared" si="51"/>
        <v>钢混</v>
      </c>
      <c r="G501" s="3047">
        <v>236.04</v>
      </c>
      <c r="H501" s="3047">
        <f t="shared" si="52"/>
        <v>236.04</v>
      </c>
      <c r="I501" s="3047" t="s">
        <v>3088</v>
      </c>
      <c r="J501" s="3045">
        <v>2</v>
      </c>
    </row>
    <row r="502" spans="1:12" ht="22.5" customHeight="1">
      <c r="A502" s="3046">
        <f t="shared" si="48"/>
        <v>19</v>
      </c>
      <c r="B502" s="3047" t="s">
        <v>3084</v>
      </c>
      <c r="C502" s="3047" t="s">
        <v>3568</v>
      </c>
      <c r="D502" s="3047" t="s">
        <v>3568</v>
      </c>
      <c r="E502" s="3047" t="str">
        <f t="shared" si="53"/>
        <v>商业服务</v>
      </c>
      <c r="F502" s="3047" t="str">
        <f t="shared" si="51"/>
        <v>钢混</v>
      </c>
      <c r="G502" s="3047">
        <v>109.96</v>
      </c>
      <c r="H502" s="3047">
        <f t="shared" si="52"/>
        <v>109.96</v>
      </c>
      <c r="I502" s="3047" t="s">
        <v>3088</v>
      </c>
      <c r="J502" s="3045">
        <v>1</v>
      </c>
    </row>
    <row r="503" spans="1:12" ht="22.5" customHeight="1">
      <c r="A503" s="3046">
        <f t="shared" si="48"/>
        <v>20</v>
      </c>
      <c r="B503" s="3047" t="s">
        <v>3084</v>
      </c>
      <c r="C503" s="3047" t="s">
        <v>3569</v>
      </c>
      <c r="D503" s="3047" t="s">
        <v>3569</v>
      </c>
      <c r="E503" s="3047" t="str">
        <f t="shared" si="53"/>
        <v>商业服务</v>
      </c>
      <c r="F503" s="3047" t="str">
        <f t="shared" si="51"/>
        <v>钢混</v>
      </c>
      <c r="G503" s="3047">
        <v>109.96</v>
      </c>
      <c r="H503" s="3047">
        <f t="shared" si="52"/>
        <v>109.96</v>
      </c>
      <c r="I503" s="3047" t="s">
        <v>3088</v>
      </c>
      <c r="J503" s="3045">
        <v>1</v>
      </c>
    </row>
    <row r="504" spans="1:12" ht="22.5" customHeight="1">
      <c r="A504" s="3046">
        <f t="shared" si="48"/>
        <v>21</v>
      </c>
      <c r="B504" s="3047" t="s">
        <v>3084</v>
      </c>
      <c r="C504" s="3047" t="s">
        <v>3570</v>
      </c>
      <c r="D504" s="3047" t="s">
        <v>3570</v>
      </c>
      <c r="E504" s="3047" t="str">
        <f t="shared" si="53"/>
        <v>商业服务</v>
      </c>
      <c r="F504" s="3047" t="str">
        <f t="shared" si="51"/>
        <v>钢混</v>
      </c>
      <c r="G504" s="3047">
        <v>109.96</v>
      </c>
      <c r="H504" s="3047">
        <f t="shared" si="52"/>
        <v>109.96</v>
      </c>
      <c r="I504" s="3047" t="s">
        <v>3088</v>
      </c>
      <c r="J504" s="3045">
        <v>1</v>
      </c>
    </row>
    <row r="505" spans="1:12" ht="22.5" customHeight="1">
      <c r="A505" s="3046">
        <f t="shared" si="48"/>
        <v>22</v>
      </c>
      <c r="B505" s="3047" t="s">
        <v>3084</v>
      </c>
      <c r="C505" s="3047" t="s">
        <v>3571</v>
      </c>
      <c r="D505" s="3047" t="s">
        <v>3571</v>
      </c>
      <c r="E505" s="3047" t="str">
        <f t="shared" si="53"/>
        <v>商业服务</v>
      </c>
      <c r="F505" s="3047" t="str">
        <f t="shared" si="51"/>
        <v>钢混</v>
      </c>
      <c r="G505" s="3047">
        <v>109.96</v>
      </c>
      <c r="H505" s="3047">
        <f t="shared" si="52"/>
        <v>109.96</v>
      </c>
      <c r="I505" s="3047" t="s">
        <v>3088</v>
      </c>
      <c r="J505" s="3045">
        <v>1</v>
      </c>
    </row>
    <row r="506" spans="1:12" ht="22.5" customHeight="1">
      <c r="A506" s="3046">
        <f t="shared" si="48"/>
        <v>23</v>
      </c>
      <c r="B506" s="3047" t="s">
        <v>3084</v>
      </c>
      <c r="C506" s="3047" t="s">
        <v>3572</v>
      </c>
      <c r="D506" s="3047" t="s">
        <v>3572</v>
      </c>
      <c r="E506" s="3047" t="str">
        <f t="shared" si="53"/>
        <v>商业服务</v>
      </c>
      <c r="F506" s="3047" t="str">
        <f t="shared" si="51"/>
        <v>钢混</v>
      </c>
      <c r="G506" s="3047">
        <v>2215.2800000000002</v>
      </c>
      <c r="H506" s="3047">
        <f t="shared" si="52"/>
        <v>2215.2800000000002</v>
      </c>
      <c r="I506" s="3047" t="s">
        <v>3088</v>
      </c>
      <c r="J506" s="3045">
        <v>2</v>
      </c>
      <c r="K506" s="3045">
        <v>548.35</v>
      </c>
    </row>
    <row r="507" spans="1:12" ht="22.5" customHeight="1">
      <c r="A507" s="3046">
        <f t="shared" si="48"/>
        <v>24</v>
      </c>
      <c r="B507" s="3047" t="s">
        <v>3084</v>
      </c>
      <c r="C507" s="3047" t="s">
        <v>3573</v>
      </c>
      <c r="D507" s="3047" t="s">
        <v>3573</v>
      </c>
      <c r="E507" s="3047" t="str">
        <f t="shared" si="53"/>
        <v>商业服务</v>
      </c>
      <c r="F507" s="3047" t="str">
        <f t="shared" si="51"/>
        <v>钢混</v>
      </c>
      <c r="G507" s="3047">
        <v>207.4</v>
      </c>
      <c r="H507" s="3047">
        <f t="shared" si="52"/>
        <v>207.4</v>
      </c>
      <c r="I507" s="3047" t="s">
        <v>3088</v>
      </c>
      <c r="J507" s="3045">
        <v>2</v>
      </c>
    </row>
    <row r="508" spans="1:12" ht="22.5" customHeight="1">
      <c r="A508" s="3046">
        <f t="shared" si="48"/>
        <v>25</v>
      </c>
      <c r="B508" s="3047" t="s">
        <v>3084</v>
      </c>
      <c r="C508" s="3047" t="s">
        <v>3574</v>
      </c>
      <c r="D508" s="3047" t="s">
        <v>3574</v>
      </c>
      <c r="E508" s="3047" t="str">
        <f t="shared" si="53"/>
        <v>商业服务</v>
      </c>
      <c r="F508" s="3047" t="str">
        <f t="shared" si="51"/>
        <v>钢混</v>
      </c>
      <c r="G508" s="3047">
        <v>207.4</v>
      </c>
      <c r="H508" s="3047">
        <f t="shared" si="52"/>
        <v>207.4</v>
      </c>
      <c r="I508" s="3047" t="s">
        <v>3088</v>
      </c>
      <c r="J508" s="3045">
        <v>2</v>
      </c>
    </row>
    <row r="509" spans="1:12" ht="22.5" customHeight="1">
      <c r="A509" s="3046">
        <f t="shared" si="48"/>
        <v>26</v>
      </c>
      <c r="B509" s="3047" t="s">
        <v>3084</v>
      </c>
      <c r="C509" s="3047" t="s">
        <v>3575</v>
      </c>
      <c r="D509" s="3047" t="s">
        <v>3575</v>
      </c>
      <c r="E509" s="3047" t="str">
        <f t="shared" si="53"/>
        <v>商业服务</v>
      </c>
      <c r="F509" s="3047" t="str">
        <f t="shared" si="51"/>
        <v>钢混</v>
      </c>
      <c r="G509" s="3047">
        <v>116.13</v>
      </c>
      <c r="H509" s="3047">
        <f t="shared" si="52"/>
        <v>116.13</v>
      </c>
      <c r="I509" s="3047" t="s">
        <v>3088</v>
      </c>
      <c r="J509" s="3045">
        <v>1</v>
      </c>
    </row>
    <row r="510" spans="1:12" ht="22.5" customHeight="1">
      <c r="A510" s="3046">
        <f t="shared" si="48"/>
        <v>27</v>
      </c>
      <c r="B510" s="3047" t="s">
        <v>3084</v>
      </c>
      <c r="C510" s="3047" t="s">
        <v>3576</v>
      </c>
      <c r="D510" s="3047" t="s">
        <v>3576</v>
      </c>
      <c r="E510" s="3047" t="str">
        <f t="shared" si="53"/>
        <v>商业服务</v>
      </c>
      <c r="F510" s="3047" t="str">
        <f t="shared" si="51"/>
        <v>钢混</v>
      </c>
      <c r="G510" s="3047">
        <v>116.13</v>
      </c>
      <c r="H510" s="3047">
        <f t="shared" si="52"/>
        <v>116.13</v>
      </c>
      <c r="I510" s="3047" t="s">
        <v>3088</v>
      </c>
      <c r="J510" s="3045">
        <v>1</v>
      </c>
    </row>
    <row r="511" spans="1:12" ht="22.5" customHeight="1">
      <c r="A511" s="3046">
        <f t="shared" si="48"/>
        <v>28</v>
      </c>
      <c r="B511" s="3047" t="s">
        <v>3084</v>
      </c>
      <c r="C511" s="3047" t="s">
        <v>3577</v>
      </c>
      <c r="D511" s="3047" t="s">
        <v>3577</v>
      </c>
      <c r="E511" s="3047" t="str">
        <f t="shared" si="53"/>
        <v>商业服务</v>
      </c>
      <c r="F511" s="3047" t="str">
        <f t="shared" si="51"/>
        <v>钢混</v>
      </c>
      <c r="G511" s="3047">
        <v>116.13</v>
      </c>
      <c r="H511" s="3047">
        <f t="shared" si="52"/>
        <v>116.13</v>
      </c>
      <c r="I511" s="3047" t="s">
        <v>3088</v>
      </c>
      <c r="J511" s="3045">
        <v>1</v>
      </c>
    </row>
    <row r="512" spans="1:12" ht="22.5" customHeight="1">
      <c r="A512" s="3046">
        <f t="shared" si="48"/>
        <v>29</v>
      </c>
      <c r="B512" s="3047" t="s">
        <v>3084</v>
      </c>
      <c r="C512" s="3047" t="s">
        <v>3578</v>
      </c>
      <c r="D512" s="3047" t="s">
        <v>3578</v>
      </c>
      <c r="E512" s="3047" t="str">
        <f t="shared" si="53"/>
        <v>商业服务</v>
      </c>
      <c r="F512" s="3047" t="str">
        <f t="shared" si="51"/>
        <v>钢混</v>
      </c>
      <c r="G512" s="3047">
        <v>116.13</v>
      </c>
      <c r="H512" s="3047">
        <f t="shared" si="52"/>
        <v>116.13</v>
      </c>
      <c r="I512" s="3047" t="s">
        <v>3088</v>
      </c>
      <c r="J512" s="3045">
        <v>1</v>
      </c>
      <c r="L512" s="3045">
        <f>SUM(G484:G512)</f>
        <v>13829.859999999995</v>
      </c>
    </row>
    <row r="513" spans="1:11" ht="26.25" customHeight="1">
      <c r="A513" s="3160" t="s">
        <v>37</v>
      </c>
      <c r="B513" s="3161"/>
      <c r="C513" s="3161"/>
      <c r="D513" s="3161"/>
      <c r="E513" s="3161"/>
      <c r="F513" s="3162"/>
      <c r="G513" s="3046">
        <f>SUM(G3:G512)</f>
        <v>69439.690000000192</v>
      </c>
      <c r="H513" s="3046">
        <f>SUM(H3:H512)</f>
        <v>89328.649999999965</v>
      </c>
      <c r="I513" s="3052"/>
      <c r="K513" s="3045">
        <f>K500+L512</f>
        <v>14764.099999999995</v>
      </c>
    </row>
    <row r="514" spans="1:11" ht="25.5" customHeight="1">
      <c r="A514" s="3163" t="s">
        <v>3579</v>
      </c>
      <c r="B514" s="3163"/>
      <c r="C514" s="3163" t="s">
        <v>3580</v>
      </c>
      <c r="D514" s="3163"/>
      <c r="E514" s="3163"/>
      <c r="F514" s="3163"/>
      <c r="G514" s="3163"/>
      <c r="H514" s="3163"/>
      <c r="I514" s="3163"/>
    </row>
    <row r="515" spans="1:11" ht="33" customHeight="1">
      <c r="A515" s="3163" t="s">
        <v>3581</v>
      </c>
      <c r="B515" s="3163"/>
      <c r="C515" s="3163" t="s">
        <v>3582</v>
      </c>
      <c r="D515" s="3163"/>
      <c r="E515" s="3163"/>
      <c r="F515" s="3163"/>
      <c r="G515" s="3163"/>
      <c r="H515" s="3163"/>
      <c r="I515" s="3163"/>
    </row>
  </sheetData>
  <mergeCells count="42">
    <mergeCell ref="H450:H483"/>
    <mergeCell ref="A513:F513"/>
    <mergeCell ref="A514:B514"/>
    <mergeCell ref="C514:I514"/>
    <mergeCell ref="A515:B515"/>
    <mergeCell ref="C515:I515"/>
    <mergeCell ref="H422:H449"/>
    <mergeCell ref="H71:H106"/>
    <mergeCell ref="H107:H142"/>
    <mergeCell ref="H143:H178"/>
    <mergeCell ref="H179:H192"/>
    <mergeCell ref="H193:H228"/>
    <mergeCell ref="H229:H244"/>
    <mergeCell ref="H245:H277"/>
    <mergeCell ref="H278:H307"/>
    <mergeCell ref="H308:H343"/>
    <mergeCell ref="H344:H385"/>
    <mergeCell ref="H386:H421"/>
    <mergeCell ref="H47:H70"/>
    <mergeCell ref="H25:H26"/>
    <mergeCell ref="H27:H28"/>
    <mergeCell ref="H29:H30"/>
    <mergeCell ref="H31:H32"/>
    <mergeCell ref="H33:H34"/>
    <mergeCell ref="H35:H36"/>
    <mergeCell ref="H37:H38"/>
    <mergeCell ref="H39:H40"/>
    <mergeCell ref="H41:H42"/>
    <mergeCell ref="H43:H44"/>
    <mergeCell ref="H45:H46"/>
    <mergeCell ref="H23:H24"/>
    <mergeCell ref="A1:I1"/>
    <mergeCell ref="H3:H4"/>
    <mergeCell ref="H5:H6"/>
    <mergeCell ref="H7:H8"/>
    <mergeCell ref="H9:H10"/>
    <mergeCell ref="H11:H12"/>
    <mergeCell ref="H13:H14"/>
    <mergeCell ref="H15:H16"/>
    <mergeCell ref="H17:H18"/>
    <mergeCell ref="H19:H20"/>
    <mergeCell ref="H21:H22"/>
  </mergeCells>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6" sqref="D26"/>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573403.01</v>
      </c>
      <c r="C1" s="2917"/>
      <c r="D1" s="2917"/>
      <c r="E1" s="2917"/>
      <c r="F1" s="2917"/>
      <c r="G1" s="2918"/>
      <c r="H1" s="2919"/>
      <c r="I1" s="2919"/>
      <c r="J1" s="2919"/>
      <c r="K1" s="2919"/>
    </row>
    <row r="2" spans="1:11" ht="16.5">
      <c r="A2" s="2740" t="s">
        <v>1319</v>
      </c>
      <c r="B2" s="2740">
        <f>SUM(C14:C23)</f>
        <v>176231.7</v>
      </c>
      <c r="C2" s="2917"/>
      <c r="D2" s="2917"/>
      <c r="E2" s="2917"/>
      <c r="F2" s="2917"/>
      <c r="G2" s="2918"/>
      <c r="H2" s="2919"/>
      <c r="I2" s="2919"/>
      <c r="J2" s="2919"/>
      <c r="K2" s="2919"/>
    </row>
    <row r="3" spans="1:11" ht="16.5">
      <c r="A3" s="2740" t="s">
        <v>1328</v>
      </c>
      <c r="B3" s="2742">
        <f>项目基本情况!D3</f>
        <v>44187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167784</v>
      </c>
      <c r="C5" s="2740">
        <f ca="1">ROUND(B5*10000/$B$1,0)</f>
        <v>2926</v>
      </c>
      <c r="D5" s="2740">
        <f ca="1">ROUND(B5*10000/$B$2,0)</f>
        <v>9521</v>
      </c>
      <c r="E5" s="2917"/>
      <c r="F5" s="2918"/>
      <c r="G5" s="2918"/>
      <c r="H5" s="2919"/>
      <c r="I5" s="2919"/>
      <c r="J5" s="2919"/>
      <c r="K5" s="2919"/>
    </row>
    <row r="6" spans="1:11" ht="16.5">
      <c r="A6" s="2740" t="s">
        <v>1322</v>
      </c>
      <c r="B6" s="2740">
        <f ca="1">SUM(G14:G23)</f>
        <v>167784</v>
      </c>
      <c r="C6" s="2740">
        <f ca="1">ROUND(B6*10000/$B$1,0)</f>
        <v>2926</v>
      </c>
      <c r="D6" s="2740">
        <f ca="1">ROUND(B6*10000/$B$2,0)</f>
        <v>9521</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13829.859999999995</v>
      </c>
      <c r="C14" s="2746">
        <f>结果表!C118</f>
        <v>22306.23</v>
      </c>
      <c r="D14" s="2746">
        <f ca="1">结果表!H118</f>
        <v>12320</v>
      </c>
      <c r="E14" s="2746">
        <f ca="1">ROUND(D14*10000/B14,0)</f>
        <v>8908</v>
      </c>
      <c r="F14" s="2746">
        <f ca="1">ROUND(D14*10000/C14,0)</f>
        <v>5523</v>
      </c>
      <c r="G14" s="2746">
        <f ca="1">结果表!D122</f>
        <v>12320</v>
      </c>
      <c r="H14" s="2746" t="str">
        <f>结果表!D124</f>
        <v>——</v>
      </c>
      <c r="I14" s="2746" t="str">
        <f>结果表!D126</f>
        <v>——</v>
      </c>
      <c r="J14" s="2918"/>
      <c r="K14" s="2919"/>
    </row>
    <row r="15" spans="1:11" ht="16.5">
      <c r="A15" s="2745" t="s">
        <v>1315</v>
      </c>
      <c r="B15" s="3061">
        <v>559573.15</v>
      </c>
      <c r="C15" s="3061">
        <v>153925.47</v>
      </c>
      <c r="D15" s="3061">
        <v>155464</v>
      </c>
      <c r="E15" s="2746">
        <f t="shared" ref="E15:E23" si="0">ROUND(D15*10000/B15,0)</f>
        <v>2778</v>
      </c>
      <c r="F15" s="2746">
        <f t="shared" ref="F15:F23" si="1">ROUND(D15*10000/C15,0)</f>
        <v>10100</v>
      </c>
      <c r="G15" s="1502">
        <f>D15</f>
        <v>155464</v>
      </c>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房地产抵押价值预评估</v>
      </c>
      <c r="C37" s="3062"/>
      <c r="D37" s="3062"/>
      <c r="E37" s="3062"/>
      <c r="F37" s="3062"/>
      <c r="G37" s="3062"/>
      <c r="H37" s="3062"/>
      <c r="I37" s="3062"/>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30" sqref="F3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1950</v>
      </c>
      <c r="B1" s="1935"/>
      <c r="C1" s="1936"/>
      <c r="D1" s="1935"/>
      <c r="E1" s="1935"/>
      <c r="F1" s="1937" t="s">
        <v>1951</v>
      </c>
      <c r="G1" s="1748"/>
      <c r="H1" s="1938" t="str">
        <f>IF(G1="现房","——","估价对象范围")</f>
        <v>估价对象范围</v>
      </c>
      <c r="I1" s="1939"/>
    </row>
    <row r="2" spans="1:12" ht="21.75" customHeight="1" thickBot="1">
      <c r="A2" s="3198" t="str">
        <f>项目基本情况!S2</f>
        <v>房地产</v>
      </c>
      <c r="B2" s="3199"/>
      <c r="C2" s="3199"/>
      <c r="D2" s="3199"/>
      <c r="E2" s="3199"/>
      <c r="F2" s="3199"/>
      <c r="G2" s="3199"/>
      <c r="H2" s="3199"/>
      <c r="I2" s="3200"/>
    </row>
    <row r="3" spans="1:12" ht="12.75">
      <c r="A3" s="3202" t="s">
        <v>1952</v>
      </c>
      <c r="B3" s="3203"/>
      <c r="C3" s="3203"/>
      <c r="D3" s="3203"/>
      <c r="E3" s="3203"/>
      <c r="F3" s="3203"/>
      <c r="G3" s="3203"/>
      <c r="H3" s="3203"/>
      <c r="I3" s="3203"/>
    </row>
    <row r="4" spans="1:12" ht="14.25">
      <c r="A4" s="1942" t="s">
        <v>1953</v>
      </c>
      <c r="B4" s="1943" t="s">
        <v>1954</v>
      </c>
      <c r="C4" s="1944" t="s">
        <v>3599</v>
      </c>
      <c r="D4" s="1944" t="s">
        <v>3600</v>
      </c>
      <c r="E4" s="3204" t="s">
        <v>1955</v>
      </c>
      <c r="F4" s="3205"/>
      <c r="G4" s="3205"/>
      <c r="H4" s="3205"/>
      <c r="I4" s="32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8" t="s">
        <v>1956</v>
      </c>
      <c r="B5" s="3165">
        <v>25</v>
      </c>
      <c r="C5" s="3181"/>
      <c r="D5" s="3201"/>
      <c r="E5" s="136" t="s">
        <v>1957</v>
      </c>
      <c r="F5" s="1945"/>
      <c r="G5" s="1945"/>
      <c r="H5" s="1945"/>
      <c r="I5" s="1559"/>
    </row>
    <row r="6" spans="1:12" ht="12.75">
      <c r="A6" s="3178"/>
      <c r="B6" s="3165"/>
      <c r="C6" s="3182"/>
      <c r="D6" s="3201"/>
      <c r="E6" s="136" t="s">
        <v>1958</v>
      </c>
      <c r="F6" s="1945"/>
      <c r="G6" s="1945"/>
      <c r="H6" s="1945"/>
      <c r="I6" s="1559"/>
    </row>
    <row r="7" spans="1:12" ht="12.75">
      <c r="A7" s="3178"/>
      <c r="B7" s="3165"/>
      <c r="C7" s="3183"/>
      <c r="D7" s="3201"/>
      <c r="E7" s="136" t="s">
        <v>1959</v>
      </c>
      <c r="F7" s="1945"/>
      <c r="G7" s="1945"/>
      <c r="H7" s="1945"/>
      <c r="I7" s="1559"/>
    </row>
    <row r="8" spans="1:12" ht="12.75">
      <c r="A8" s="3178" t="s">
        <v>1960</v>
      </c>
      <c r="B8" s="3165">
        <v>15</v>
      </c>
      <c r="C8" s="3181"/>
      <c r="D8" s="3201"/>
      <c r="E8" s="136" t="s">
        <v>1961</v>
      </c>
      <c r="F8" s="1945"/>
      <c r="G8" s="1945"/>
      <c r="H8" s="1945"/>
      <c r="I8" s="1559"/>
    </row>
    <row r="9" spans="1:12" ht="12.75">
      <c r="A9" s="3178"/>
      <c r="B9" s="3165"/>
      <c r="C9" s="3183"/>
      <c r="D9" s="3201"/>
      <c r="E9" s="136" t="s">
        <v>1962</v>
      </c>
      <c r="F9" s="1945"/>
      <c r="G9" s="1945"/>
      <c r="H9" s="1945"/>
      <c r="I9" s="1559"/>
    </row>
    <row r="10" spans="1:12" ht="12.75">
      <c r="A10" s="3178" t="s">
        <v>1963</v>
      </c>
      <c r="B10" s="3165">
        <v>15</v>
      </c>
      <c r="C10" s="3181"/>
      <c r="D10" s="3201"/>
      <c r="E10" s="136" t="s">
        <v>1964</v>
      </c>
      <c r="F10" s="1945"/>
      <c r="G10" s="1945"/>
      <c r="H10" s="1945"/>
      <c r="I10" s="1559"/>
    </row>
    <row r="11" spans="1:12" ht="12.75">
      <c r="A11" s="3178"/>
      <c r="B11" s="3165"/>
      <c r="C11" s="3183"/>
      <c r="D11" s="3201"/>
      <c r="E11" s="136" t="s">
        <v>1965</v>
      </c>
      <c r="F11" s="1945"/>
      <c r="G11" s="1945"/>
      <c r="H11" s="1945"/>
      <c r="I11" s="1559"/>
    </row>
    <row r="12" spans="1:12" ht="12.75">
      <c r="A12" s="3178" t="s">
        <v>1966</v>
      </c>
      <c r="B12" s="3165">
        <v>15</v>
      </c>
      <c r="C12" s="3181"/>
      <c r="D12" s="3201"/>
      <c r="E12" s="136" t="s">
        <v>1967</v>
      </c>
      <c r="F12" s="1945"/>
      <c r="G12" s="1945"/>
      <c r="H12" s="1945"/>
      <c r="I12" s="1559"/>
    </row>
    <row r="13" spans="1:12" ht="12.75">
      <c r="A13" s="3178"/>
      <c r="B13" s="3165"/>
      <c r="C13" s="3183"/>
      <c r="D13" s="3201"/>
      <c r="E13" s="136" t="s">
        <v>1968</v>
      </c>
      <c r="F13" s="1945"/>
      <c r="G13" s="1945"/>
      <c r="H13" s="1945"/>
      <c r="I13" s="1559"/>
    </row>
    <row r="14" spans="1:12" ht="12.75">
      <c r="A14" s="3178" t="s">
        <v>1969</v>
      </c>
      <c r="B14" s="3165">
        <v>30</v>
      </c>
      <c r="C14" s="3181">
        <v>5</v>
      </c>
      <c r="D14" s="3201">
        <v>5</v>
      </c>
      <c r="E14" s="136" t="s">
        <v>1970</v>
      </c>
      <c r="F14" s="1945"/>
      <c r="G14" s="1945"/>
      <c r="H14" s="1945"/>
      <c r="I14" s="1559"/>
    </row>
    <row r="15" spans="1:12" ht="12.75">
      <c r="A15" s="3178"/>
      <c r="B15" s="3165"/>
      <c r="C15" s="3182"/>
      <c r="D15" s="3201"/>
      <c r="E15" s="136" t="s">
        <v>1971</v>
      </c>
      <c r="F15" s="1945"/>
      <c r="G15" s="1945"/>
      <c r="H15" s="1945"/>
      <c r="I15" s="1559"/>
    </row>
    <row r="16" spans="1:12" ht="12.75">
      <c r="A16" s="3178"/>
      <c r="B16" s="3165"/>
      <c r="C16" s="3183"/>
      <c r="D16" s="3201"/>
      <c r="E16" s="136" t="s">
        <v>1972</v>
      </c>
      <c r="F16" s="1945"/>
      <c r="G16" s="1945"/>
      <c r="H16" s="1945"/>
      <c r="I16" s="1559"/>
    </row>
    <row r="17" spans="1:36" ht="15">
      <c r="A17" s="1946" t="s">
        <v>1973</v>
      </c>
      <c r="B17" s="60"/>
      <c r="C17" s="137">
        <f>SUM(C5:C16)</f>
        <v>5</v>
      </c>
      <c r="D17" s="137">
        <f>SUM(D5:D16)</f>
        <v>5</v>
      </c>
      <c r="E17" s="134"/>
      <c r="F17" s="134"/>
      <c r="G17" s="134"/>
      <c r="H17" s="134"/>
      <c r="I17" s="134"/>
      <c r="K17" s="308"/>
      <c r="L17" s="308" t="s">
        <v>1974</v>
      </c>
      <c r="M17" s="308" t="s">
        <v>1975</v>
      </c>
    </row>
    <row r="18" spans="1:36" ht="31.9" customHeight="1" thickBot="1">
      <c r="A18" s="1947" t="s">
        <v>1976</v>
      </c>
      <c r="B18" s="1948"/>
      <c r="C18" s="138">
        <f>ROUND(C17/SUM(C17:D17),2)</f>
        <v>0.5</v>
      </c>
      <c r="D18" s="138">
        <f>1-C18</f>
        <v>0.5</v>
      </c>
      <c r="E18" s="3188" t="s">
        <v>2873</v>
      </c>
      <c r="F18" s="3189"/>
      <c r="G18" s="3189"/>
      <c r="H18" s="3189"/>
      <c r="I18" s="3189"/>
      <c r="K18" s="308" t="s">
        <v>1977</v>
      </c>
      <c r="L18" s="308">
        <f>IF(C1="",'数据-汇总表'!E3,SUMIF(项目类型,C1,'数据-汇总表'!E17:E26)+SUMIF(项目类型,C1,'数据-汇总表'!I17:I26))</f>
        <v>13829.859999999995</v>
      </c>
      <c r="M18" s="308">
        <f>IF(C1="",'数据-汇总表'!E3,SUMIF(项目类型,C1,'数据-汇总表'!E17:E26))</f>
        <v>13829.859999999995</v>
      </c>
    </row>
    <row r="19" spans="1:36" ht="15">
      <c r="A19" s="1949" t="s">
        <v>1978</v>
      </c>
      <c r="B19" s="1950" t="s">
        <v>1979</v>
      </c>
      <c r="C19" s="139">
        <f ca="1">SUMIF(INDIRECT("'"&amp;C4&amp;"'"&amp;"!A:A"),结果表!B19,INDIRECT("'"&amp;C4&amp;"'"&amp;"!B:B"))</f>
        <v>14783</v>
      </c>
      <c r="D19" s="140">
        <f ca="1">SUMIF(INDIRECT("'"&amp;D4&amp;"'"&amp;"!A:A"),结果表!B19,INDIRECT("'"&amp;D4&amp;"'"&amp;"!B:B"))</f>
        <v>9857</v>
      </c>
      <c r="E19" s="1949" t="s">
        <v>1980</v>
      </c>
      <c r="F19" s="1950" t="s">
        <v>1979</v>
      </c>
      <c r="G19" s="141">
        <f ca="1">ROUND(C19*$C$18+D19*$D$18,0)</f>
        <v>12320</v>
      </c>
      <c r="H19" s="1951" t="s">
        <v>1981</v>
      </c>
      <c r="I19" s="134"/>
      <c r="K19" s="308" t="s">
        <v>1982</v>
      </c>
      <c r="L19" s="308">
        <f>IF(C1="",'数据-汇总表'!D3,SUMIF(项目类型,C1,'数据-汇总表'!D17:D26)+SUMIF(项目类型,C1,'数据-汇总表'!H17:H27))</f>
        <v>22306.23</v>
      </c>
      <c r="M19" s="308">
        <f>IF(C1="",'数据-汇总表'!D3,SUMIF(项目类型,C1,'数据-汇总表'!D17:D26))</f>
        <v>22306.23</v>
      </c>
    </row>
    <row r="20" spans="1:36" ht="15">
      <c r="A20" s="1952"/>
      <c r="B20" s="1157" t="s">
        <v>1983</v>
      </c>
      <c r="C20" s="142">
        <f ca="1">SUMIF(INDIRECT("'"&amp;C4&amp;"'"&amp;"!A:A"),结果表!B20,INDIRECT("'"&amp;C4&amp;"'"&amp;"!B:B"))</f>
        <v>10689</v>
      </c>
      <c r="D20" s="143">
        <f ca="1">SUMIF(INDIRECT("'"&amp;D4&amp;"'"&amp;"!A:A"),结果表!B20,INDIRECT("'"&amp;D4&amp;"'"&amp;"!B:B"))</f>
        <v>7127</v>
      </c>
      <c r="E20" s="1952"/>
      <c r="F20" s="1157" t="s">
        <v>1983</v>
      </c>
      <c r="G20" s="144">
        <f ca="1">ROUND(C20*$C$18+D20*$D$18,0)</f>
        <v>8908</v>
      </c>
      <c r="H20" s="917" t="s">
        <v>1984</v>
      </c>
      <c r="I20" s="134"/>
    </row>
    <row r="21" spans="1:36" ht="15" customHeight="1" thickBot="1">
      <c r="A21" s="937"/>
      <c r="B21" s="1953" t="s">
        <v>1985</v>
      </c>
      <c r="C21" s="728">
        <f ca="1">ROUND(C19*10000/L19,0)</f>
        <v>6627</v>
      </c>
      <c r="D21" s="729">
        <f ca="1">ROUND(D19*10000/L19,0)</f>
        <v>4419</v>
      </c>
      <c r="E21" s="937"/>
      <c r="F21" s="1953" t="s">
        <v>1985</v>
      </c>
      <c r="G21" s="145">
        <f ca="1">ROUND(G19*10000/L19,0)</f>
        <v>5523</v>
      </c>
      <c r="H21" s="1954" t="s">
        <v>1984</v>
      </c>
      <c r="I21" s="134"/>
    </row>
    <row r="22" spans="1:36" ht="15" thickBot="1">
      <c r="A22" s="1876" t="s">
        <v>1986</v>
      </c>
      <c r="B22" s="1955"/>
      <c r="C22" s="1956"/>
      <c r="D22" s="730">
        <f ca="1">IF(C19&lt;D19,D19/C19-1,C19/D19-1)</f>
        <v>0.49974637313584247</v>
      </c>
      <c r="E22" s="134"/>
      <c r="F22" s="134"/>
      <c r="G22" s="134"/>
      <c r="H22" s="134"/>
      <c r="I22" s="134"/>
    </row>
    <row r="23" spans="1:36" ht="13.5" thickBot="1">
      <c r="A23" s="1935"/>
      <c r="B23" s="1935"/>
      <c r="C23" s="1935"/>
      <c r="D23" s="1935"/>
      <c r="E23" s="134"/>
      <c r="F23" s="134"/>
      <c r="G23" s="134"/>
      <c r="H23" s="134"/>
      <c r="I23" s="134"/>
    </row>
    <row r="24" spans="1:36" ht="14.25">
      <c r="A24" s="3172" t="s">
        <v>1987</v>
      </c>
      <c r="B24" s="1950" t="s">
        <v>1979</v>
      </c>
      <c r="C24" s="141">
        <f>IF(B30=0,0,D30)</f>
        <v>0</v>
      </c>
      <c r="D24" s="1957"/>
      <c r="E24" s="134"/>
      <c r="F24" s="134"/>
      <c r="G24" s="134"/>
      <c r="H24" s="134"/>
      <c r="I24" s="134"/>
    </row>
    <row r="25" spans="1:36" ht="14.25">
      <c r="A25" s="3173"/>
      <c r="B25" s="1157" t="s">
        <v>1983</v>
      </c>
      <c r="C25" s="146">
        <f>IF(B30=0,0,C30)</f>
        <v>0</v>
      </c>
      <c r="D25" s="1958"/>
      <c r="E25" s="134"/>
      <c r="F25" s="134"/>
      <c r="G25" s="134"/>
      <c r="H25" s="134"/>
      <c r="I25" s="134"/>
    </row>
    <row r="26" spans="1:36" ht="13.5" customHeight="1">
      <c r="A26" s="1959" t="s">
        <v>1988</v>
      </c>
      <c r="B26" s="147" t="s">
        <v>1989</v>
      </c>
      <c r="C26" s="147" t="s">
        <v>1990</v>
      </c>
      <c r="D26" s="148" t="s">
        <v>1991</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1992</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1993</v>
      </c>
      <c r="B32" s="1962"/>
      <c r="C32" s="149">
        <f ca="1">IF(D32="总价",G19-C24,G20-C25)</f>
        <v>12320</v>
      </c>
      <c r="D32" s="1963" t="s">
        <v>3597</v>
      </c>
      <c r="E32" s="134"/>
      <c r="F32" s="134"/>
      <c r="G32" s="134"/>
      <c r="H32" s="134"/>
      <c r="I32" s="134"/>
    </row>
    <row r="33" spans="1:15" ht="15">
      <c r="A33" s="894" t="s">
        <v>1994</v>
      </c>
      <c r="B33" s="1964"/>
      <c r="C33" s="1965" t="s">
        <v>3598</v>
      </c>
      <c r="D33" s="1966" t="s">
        <v>3599</v>
      </c>
      <c r="E33" s="1967" t="s">
        <v>1995</v>
      </c>
      <c r="F33" s="1968" t="str">
        <f>IF(D32="楼面单价","取值（单价）","取值（总价）")</f>
        <v>取值（总价）</v>
      </c>
      <c r="G33" s="134"/>
      <c r="H33" s="134"/>
      <c r="I33" s="134"/>
    </row>
    <row r="34" spans="1:15" ht="15">
      <c r="A34" s="1969"/>
      <c r="B34" s="1970" t="s">
        <v>1996</v>
      </c>
      <c r="C34" s="153">
        <f ca="1">IF(C33="自定义",F34,C32-C35)</f>
        <v>7909</v>
      </c>
      <c r="D34" s="970">
        <f ca="1">IF(C33="自定义",ROUND(C34/C32,3),IF(C33="收益比率",SUMIF(INDIRECT("'"&amp;D33&amp;"'"&amp;"!b:b"),"土地收益比率",INDIRECT("'"&amp;D33&amp;"'"&amp;"!c:c")),SUMIF(INDIRECT("'"&amp;D33&amp;"'"&amp;"!b:b"),"土地成本比率",INDIRECT("'"&amp;D33&amp;"'"&amp;"!c:c"))))</f>
        <v>0.64200000000000002</v>
      </c>
      <c r="E34" s="1971" t="s">
        <v>1997</v>
      </c>
      <c r="F34" s="1500"/>
      <c r="G34" s="134"/>
      <c r="H34" s="134"/>
      <c r="I34" s="134"/>
    </row>
    <row r="35" spans="1:15" ht="15.75" thickBot="1">
      <c r="A35" s="1972"/>
      <c r="B35" s="1973" t="s">
        <v>1998</v>
      </c>
      <c r="C35" s="1332">
        <f ca="1">IF(C33="自定义",F35,ROUND(C32*D35,0))</f>
        <v>4411</v>
      </c>
      <c r="D35" s="1333">
        <f ca="1">IF(C33="自定义",ROUND(C35/C32,3),IF(C33="收益比率",SUMIF(INDIRECT("'"&amp;D33&amp;"'"&amp;"!b:b"),"建筑物收益比率",INDIRECT("'"&amp;D33&amp;"'"&amp;"!c:c")),SUMIF(INDIRECT("'"&amp;D33&amp;"'"&amp;"!b:b"),"建筑物成本比率",INDIRECT("'"&amp;D33&amp;"'"&amp;"!c:c"))))</f>
        <v>0.35799999999999998</v>
      </c>
      <c r="E35" s="1974" t="s">
        <v>1999</v>
      </c>
      <c r="F35" s="159"/>
      <c r="G35" s="134"/>
      <c r="H35" s="134"/>
      <c r="I35" s="134"/>
    </row>
    <row r="36" spans="1:15" ht="15.75" thickBot="1">
      <c r="A36" s="3192" t="s">
        <v>2000</v>
      </c>
      <c r="B36" s="1975" t="s">
        <v>2001</v>
      </c>
      <c r="C36" s="150"/>
      <c r="D36" s="1976"/>
      <c r="E36" s="1977"/>
      <c r="F36" s="1978"/>
      <c r="G36" s="134"/>
      <c r="H36" s="134"/>
      <c r="I36" s="134"/>
    </row>
    <row r="37" spans="1:15" ht="15.75" thickBot="1">
      <c r="A37" s="3193"/>
      <c r="B37" s="1862" t="s">
        <v>2002</v>
      </c>
      <c r="C37" s="152"/>
      <c r="D37" s="1301"/>
      <c r="E37" s="1301"/>
      <c r="F37" s="1978"/>
      <c r="G37" s="134"/>
      <c r="H37" s="134"/>
      <c r="I37" s="134"/>
    </row>
    <row r="38" spans="1:15" ht="15.75" thickBot="1">
      <c r="A38" s="3194"/>
      <c r="B38" s="1979" t="s">
        <v>2003</v>
      </c>
      <c r="C38" s="683"/>
      <c r="D38" s="1980" t="s">
        <v>2004</v>
      </c>
      <c r="E38" s="1301"/>
      <c r="F38" s="1978"/>
      <c r="G38" s="134"/>
      <c r="H38" s="134"/>
      <c r="I38" s="134"/>
    </row>
    <row r="39" spans="1:15" ht="15">
      <c r="A39" s="1952" t="s">
        <v>2005</v>
      </c>
      <c r="B39" s="1981" t="s">
        <v>2006</v>
      </c>
      <c r="C39" s="1982" t="s">
        <v>2007</v>
      </c>
      <c r="D39" s="1982" t="s">
        <v>2008</v>
      </c>
      <c r="E39" s="1983" t="s">
        <v>2009</v>
      </c>
      <c r="F39" s="1978"/>
      <c r="G39" s="134"/>
      <c r="H39" s="134"/>
      <c r="I39" s="134"/>
    </row>
    <row r="40" spans="1:15" ht="14.25">
      <c r="A40" s="1984" t="s">
        <v>2010</v>
      </c>
      <c r="B40" s="154"/>
      <c r="C40" s="155"/>
      <c r="D40" s="155"/>
      <c r="E40" s="156"/>
      <c r="F40" s="1978"/>
      <c r="G40" s="134"/>
      <c r="H40" s="134"/>
      <c r="I40" s="134"/>
    </row>
    <row r="41" spans="1:15" ht="14.25">
      <c r="A41" s="1984" t="s">
        <v>2011</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169" t="s">
        <v>2014</v>
      </c>
      <c r="B45" s="3170"/>
      <c r="C45" s="3171"/>
      <c r="D45" s="160">
        <f ca="1">ROUND(H101*F45,0)</f>
        <v>12320</v>
      </c>
      <c r="E45" s="161" t="s">
        <v>2015</v>
      </c>
      <c r="F45" s="162">
        <v>1</v>
      </c>
      <c r="G45" s="163" t="s">
        <v>2016</v>
      </c>
      <c r="H45" s="134"/>
      <c r="I45" s="134"/>
      <c r="J45" s="3250" t="s">
        <v>2017</v>
      </c>
      <c r="K45" s="3250"/>
      <c r="L45" s="3250"/>
      <c r="M45" s="3250"/>
      <c r="N45" s="3250"/>
      <c r="O45" s="3250"/>
    </row>
    <row r="46" spans="1:15" ht="14.25" customHeight="1">
      <c r="A46" s="3166" t="s">
        <v>2018</v>
      </c>
      <c r="B46" s="3167"/>
      <c r="C46" s="3167"/>
      <c r="D46" s="3167"/>
      <c r="E46" s="3167"/>
      <c r="F46" s="3167"/>
      <c r="G46" s="3168"/>
      <c r="H46" s="1994"/>
      <c r="I46" s="164"/>
      <c r="J46" s="2751">
        <v>1</v>
      </c>
      <c r="K46" s="3231" t="s">
        <v>2019</v>
      </c>
      <c r="L46" s="3231"/>
      <c r="M46" s="3251"/>
      <c r="N46" s="3251"/>
      <c r="O46" s="3251"/>
    </row>
    <row r="47" spans="1:15" ht="12" customHeight="1">
      <c r="A47" s="165" t="s">
        <v>2020</v>
      </c>
      <c r="B47" s="166"/>
      <c r="C47" s="167"/>
      <c r="D47" s="1247" t="s">
        <v>2021</v>
      </c>
      <c r="E47" s="308" t="s">
        <v>2022</v>
      </c>
      <c r="F47" s="168" t="s">
        <v>2023</v>
      </c>
      <c r="G47" s="2774" t="s">
        <v>2024</v>
      </c>
      <c r="H47" s="2775"/>
      <c r="I47" s="164"/>
      <c r="J47" s="2751">
        <v>2</v>
      </c>
      <c r="K47" s="3231" t="s">
        <v>2025</v>
      </c>
      <c r="L47" s="3231"/>
      <c r="M47" s="3252">
        <f>'数据-取费表'!B2</f>
        <v>44187</v>
      </c>
      <c r="N47" s="3252"/>
      <c r="O47" s="3252"/>
    </row>
    <row r="48" spans="1:15" ht="25.5">
      <c r="A48" s="3197" t="s">
        <v>2026</v>
      </c>
      <c r="B48" s="3180"/>
      <c r="C48" s="3180"/>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2027</v>
      </c>
      <c r="H48" s="2778"/>
      <c r="I48" s="1994"/>
      <c r="J48" s="2751">
        <v>3</v>
      </c>
      <c r="K48" s="3231" t="s">
        <v>2028</v>
      </c>
      <c r="L48" s="3231"/>
      <c r="M48" s="3253">
        <f ca="1">H101</f>
        <v>12320</v>
      </c>
      <c r="N48" s="3253"/>
      <c r="O48" s="3253"/>
    </row>
    <row r="49" spans="1:35" ht="25.5" customHeight="1">
      <c r="A49" s="2558" t="s">
        <v>2029</v>
      </c>
      <c r="B49" s="3164" t="s">
        <v>2030</v>
      </c>
      <c r="C49" s="3164"/>
      <c r="D49" s="1777">
        <v>0</v>
      </c>
      <c r="E49" s="330" t="s">
        <v>2031</v>
      </c>
      <c r="F49" s="2652" t="s">
        <v>34</v>
      </c>
      <c r="G49" s="3237"/>
      <c r="H49" s="2530" t="s">
        <v>2876</v>
      </c>
      <c r="I49" s="2531"/>
      <c r="J49" s="2751">
        <v>4</v>
      </c>
      <c r="K49" s="3231" t="str">
        <f>IF(项目基本情况!E8="房地产抵押价值","房地产抵押价值","抵押担保权已注销时的房地产抵押价值")</f>
        <v>抵押担保权已注销时的房地产抵押价值</v>
      </c>
      <c r="L49" s="3231"/>
      <c r="M49" s="3253" t="str">
        <f>IF(项目基本情况!E8="房地产抵押价值",H107,H109)</f>
        <v>——</v>
      </c>
      <c r="N49" s="3253"/>
      <c r="O49" s="3253"/>
    </row>
    <row r="50" spans="1:35" ht="25.5" customHeight="1">
      <c r="A50" s="2779"/>
      <c r="B50" s="3164" t="s">
        <v>2032</v>
      </c>
      <c r="C50" s="3164"/>
      <c r="D50" s="2780"/>
      <c r="E50" s="338"/>
      <c r="F50" s="2652"/>
      <c r="G50" s="3238"/>
      <c r="H50" s="2532" t="s">
        <v>2877</v>
      </c>
      <c r="I50" s="2531"/>
      <c r="J50" s="3250" t="s">
        <v>2033</v>
      </c>
      <c r="K50" s="3250"/>
      <c r="L50" s="3250"/>
      <c r="M50" s="3250"/>
      <c r="N50" s="3250"/>
      <c r="O50" s="3250"/>
    </row>
    <row r="51" spans="1:35" ht="20.45" customHeight="1">
      <c r="A51" s="2781"/>
      <c r="B51" s="3164" t="s">
        <v>2034</v>
      </c>
      <c r="C51" s="3164"/>
      <c r="D51" s="1247"/>
      <c r="E51" s="333"/>
      <c r="F51" s="2652"/>
      <c r="G51" s="3239"/>
      <c r="H51" s="2532" t="s">
        <v>2878</v>
      </c>
      <c r="I51" s="2531"/>
      <c r="J51" s="2752" t="s">
        <v>2035</v>
      </c>
      <c r="K51" s="3231" t="s">
        <v>2036</v>
      </c>
      <c r="L51" s="3231"/>
      <c r="M51" s="2752" t="s">
        <v>2037</v>
      </c>
      <c r="N51" s="2752" t="s">
        <v>2038</v>
      </c>
      <c r="O51" s="2752" t="s">
        <v>2039</v>
      </c>
    </row>
    <row r="52" spans="1:35" ht="24" customHeight="1">
      <c r="A52" s="2560" t="s">
        <v>2040</v>
      </c>
      <c r="B52" s="3164" t="s">
        <v>2041</v>
      </c>
      <c r="C52" s="3164"/>
      <c r="D52" s="1247">
        <f ca="1">ROUND(D45*'数据-取费表'!B41/(1+'数据-取费表'!C42),0)</f>
        <v>657</v>
      </c>
      <c r="E52" s="2559" t="s">
        <v>2042</v>
      </c>
      <c r="F52" s="2782">
        <f>'数据-取费表'!B41</f>
        <v>5.6000000000000001E-2</v>
      </c>
      <c r="G52" s="2783"/>
      <c r="H52" s="2772"/>
      <c r="I52" s="1995"/>
      <c r="J52" s="2751">
        <v>1</v>
      </c>
      <c r="K52" s="3232" t="s">
        <v>2043</v>
      </c>
      <c r="L52" s="3232"/>
      <c r="M52" s="2753" t="b">
        <f>D48</f>
        <v>0</v>
      </c>
      <c r="N52" s="2751" t="str">
        <f>E48</f>
        <v>销售额×税（费）率</v>
      </c>
      <c r="O52" s="2754">
        <f>F48</f>
        <v>5.6000000000000001E-2</v>
      </c>
    </row>
    <row r="53" spans="1:35" ht="12" customHeight="1">
      <c r="A53" s="2560" t="s">
        <v>2044</v>
      </c>
      <c r="B53" s="3190" t="s">
        <v>3035</v>
      </c>
      <c r="C53" s="3191"/>
      <c r="D53" s="1247">
        <f ca="1">ROUND(D45*'数据-取费表'!B41/(1+'数据-取费表'!C42),0)</f>
        <v>657</v>
      </c>
      <c r="E53" s="2559" t="s">
        <v>2042</v>
      </c>
      <c r="F53" s="2782">
        <f>'数据-取费表'!B41</f>
        <v>5.6000000000000001E-2</v>
      </c>
      <c r="G53" s="2783"/>
      <c r="H53" s="2772"/>
      <c r="I53" s="1995"/>
      <c r="J53" s="2751">
        <v>2</v>
      </c>
      <c r="K53" s="3232" t="s">
        <v>2045</v>
      </c>
      <c r="L53" s="3232"/>
      <c r="M53" s="2753">
        <f t="shared" ref="M53:O54" ca="1" si="0">D55</f>
        <v>6</v>
      </c>
      <c r="N53" s="2751" t="str">
        <f t="shared" si="0"/>
        <v>销售额×税（费）率</v>
      </c>
      <c r="O53" s="2754" t="str">
        <f t="shared" si="0"/>
        <v>免征</v>
      </c>
    </row>
    <row r="54" spans="1:35" ht="12" customHeight="1">
      <c r="A54" s="2560" t="s">
        <v>2046</v>
      </c>
      <c r="B54" s="3190" t="s">
        <v>3036</v>
      </c>
      <c r="C54" s="3191"/>
      <c r="D54" s="1247">
        <f ca="1">C68</f>
        <v>657</v>
      </c>
      <c r="E54" s="333" t="s">
        <v>2047</v>
      </c>
      <c r="F54" s="2782">
        <f>'数据-取费表'!B41</f>
        <v>5.6000000000000001E-2</v>
      </c>
      <c r="G54" s="2783"/>
      <c r="H54" s="2784"/>
      <c r="I54" s="1995"/>
      <c r="J54" s="2751">
        <v>3</v>
      </c>
      <c r="K54" s="3232" t="s">
        <v>2048</v>
      </c>
      <c r="L54" s="3232"/>
      <c r="M54" s="2753">
        <f t="shared" ca="1" si="0"/>
        <v>6973</v>
      </c>
      <c r="N54" s="2751" t="str">
        <f t="shared" si="0"/>
        <v>增值额×税（费）率</v>
      </c>
      <c r="O54" s="2755" t="str">
        <f t="shared" si="0"/>
        <v>免征</v>
      </c>
    </row>
    <row r="55" spans="1:35" ht="24" customHeight="1">
      <c r="A55" s="3179" t="s">
        <v>2049</v>
      </c>
      <c r="B55" s="3180"/>
      <c r="C55" s="3180"/>
      <c r="D55" s="2549">
        <f ca="1">IF(H55="个人住宅",0,ROUND(D45*I55,0))</f>
        <v>6</v>
      </c>
      <c r="E55" s="2559" t="s">
        <v>2050</v>
      </c>
      <c r="F55" s="2782" t="str">
        <f>IF(H55="正常",I55,"免征")</f>
        <v>免征</v>
      </c>
      <c r="G55" s="2783"/>
      <c r="H55" s="2778"/>
      <c r="I55" s="170">
        <f>'数据-取费表'!B49</f>
        <v>5.0000000000000001E-4</v>
      </c>
      <c r="J55" s="2751">
        <f>IF(H59="非个人房产","",4)</f>
        <v>4</v>
      </c>
      <c r="K55" s="3232" t="str">
        <f>IF(H59="非个人房产","——","个人所得税")</f>
        <v>个人所得税</v>
      </c>
      <c r="L55" s="3232"/>
      <c r="M55" s="2756">
        <f ca="1">D59</f>
        <v>117</v>
      </c>
      <c r="N55" s="2230" t="str">
        <f>E59</f>
        <v>差额计税</v>
      </c>
      <c r="O55" s="2757">
        <f>F59</f>
        <v>0.01</v>
      </c>
    </row>
    <row r="56" spans="1:35" ht="24.75">
      <c r="A56" s="3179" t="s">
        <v>2051</v>
      </c>
      <c r="B56" s="3180"/>
      <c r="C56" s="3180"/>
      <c r="D56" s="2549">
        <f ca="1">IF(H56="个人住宅",D57,D58)</f>
        <v>6973</v>
      </c>
      <c r="E56" s="2559" t="s">
        <v>2052</v>
      </c>
      <c r="F56" s="2782" t="str">
        <f>IF(H56="正常",F58,"免征")</f>
        <v>免征</v>
      </c>
      <c r="G56" s="2785" t="s">
        <v>2053</v>
      </c>
      <c r="H56" s="2786"/>
      <c r="I56" s="1996"/>
      <c r="J56" s="2751" t="str">
        <f>IF(项目基本情况!K6="上海银行",IF(J55="",4,J55+1),"")</f>
        <v/>
      </c>
      <c r="K56" s="3255" t="str">
        <f>IF(项目基本情况!K6="上海银行","其他处置费用","")</f>
        <v/>
      </c>
      <c r="L56" s="3256"/>
      <c r="M56" s="2753" t="str">
        <f>IF(项目基本情况!K6="上海银行",M69,"")</f>
        <v/>
      </c>
      <c r="N56" s="3255" t="str">
        <f>IF(项目基本情况!K6="上海银行","包含处置中涉及的律师、诉讼、拍卖、评估等费用","")</f>
        <v/>
      </c>
      <c r="O56" s="3258"/>
    </row>
    <row r="57" spans="1:35" ht="12.75">
      <c r="A57" s="2560" t="s">
        <v>2029</v>
      </c>
      <c r="B57" s="3190" t="s">
        <v>2054</v>
      </c>
      <c r="C57" s="3191"/>
      <c r="D57" s="1777">
        <v>0</v>
      </c>
      <c r="E57" s="330" t="s">
        <v>2031</v>
      </c>
      <c r="F57" s="308"/>
      <c r="G57" s="2783"/>
      <c r="H57" s="2787"/>
      <c r="I57" s="1996"/>
      <c r="J57" s="3232">
        <f>IF(AND(J55="",J56=""),4,IF(项目基本情况!K6="上海银行",结果表!J56+1,结果表!J55+1))</f>
        <v>5</v>
      </c>
      <c r="K57" s="3232" t="s">
        <v>2055</v>
      </c>
      <c r="L57" s="2758" t="s">
        <v>2056</v>
      </c>
      <c r="M57" s="2759"/>
      <c r="N57" s="2760">
        <f ca="1">SUMIF(M52:M56,"&lt;9e307")</f>
        <v>7096</v>
      </c>
      <c r="O57" s="2761"/>
      <c r="P57" s="2921" t="e">
        <f ca="1">N57/M49</f>
        <v>#VALUE!</v>
      </c>
    </row>
    <row r="58" spans="1:35" ht="24.75">
      <c r="A58" s="2560" t="s">
        <v>2040</v>
      </c>
      <c r="B58" s="3190" t="s">
        <v>2057</v>
      </c>
      <c r="C58" s="3164"/>
      <c r="D58" s="2549">
        <f ca="1">IF(H58="转让取得",C81,C97)</f>
        <v>6973</v>
      </c>
      <c r="E58" s="2559" t="s">
        <v>2052</v>
      </c>
      <c r="F58" s="308" t="s">
        <v>34</v>
      </c>
      <c r="G58" s="2783"/>
      <c r="H58" s="2786"/>
      <c r="I58" s="1996"/>
      <c r="J58" s="3232"/>
      <c r="K58" s="3232"/>
      <c r="L58" s="2758" t="s">
        <v>2058</v>
      </c>
      <c r="M58" s="2762"/>
      <c r="N58" s="2763" t="str">
        <f ca="1">NUMBERSTRING(INT(N57*10000),2)&amp;"元整"</f>
        <v>柒仟零玖拾陆万元整</v>
      </c>
      <c r="O58" s="2764"/>
    </row>
    <row r="59" spans="1:35" ht="24.75" thickBot="1">
      <c r="A59" s="3235" t="s">
        <v>2059</v>
      </c>
      <c r="B59" s="3236"/>
      <c r="C59" s="3236"/>
      <c r="D59" s="2788">
        <f ca="1">IF(H59="非个人房产","——",IF(H59="个人住宅（满五唯一有凭证）",0,IF(H59="个人其他（无凭证）",ROUND(D45*F59,0),ROUND(C67*F59,0))))</f>
        <v>117</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2053</v>
      </c>
      <c r="H59" s="2534"/>
      <c r="I59" s="2533" t="s">
        <v>2879</v>
      </c>
      <c r="J59" s="3233">
        <f>J57+1</f>
        <v>6</v>
      </c>
      <c r="K59" s="3232" t="s">
        <v>2060</v>
      </c>
      <c r="L59" s="2751" t="s">
        <v>2056</v>
      </c>
      <c r="M59" s="2765"/>
      <c r="N59" s="2766" t="e">
        <f ca="1">M49-N57</f>
        <v>#VALUE!</v>
      </c>
      <c r="O59" s="2767"/>
    </row>
    <row r="60" spans="1:35" ht="12" customHeight="1">
      <c r="A60" s="1997"/>
      <c r="B60" s="1935"/>
      <c r="C60" s="1935"/>
      <c r="D60" s="1935"/>
      <c r="E60" s="1765"/>
      <c r="F60" s="1996"/>
      <c r="G60" s="1996"/>
      <c r="H60" s="1998"/>
      <c r="I60" s="134"/>
      <c r="J60" s="3234"/>
      <c r="K60" s="3232"/>
      <c r="L60" s="2758" t="s">
        <v>2058</v>
      </c>
      <c r="M60" s="2762"/>
      <c r="N60" s="2763" t="e">
        <f ca="1">NUMBERSTRING(INT(N59*10000),2)&amp;"元整"</f>
        <v>#VALUE!</v>
      </c>
      <c r="O60" s="2764"/>
    </row>
    <row r="61" spans="1:35" ht="13.5" thickBot="1">
      <c r="A61" s="3177" t="s">
        <v>2061</v>
      </c>
      <c r="B61" s="3177"/>
      <c r="C61" s="3177"/>
      <c r="D61" s="3177"/>
      <c r="E61" s="3177"/>
      <c r="F61" s="1996"/>
      <c r="G61" s="1996"/>
      <c r="H61" s="1998"/>
      <c r="I61" s="134"/>
      <c r="J61" s="2751">
        <f>J59+1</f>
        <v>7</v>
      </c>
      <c r="K61" s="3232" t="s">
        <v>2062</v>
      </c>
      <c r="L61" s="3232"/>
      <c r="M61" s="2768"/>
      <c r="N61" s="2769" t="e">
        <f ca="1">ROUND(N59*10000/'数据-汇总表'!E3,0)</f>
        <v>#VALUE!</v>
      </c>
      <c r="O61" s="2770"/>
    </row>
    <row r="62" spans="1:35" ht="12.75">
      <c r="A62" s="3195" t="s">
        <v>2063</v>
      </c>
      <c r="B62" s="3196"/>
      <c r="C62" s="2211"/>
      <c r="D62" s="2211" t="s">
        <v>2064</v>
      </c>
      <c r="E62" s="171" t="s">
        <v>2065</v>
      </c>
      <c r="F62" s="1996"/>
      <c r="G62" s="1996"/>
      <c r="H62" s="1998"/>
      <c r="I62" s="134"/>
    </row>
    <row r="63" spans="1:35" ht="12.75">
      <c r="A63" s="178" t="s">
        <v>775</v>
      </c>
      <c r="B63" s="172" t="s">
        <v>2066</v>
      </c>
      <c r="C63" s="2792">
        <f ca="1">ROUND((C64+C65)/(1+'数据-取费表'!C42),0)</f>
        <v>11733</v>
      </c>
      <c r="D63" s="172"/>
      <c r="E63" s="173"/>
      <c r="F63" s="1996"/>
      <c r="G63" s="1996"/>
      <c r="H63" s="1998"/>
      <c r="I63" s="134"/>
      <c r="J63" s="3257" t="s">
        <v>2067</v>
      </c>
      <c r="K63" s="1503" t="s">
        <v>2068</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2069</v>
      </c>
      <c r="C64" s="2793">
        <f ca="1">D45</f>
        <v>12320</v>
      </c>
      <c r="D64" s="175" t="s">
        <v>32</v>
      </c>
      <c r="E64" s="177"/>
      <c r="F64" s="1996"/>
      <c r="G64" s="1996"/>
      <c r="H64" s="1998"/>
      <c r="I64" s="134"/>
      <c r="J64" s="3257"/>
      <c r="K64" s="1503" t="s">
        <v>2070</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2071</v>
      </c>
      <c r="Z64" s="1940"/>
      <c r="AI64" s="1941"/>
    </row>
    <row r="65" spans="1:35" ht="14.25" customHeight="1">
      <c r="A65" s="174" t="s">
        <v>771</v>
      </c>
      <c r="B65" s="175" t="s">
        <v>2072</v>
      </c>
      <c r="C65" s="2794"/>
      <c r="D65" s="175"/>
      <c r="E65" s="177"/>
      <c r="F65" s="1996"/>
      <c r="G65" s="1996"/>
      <c r="H65" s="1998"/>
      <c r="I65" s="134"/>
      <c r="J65" s="3257"/>
      <c r="K65" s="1503" t="s">
        <v>2073</v>
      </c>
      <c r="L65" s="1503" t="e">
        <f>IF(M49&gt;1000,M49*0.1%,IF(AND(M49&gt;500,M49&lt;=1000),M49*0.5%,IF(AND(M49&gt;50,M49&lt;=500),M49*1%,IF(AND(M49&gt;1,M49&lt;=50),M49*1.5%))))</f>
        <v>#VALUE!</v>
      </c>
      <c r="M65" s="308" t="e">
        <f t="shared" si="1"/>
        <v>#VALUE!</v>
      </c>
      <c r="N65" s="2772" t="s">
        <v>2071</v>
      </c>
      <c r="Z65" s="1940"/>
      <c r="AI65" s="1941"/>
    </row>
    <row r="66" spans="1:35" ht="14.25" customHeight="1">
      <c r="A66" s="178" t="s">
        <v>772</v>
      </c>
      <c r="B66" s="179" t="s">
        <v>2074</v>
      </c>
      <c r="C66" s="2795"/>
      <c r="D66" s="179" t="s">
        <v>32</v>
      </c>
      <c r="E66" s="1511" t="s">
        <v>1337</v>
      </c>
      <c r="F66" s="1996"/>
      <c r="G66" s="1996"/>
      <c r="H66" s="1998"/>
      <c r="I66" s="134"/>
      <c r="J66" s="3257"/>
      <c r="K66" s="1503" t="s">
        <v>2075</v>
      </c>
      <c r="L66" s="1503" t="e">
        <f>M49*0.5%</f>
        <v>#VALUE!</v>
      </c>
      <c r="M66" s="308" t="e">
        <f>IF(L66&gt;0.5,0.5,ROUND(L66,0))</f>
        <v>#VALUE!</v>
      </c>
      <c r="N66" s="2772" t="s">
        <v>2076</v>
      </c>
      <c r="Z66" s="1940"/>
      <c r="AI66" s="1941"/>
    </row>
    <row r="67" spans="1:35" ht="14.25" customHeight="1">
      <c r="A67" s="178" t="s">
        <v>773</v>
      </c>
      <c r="B67" s="179" t="s">
        <v>2077</v>
      </c>
      <c r="C67" s="2796">
        <f ca="1">C63-C66</f>
        <v>11733</v>
      </c>
      <c r="D67" s="175" t="s">
        <v>32</v>
      </c>
      <c r="E67" s="177"/>
      <c r="F67" s="1996"/>
      <c r="G67" s="1996"/>
      <c r="H67" s="1998"/>
      <c r="I67" s="134"/>
      <c r="J67" s="3257"/>
      <c r="K67" s="1503" t="s">
        <v>2078</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2079</v>
      </c>
      <c r="C68" s="2797">
        <f ca="1">IF(C67&lt;=0,0,ROUND(C67*D68,0))</f>
        <v>657</v>
      </c>
      <c r="D68" s="2798">
        <f>'数据-取费表'!B41</f>
        <v>5.6000000000000001E-2</v>
      </c>
      <c r="E68" s="184"/>
      <c r="F68" s="1996"/>
      <c r="G68" s="1996"/>
      <c r="H68" s="1998"/>
      <c r="I68" s="134"/>
      <c r="J68" s="3257"/>
      <c r="K68" s="1503" t="s">
        <v>2080</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57"/>
      <c r="K69" s="1503" t="s">
        <v>2081</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6" t="s">
        <v>2082</v>
      </c>
      <c r="B70" s="3217"/>
      <c r="C70" s="3217"/>
      <c r="D70" s="3217"/>
      <c r="E70" s="3217"/>
      <c r="F70" s="3217"/>
      <c r="G70" s="3217"/>
      <c r="H70" s="3217"/>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5" t="s">
        <v>2063</v>
      </c>
      <c r="B71" s="3196"/>
      <c r="C71" s="2211"/>
      <c r="D71" s="2211" t="s">
        <v>2064</v>
      </c>
      <c r="E71" s="185" t="s">
        <v>2065</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2083</v>
      </c>
      <c r="C72" s="2796">
        <f ca="1">ROUND(D45/(1+'数据-取费表'!C42),0)</f>
        <v>11733</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2084</v>
      </c>
      <c r="C73" s="2796">
        <f ca="1">C74+C78</f>
        <v>70</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2085</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2086</v>
      </c>
      <c r="C75" s="2799"/>
      <c r="D75" s="175" t="s">
        <v>32</v>
      </c>
      <c r="E75" s="190" t="s">
        <v>2087</v>
      </c>
      <c r="F75" s="2800"/>
      <c r="G75" s="190" t="s">
        <v>2088</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2089</v>
      </c>
      <c r="C76" s="175">
        <f>IF(F75="购房发票",ROUND(C75*H75*D76,0),0)</f>
        <v>0</v>
      </c>
      <c r="D76" s="2802">
        <v>0.05</v>
      </c>
      <c r="E76" s="3190" t="s">
        <v>2090</v>
      </c>
      <c r="F76" s="3164"/>
      <c r="G76" s="3164"/>
      <c r="H76" s="321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2091</v>
      </c>
      <c r="C77" s="175">
        <f>ROUND(IF(G77="个人住宅",0,IF(G77="2016年5月1日前购买",C75*D77,C75*D77/(1+'数据-取费表'!C42))),0)</f>
        <v>0</v>
      </c>
      <c r="D77" s="2803">
        <f>'数据-取费表'!B48+'数据-取费表'!B49</f>
        <v>4.0500000000000001E-2</v>
      </c>
      <c r="E77" s="2549" t="s">
        <v>2092</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2093</v>
      </c>
      <c r="C78" s="2804">
        <f ca="1">ROUND(D45*D78/(1+'数据-取费表'!C42),0)</f>
        <v>70</v>
      </c>
      <c r="D78" s="2805">
        <f>'数据-取费表'!B43</f>
        <v>6.000000000000001E-3</v>
      </c>
      <c r="E78" s="3174" t="s">
        <v>2094</v>
      </c>
      <c r="F78" s="3175"/>
      <c r="G78" s="3175"/>
      <c r="H78" s="318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2095</v>
      </c>
      <c r="C79" s="2796">
        <f ca="1">C72-C73</f>
        <v>11663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2096</v>
      </c>
      <c r="C80" s="2806">
        <f ca="1">IF(C79&lt;=0,0,C79/C73)</f>
        <v>166.61428571428573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2097</v>
      </c>
      <c r="C81" s="2807">
        <f ca="1">ROUND(IF(C79&lt;=0,0,IF(C80&gt;=200%,C79*60%-C73*35%,IF(C80&gt;=100%,C79*50%-C73*15%,IF(C80&gt;=50%,C79*40%-C73*5%,IF(C80&lt;50%,C79*30%,0))))),0)</f>
        <v>6973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6" t="s">
        <v>2098</v>
      </c>
      <c r="B83" s="3217"/>
      <c r="C83" s="3217"/>
      <c r="D83" s="3217"/>
      <c r="E83" s="3217"/>
      <c r="F83" s="3217"/>
      <c r="G83" s="3217"/>
      <c r="H83" s="321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5" t="s">
        <v>2063</v>
      </c>
      <c r="B84" s="3196"/>
      <c r="C84" s="2211"/>
      <c r="D84" s="2211" t="s">
        <v>2064</v>
      </c>
      <c r="E84" s="185" t="s">
        <v>2065</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2083</v>
      </c>
      <c r="C85" s="2796">
        <f ca="1">ROUND(D45/(1+'数据-取费表'!C42),0)</f>
        <v>11733</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2084</v>
      </c>
      <c r="C86" s="2796">
        <f ca="1">IF(H88="仅含出让金",C87+C90+C91+C92+C93+C94,C87+C91+C92+C93+C94)</f>
        <v>70</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2099</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2100</v>
      </c>
      <c r="C88" s="2810"/>
      <c r="D88" s="2805"/>
      <c r="E88" s="199" t="s">
        <v>2101</v>
      </c>
      <c r="F88" s="2552"/>
      <c r="G88" s="200" t="s">
        <v>2102</v>
      </c>
      <c r="H88" s="2012"/>
      <c r="I88" s="2009"/>
      <c r="J88" s="2749" t="s">
        <v>3032</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2091</v>
      </c>
      <c r="C89" s="2804">
        <f>ROUND(C88*D89,0)</f>
        <v>0</v>
      </c>
      <c r="D89" s="2805">
        <f>'数据-取费表'!B48+'数据-取费表'!B49</f>
        <v>4.0500000000000001E-2</v>
      </c>
      <c r="E89" s="199" t="s">
        <v>2103</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2104</v>
      </c>
      <c r="C90" s="2810"/>
      <c r="D90" s="2805"/>
      <c r="E90" s="199" t="str">
        <f>IF(H88="-","土地取得成本中已包含该笔费用"," ")</f>
        <v xml:space="preserve"> </v>
      </c>
      <c r="F90" s="2552"/>
      <c r="G90" s="3259" t="s">
        <v>2871</v>
      </c>
      <c r="H90" s="3260"/>
      <c r="I90" s="2009"/>
      <c r="J90" s="2749" t="s">
        <v>3033</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2105</v>
      </c>
      <c r="B91" s="175" t="s">
        <v>2106</v>
      </c>
      <c r="C91" s="2804">
        <f>IF(H91="——",成本法!C33,I91)</f>
        <v>0</v>
      </c>
      <c r="D91" s="2805"/>
      <c r="E91" s="3174" t="s">
        <v>2107</v>
      </c>
      <c r="F91" s="3175"/>
      <c r="G91" s="317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2108</v>
      </c>
      <c r="B92" s="175" t="s">
        <v>2109</v>
      </c>
      <c r="C92" s="2804">
        <f>ROUND((C87+C90+C91)*D92,0)</f>
        <v>0</v>
      </c>
      <c r="D92" s="2811"/>
      <c r="E92" s="3174" t="s">
        <v>2110</v>
      </c>
      <c r="F92" s="3175"/>
      <c r="G92" s="3175"/>
      <c r="H92" s="3184"/>
      <c r="I92" s="2009"/>
      <c r="J92" s="2750" t="s">
        <v>3034</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2111</v>
      </c>
      <c r="B93" s="175" t="s">
        <v>2093</v>
      </c>
      <c r="C93" s="2804">
        <f ca="1">ROUND(D45*D93/(1+'数据-取费表'!C42),0)</f>
        <v>70</v>
      </c>
      <c r="D93" s="2805">
        <f>'数据-取费表'!B43</f>
        <v>6.000000000000001E-3</v>
      </c>
      <c r="E93" s="3174" t="s">
        <v>2094</v>
      </c>
      <c r="F93" s="3175"/>
      <c r="G93" s="3175"/>
      <c r="H93" s="318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2112</v>
      </c>
      <c r="B94" s="175" t="s">
        <v>2113</v>
      </c>
      <c r="C94" s="2810">
        <f>ROUND((C87+C90+C91)*D94,0)</f>
        <v>0</v>
      </c>
      <c r="D94" s="2805">
        <v>0.2</v>
      </c>
      <c r="E94" s="3185" t="s">
        <v>2114</v>
      </c>
      <c r="F94" s="3186"/>
      <c r="G94" s="3186"/>
      <c r="H94" s="318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2095</v>
      </c>
      <c r="C95" s="2796">
        <f ca="1">ROUND(C85-C86,0)</f>
        <v>11663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2096</v>
      </c>
      <c r="C96" s="2806">
        <f ca="1">IF(C95&lt;=0,0,C95/C86)</f>
        <v>166.61428571428573</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2097</v>
      </c>
      <c r="C97" s="2807">
        <f ca="1">ROUND(IF(C95&lt;=0,0,IF(C96&gt;=200%,C95*60%-C86*35%,IF(C96&gt;=100%,C95*50%-C86*15%,IF(C96&gt;=50%,C95*40%-C86*5%,IF(C96&lt;50%,C95*30%,0))))),0)</f>
        <v>6973</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2115</v>
      </c>
      <c r="B99" s="1935"/>
      <c r="C99" s="1935"/>
      <c r="D99" s="1935"/>
      <c r="E99" s="1765"/>
      <c r="F99" s="1765"/>
      <c r="G99" s="1765"/>
      <c r="H99" s="1764"/>
      <c r="I99" s="134"/>
    </row>
    <row r="100" spans="1:35" ht="18.75" customHeight="1">
      <c r="A100" s="3148" t="s">
        <v>2116</v>
      </c>
      <c r="B100" s="3149"/>
      <c r="C100" s="3149"/>
      <c r="D100" s="3176"/>
      <c r="E100" s="3149" t="s">
        <v>2117</v>
      </c>
      <c r="F100" s="3149"/>
      <c r="G100" s="3149"/>
      <c r="H100" s="3176"/>
      <c r="I100" s="134"/>
    </row>
    <row r="101" spans="1:35" ht="18.75" customHeight="1">
      <c r="A101" s="3240" t="s">
        <v>2118</v>
      </c>
      <c r="B101" s="3241"/>
      <c r="C101" s="2813" t="str">
        <f>C4</f>
        <v>成本法</v>
      </c>
      <c r="D101" s="2814" t="str">
        <f>D4</f>
        <v>假设开发法</v>
      </c>
      <c r="E101" s="3254" t="s">
        <v>2119</v>
      </c>
      <c r="F101" s="3208"/>
      <c r="G101" s="2015" t="s">
        <v>2120</v>
      </c>
      <c r="H101" s="2823">
        <f ca="1">H118</f>
        <v>12320</v>
      </c>
      <c r="I101" s="134"/>
    </row>
    <row r="102" spans="1:35" ht="18.75" customHeight="1">
      <c r="A102" s="3210" t="s">
        <v>2121</v>
      </c>
      <c r="B102" s="2812" t="s">
        <v>2120</v>
      </c>
      <c r="C102" s="2813">
        <f ca="1">C19</f>
        <v>14783</v>
      </c>
      <c r="D102" s="2814">
        <f ca="1">D19</f>
        <v>9857</v>
      </c>
      <c r="E102" s="3254"/>
      <c r="F102" s="3208"/>
      <c r="G102" s="2015" t="s">
        <v>2122</v>
      </c>
      <c r="H102" s="2783">
        <f ca="1">I118</f>
        <v>8908</v>
      </c>
      <c r="I102" s="134"/>
    </row>
    <row r="103" spans="1:35" ht="42.75" customHeight="1">
      <c r="A103" s="3210"/>
      <c r="B103" s="2812" t="s">
        <v>2122</v>
      </c>
      <c r="C103" s="2815">
        <f ca="1">C20</f>
        <v>10689</v>
      </c>
      <c r="D103" s="2816">
        <f ca="1">D20</f>
        <v>7127</v>
      </c>
      <c r="E103" s="3248" t="s">
        <v>2123</v>
      </c>
      <c r="F103" s="3249"/>
      <c r="G103" s="2016" t="s">
        <v>2124</v>
      </c>
      <c r="H103" s="2823">
        <f>IF(D36="正常操作",H104+H105+H106,H105+H106)</f>
        <v>0</v>
      </c>
      <c r="I103" s="134"/>
    </row>
    <row r="104" spans="1:35" ht="18.75" customHeight="1">
      <c r="A104" s="3210" t="s">
        <v>2125</v>
      </c>
      <c r="B104" s="2817" t="s">
        <v>2120</v>
      </c>
      <c r="C104" s="2818">
        <f ca="1">H118</f>
        <v>12320</v>
      </c>
      <c r="D104" s="2819"/>
      <c r="E104" s="1862" t="s">
        <v>2126</v>
      </c>
      <c r="F104" s="1853"/>
      <c r="G104" s="2016" t="s">
        <v>2124</v>
      </c>
      <c r="H104" s="2824">
        <f>IF(D36="同一抵押权人同一抵押物续贷",C36&amp;"（续贷，未扣减，详见特别提示）",C36)</f>
        <v>0</v>
      </c>
      <c r="I104" s="134"/>
    </row>
    <row r="105" spans="1:35" ht="18.75" customHeight="1" thickBot="1">
      <c r="A105" s="3211"/>
      <c r="B105" s="2820" t="s">
        <v>2122</v>
      </c>
      <c r="C105" s="2821">
        <f ca="1">I118</f>
        <v>8908</v>
      </c>
      <c r="D105" s="2822"/>
      <c r="E105" s="1862" t="s">
        <v>2127</v>
      </c>
      <c r="F105" s="1853"/>
      <c r="G105" s="2016" t="s">
        <v>2124</v>
      </c>
      <c r="H105" s="2825">
        <f>C37</f>
        <v>0</v>
      </c>
      <c r="I105" s="134"/>
    </row>
    <row r="106" spans="1:35" ht="18.75" customHeight="1">
      <c r="A106" s="1935" t="s">
        <v>2128</v>
      </c>
      <c r="B106" s="1935"/>
      <c r="C106" s="1935"/>
      <c r="D106" s="1935"/>
      <c r="E106" s="2017" t="s">
        <v>2129</v>
      </c>
      <c r="F106" s="1853"/>
      <c r="G106" s="2016" t="s">
        <v>2124</v>
      </c>
      <c r="H106" s="2825">
        <f>C38</f>
        <v>0</v>
      </c>
      <c r="I106" s="134"/>
    </row>
    <row r="107" spans="1:35" ht="18.75" customHeight="1">
      <c r="A107" s="134"/>
      <c r="B107" s="134"/>
      <c r="C107" s="134"/>
      <c r="D107" s="134"/>
      <c r="E107" s="3207" t="str">
        <f>IF(项目基本情况!E8="已注销","——","3.房地产抵押价值")</f>
        <v>3.房地产抵押价值</v>
      </c>
      <c r="F107" s="3208"/>
      <c r="G107" s="2015" t="s">
        <v>2120</v>
      </c>
      <c r="H107" s="2823">
        <f ca="1">IF(E107="——","——",H101-H103)</f>
        <v>12320</v>
      </c>
      <c r="I107" s="134"/>
    </row>
    <row r="108" spans="1:35" ht="18.75" customHeight="1">
      <c r="A108" s="134"/>
      <c r="B108" s="134"/>
      <c r="C108" s="134"/>
      <c r="D108" s="134"/>
      <c r="E108" s="3207"/>
      <c r="F108" s="3208"/>
      <c r="G108" s="2015" t="s">
        <v>2122</v>
      </c>
      <c r="H108" s="2783">
        <f ca="1">ROUND(H107*10000/'数据-汇总表'!E3,0)</f>
        <v>8908</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208"/>
      <c r="G109" s="2015" t="s">
        <v>2120</v>
      </c>
      <c r="H109" s="2826" t="str">
        <f>IF(E109="——","——",H101-H105-H106)</f>
        <v>——</v>
      </c>
      <c r="I109" s="134"/>
    </row>
    <row r="110" spans="1:35" ht="18.75" customHeight="1">
      <c r="A110" s="134"/>
      <c r="B110" s="134"/>
      <c r="C110" s="134"/>
      <c r="D110" s="134"/>
      <c r="E110" s="3207"/>
      <c r="F110" s="3208"/>
      <c r="G110" s="2015" t="s">
        <v>2122</v>
      </c>
      <c r="H110" s="2783"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v>
      </c>
      <c r="F111" s="3209"/>
      <c r="G111" s="2015" t="s">
        <v>2120</v>
      </c>
      <c r="H111" s="2823" t="str">
        <f>IF(E111="——","——",N59)</f>
        <v>——</v>
      </c>
      <c r="I111" s="134"/>
    </row>
    <row r="112" spans="1:35" ht="18.75" customHeight="1" thickBot="1">
      <c r="A112" s="134"/>
      <c r="B112" s="134"/>
      <c r="C112" s="134"/>
      <c r="D112" s="134"/>
      <c r="E112" s="3243"/>
      <c r="F112" s="3244"/>
      <c r="G112" s="2018" t="s">
        <v>2122</v>
      </c>
      <c r="H112" s="2827" t="str">
        <f>IF(E111="——","——",N61)</f>
        <v>——</v>
      </c>
      <c r="I112" s="134"/>
    </row>
    <row r="113" spans="1:27" ht="18.75" customHeight="1">
      <c r="A113" s="134"/>
      <c r="B113" s="134"/>
      <c r="C113" s="134"/>
      <c r="D113" s="134"/>
      <c r="E113" s="3212" t="s">
        <v>2128</v>
      </c>
      <c r="F113" s="3212"/>
      <c r="G113" s="3212"/>
      <c r="H113" s="3212"/>
      <c r="I113" s="134"/>
    </row>
    <row r="114" spans="1:27" ht="3.75" customHeight="1">
      <c r="A114" s="1935"/>
      <c r="B114" s="1935"/>
      <c r="C114" s="1935"/>
      <c r="D114" s="1935"/>
      <c r="E114" s="1997"/>
      <c r="F114" s="1997"/>
      <c r="G114" s="1997"/>
      <c r="H114" s="1997"/>
      <c r="I114" s="1935"/>
    </row>
    <row r="115" spans="1:27" ht="18.75" customHeight="1">
      <c r="A115" s="3225" t="s">
        <v>2130</v>
      </c>
      <c r="B115" s="3226"/>
      <c r="C115" s="3226"/>
      <c r="D115" s="3226"/>
      <c r="E115" s="3226"/>
      <c r="F115" s="3226"/>
      <c r="G115" s="3226"/>
      <c r="H115" s="3226"/>
      <c r="I115" s="3227"/>
    </row>
    <row r="116" spans="1:27" ht="27" customHeight="1">
      <c r="A116" s="3178" t="s">
        <v>2131</v>
      </c>
      <c r="B116" s="3213" t="s">
        <v>2132</v>
      </c>
      <c r="C116" s="3213" t="s">
        <v>2133</v>
      </c>
      <c r="D116" s="3229" t="s">
        <v>2134</v>
      </c>
      <c r="E116" s="3230"/>
      <c r="F116" s="3221" t="s">
        <v>2135</v>
      </c>
      <c r="G116" s="3221"/>
      <c r="H116" s="3178" t="s">
        <v>2136</v>
      </c>
      <c r="I116" s="3178"/>
    </row>
    <row r="117" spans="1:27" ht="18.75" customHeight="1">
      <c r="A117" s="3178"/>
      <c r="B117" s="3214"/>
      <c r="C117" s="3214"/>
      <c r="D117" s="2554" t="s">
        <v>2137</v>
      </c>
      <c r="E117" s="2554" t="s">
        <v>2138</v>
      </c>
      <c r="F117" s="2554" t="s">
        <v>2137</v>
      </c>
      <c r="G117" s="2554" t="s">
        <v>2139</v>
      </c>
      <c r="H117" s="2554" t="s">
        <v>2137</v>
      </c>
      <c r="I117" s="2554" t="s">
        <v>2139</v>
      </c>
    </row>
    <row r="118" spans="1:27" ht="24.75" customHeight="1">
      <c r="A118" s="2828" t="str">
        <f>项目基本情况!S2</f>
        <v>房地产</v>
      </c>
      <c r="B118" s="2554">
        <f>M18</f>
        <v>13829.859999999995</v>
      </c>
      <c r="C118" s="2554">
        <f>M19</f>
        <v>22306.23</v>
      </c>
      <c r="D118" s="2554">
        <f ca="1">ROUND(IF(D32="总价",C34,E118*B118/10000),0)</f>
        <v>7909</v>
      </c>
      <c r="E118" s="2554">
        <f ca="1">ROUND(IF(C33="自定义",IF(D32="楼面单价",C34,D118*10000/B118),I118-G118),0)</f>
        <v>5719</v>
      </c>
      <c r="F118" s="2554">
        <f ca="1">ROUND(IF(D32="总价",C35,G118*B118/10000),0)</f>
        <v>4411</v>
      </c>
      <c r="G118" s="2554">
        <f ca="1">ROUND(IF(D32="楼面单价",C35,F118*10000/B118),0)</f>
        <v>3189</v>
      </c>
      <c r="H118" s="2554">
        <f ca="1">ROUND(IF(D32="总价",C32,I118*B118/10000),0)</f>
        <v>12320</v>
      </c>
      <c r="I118" s="2554">
        <f ca="1">ROUND(IF(D32="楼面单价",C32,H118*10000/B118),0)</f>
        <v>8908</v>
      </c>
    </row>
    <row r="119" spans="1:27" ht="18.75" customHeight="1">
      <c r="A119" s="3178" t="s">
        <v>2140</v>
      </c>
      <c r="B119" s="3178"/>
      <c r="C119" s="3178"/>
      <c r="D119" s="3218" t="str">
        <f ca="1">NUMBERSTRING(INT(D118*10000),2)&amp;"元整"</f>
        <v>柒仟玖佰零玖万元整</v>
      </c>
      <c r="E119" s="3220"/>
      <c r="F119" s="3218" t="str">
        <f ca="1">NUMBERSTRING(INT(F118*10000),2)&amp;"元整"</f>
        <v>肆仟肆佰壹拾壹万元整</v>
      </c>
      <c r="G119" s="3220"/>
      <c r="H119" s="3218" t="str">
        <f ca="1">NUMBERSTRING(INT(H118*10000),2)&amp;"元整"</f>
        <v>壹亿贰仟叁佰贰拾万元整</v>
      </c>
      <c r="I119" s="3220"/>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2" t="s">
        <v>2140</v>
      </c>
      <c r="B121" s="3223"/>
      <c r="C121" s="3224"/>
      <c r="D121" s="3218" t="str">
        <f>IF(D120=0,"零元整",NUMBERSTRING(INT(D120*10000),2)&amp;"元整")</f>
        <v>零元整</v>
      </c>
      <c r="E121" s="3219"/>
      <c r="F121" s="3219"/>
      <c r="G121" s="3219"/>
      <c r="H121" s="3219"/>
      <c r="I121" s="3220"/>
      <c r="AA121" s="734"/>
    </row>
    <row r="122" spans="1:27" ht="18.75" customHeight="1">
      <c r="A122" s="3209" t="str">
        <f>IF(项目基本情况!B9="房地产市场价值","",MID(E107,3,LEN(E107)-2))</f>
        <v>房地产抵押价值</v>
      </c>
      <c r="B122" s="3209"/>
      <c r="C122" s="3209"/>
      <c r="D122" s="3245">
        <f ca="1">H107</f>
        <v>12320</v>
      </c>
      <c r="E122" s="3246"/>
      <c r="F122" s="3246"/>
      <c r="G122" s="3246"/>
      <c r="H122" s="3246"/>
      <c r="I122" s="3247"/>
      <c r="AA122" s="734"/>
    </row>
    <row r="123" spans="1:27" ht="18.75" customHeight="1">
      <c r="A123" s="3178" t="s">
        <v>2140</v>
      </c>
      <c r="B123" s="3178"/>
      <c r="C123" s="3178"/>
      <c r="D123" s="3218" t="str">
        <f ca="1">NUMBERSTRING(INT(D122*10000),2)&amp;"元整"</f>
        <v>壹亿贰仟叁佰贰拾万元整</v>
      </c>
      <c r="E123" s="3219"/>
      <c r="F123" s="3219"/>
      <c r="G123" s="3219"/>
      <c r="H123" s="3219"/>
      <c r="I123" s="3220"/>
      <c r="AA123" s="734"/>
    </row>
    <row r="124" spans="1:27" ht="18.75" customHeight="1">
      <c r="A124" s="3209" t="str">
        <f>IF(项目基本情况!B9="房地产市场价值","",MID(E109,3,LEN(E109)-2))</f>
        <v/>
      </c>
      <c r="B124" s="3209"/>
      <c r="C124" s="3209"/>
      <c r="D124" s="3245" t="str">
        <f>H109</f>
        <v>——</v>
      </c>
      <c r="E124" s="3246"/>
      <c r="F124" s="3246"/>
      <c r="G124" s="3246"/>
      <c r="H124" s="3246"/>
      <c r="I124" s="3247"/>
      <c r="AA124" s="734"/>
    </row>
    <row r="125" spans="1:27" ht="18.75" customHeight="1">
      <c r="A125" s="3178" t="s">
        <v>2140</v>
      </c>
      <c r="B125" s="3178"/>
      <c r="C125" s="3178"/>
      <c r="D125" s="3218" t="e">
        <f>NUMBERSTRING(INT(D124*10000),2)&amp;"元整"</f>
        <v>#VALUE!</v>
      </c>
      <c r="E125" s="3219"/>
      <c r="F125" s="3219"/>
      <c r="G125" s="3219"/>
      <c r="H125" s="3219"/>
      <c r="I125" s="3220"/>
      <c r="AA125" s="734"/>
    </row>
    <row r="126" spans="1:27" ht="18.75" customHeight="1">
      <c r="A126" s="3209" t="str">
        <f>IF(项目基本情况!B9="房地产市场价值","",MID(E111,3,LEN(E111)-2))</f>
        <v/>
      </c>
      <c r="B126" s="3209"/>
      <c r="C126" s="3209"/>
      <c r="D126" s="3245" t="str">
        <f>H111</f>
        <v>——</v>
      </c>
      <c r="E126" s="3246"/>
      <c r="F126" s="3246"/>
      <c r="G126" s="3246"/>
      <c r="H126" s="3246"/>
      <c r="I126" s="3247"/>
      <c r="AA126" s="734"/>
    </row>
    <row r="127" spans="1:27" ht="18.75" customHeight="1">
      <c r="A127" s="3178" t="s">
        <v>2140</v>
      </c>
      <c r="B127" s="3178"/>
      <c r="C127" s="3178"/>
      <c r="D127" s="3218" t="e">
        <f>NUMBERSTRING(INT(D126*10000),2)&amp;"元整"</f>
        <v>#VALUE!</v>
      </c>
      <c r="E127" s="3219"/>
      <c r="F127" s="3219"/>
      <c r="G127" s="3219"/>
      <c r="H127" s="3219"/>
      <c r="I127" s="3220"/>
      <c r="AA127" s="734"/>
    </row>
    <row r="128" spans="1:27" ht="21.75" customHeight="1">
      <c r="A128" s="3228" t="s">
        <v>2141</v>
      </c>
      <c r="B128" s="3228"/>
      <c r="C128" s="3228"/>
      <c r="D128" s="3228"/>
      <c r="E128" s="3228"/>
      <c r="F128" s="3228"/>
      <c r="G128" s="3228"/>
      <c r="H128" s="3228"/>
      <c r="I128" s="3228"/>
      <c r="AA128" s="734"/>
    </row>
    <row r="129" spans="1:35" ht="21.75" customHeight="1">
      <c r="A129" s="2019" t="s">
        <v>2142</v>
      </c>
      <c r="B129" s="2020"/>
      <c r="C129" s="2021" t="s">
        <v>2143</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2144</v>
      </c>
      <c r="G135" s="2036"/>
      <c r="H135" s="2036"/>
      <c r="I135" s="2037" t="s">
        <v>2145</v>
      </c>
    </row>
    <row r="136" spans="1:35" ht="21.75" customHeight="1">
      <c r="A136" s="734"/>
      <c r="B136" s="2038"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2147</v>
      </c>
    </row>
    <row r="139" spans="1:35" ht="21.75" customHeight="1">
      <c r="A139" s="734"/>
      <c r="B139" s="2038" t="s">
        <v>2148</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2147</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6"/>
      <c r="C1" s="204"/>
      <c r="D1" s="204"/>
      <c r="E1" s="204"/>
      <c r="F1" s="204"/>
      <c r="G1" s="1288">
        <f>MATCH(B1,'数据-取费表'!A6:A16,0)+5</f>
        <v>7</v>
      </c>
    </row>
    <row r="2" spans="1:9" s="206" customFormat="1" ht="18" customHeight="1">
      <c r="A2" s="207" t="s">
        <v>2150</v>
      </c>
      <c r="B2" s="208">
        <f ca="1">IF(D2="——",C52,C52-E2)</f>
        <v>14783</v>
      </c>
      <c r="C2" s="205" t="s">
        <v>2151</v>
      </c>
      <c r="D2" s="2041" t="s">
        <v>70</v>
      </c>
      <c r="E2" s="1331" t="e">
        <f ca="1">SUMIF(INDIRECT("'"&amp;G2&amp;"'"&amp;"!A:A"),"承租人权益价值",INDIRECT("'"&amp;G2&amp;"'"&amp;"!c:c"))</f>
        <v>#REF!</v>
      </c>
      <c r="F2" s="2042" t="s">
        <v>2151</v>
      </c>
      <c r="G2" s="2043"/>
    </row>
    <row r="3" spans="1:9" s="206" customFormat="1" ht="18" customHeight="1" thickBot="1">
      <c r="A3" s="209" t="s">
        <v>2152</v>
      </c>
      <c r="B3" s="210">
        <f ca="1">ROUND(B2*10000/(IF(B1="",'数据-汇总表'!E3,INDIRECT("'数据-取费表'!k"&amp;$G$1))),0)</f>
        <v>10689</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7498.9299999999976</v>
      </c>
      <c r="D5" s="217" t="s">
        <v>2157</v>
      </c>
      <c r="E5" s="218" t="s">
        <v>2158</v>
      </c>
      <c r="F5" s="218" t="s">
        <v>2159</v>
      </c>
      <c r="G5" s="219"/>
    </row>
    <row r="6" spans="1:9" s="220" customFormat="1" ht="13.5" customHeight="1">
      <c r="A6" s="886" t="s">
        <v>2160</v>
      </c>
      <c r="B6" s="221" t="s">
        <v>2161</v>
      </c>
      <c r="C6" s="222">
        <f ca="1">0.5*D10</f>
        <v>6914.9299999999976</v>
      </c>
      <c r="D6" s="223"/>
      <c r="E6" s="224"/>
      <c r="F6" s="224"/>
      <c r="G6" s="225"/>
    </row>
    <row r="7" spans="1:9" s="220" customFormat="1" ht="13.5" customHeight="1">
      <c r="A7" s="886" t="s">
        <v>2162</v>
      </c>
      <c r="B7" s="221" t="s">
        <v>2163</v>
      </c>
      <c r="C7" s="226">
        <f ca="1">ROUND(C6*F7,0)</f>
        <v>280</v>
      </c>
      <c r="D7" s="226"/>
      <c r="E7" s="224"/>
      <c r="F7" s="227">
        <f>IF(项目基本情况!B8="出让",0,'数据-取费表'!B48+'数据-取费表'!B49)</f>
        <v>4.0500000000000001E-2</v>
      </c>
      <c r="G7" s="225"/>
    </row>
    <row r="8" spans="1:9" s="229" customFormat="1">
      <c r="A8" s="886" t="s">
        <v>2164</v>
      </c>
      <c r="B8" s="221" t="s">
        <v>2165</v>
      </c>
      <c r="C8" s="226">
        <f ca="1">IF(G8="已包含在土地购买价格中","0",IF(B1="",'数据-取费表'!B29,IF(G9="全部缴纳",C9+C10,H9)))</f>
        <v>304</v>
      </c>
      <c r="D8" s="228"/>
      <c r="E8" s="226"/>
      <c r="F8" s="227"/>
      <c r="G8" s="2044" t="s">
        <v>3605</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220</v>
      </c>
      <c r="F9" s="227"/>
      <c r="G9" s="2045" t="s">
        <v>3606</v>
      </c>
      <c r="H9" s="1299"/>
      <c r="I9" s="2046" t="s">
        <v>2167</v>
      </c>
    </row>
    <row r="10" spans="1:9" s="220" customFormat="1" ht="13.5" customHeight="1">
      <c r="A10" s="887" t="s">
        <v>801</v>
      </c>
      <c r="B10" s="230" t="s">
        <v>2168</v>
      </c>
      <c r="C10" s="231">
        <f ca="1">ROUND(D10*E10/10000,0)</f>
        <v>304</v>
      </c>
      <c r="D10" s="954">
        <f ca="1">IF(B1="",'数据-汇总表'!E6,IF(INDIRECT("'数据-取费表'!c"&amp;$G$1)="住宅",INDIRECT("'数据-取费表'!s"&amp;$G$1),INDIRECT("'数据-取费表'!k"&amp;$G$1)+INDIRECT("'数据-取费表'!s"&amp;$G$1)))</f>
        <v>13829.859999999995</v>
      </c>
      <c r="E10" s="231">
        <f>'数据-取费表'!B28</f>
        <v>220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13829.859999999995</v>
      </c>
      <c r="E19" s="217">
        <f>'数据-取费表'!B31</f>
        <v>200</v>
      </c>
      <c r="F19" s="237"/>
      <c r="G19" s="2044" t="s">
        <v>3607</v>
      </c>
    </row>
    <row r="20" spans="1:7" s="220" customFormat="1" ht="13.5" customHeight="1">
      <c r="A20" s="261" t="s">
        <v>2181</v>
      </c>
      <c r="B20" s="216" t="s">
        <v>2182</v>
      </c>
      <c r="C20" s="238">
        <f ca="1">ROUND((C5+C19)*F20,0)</f>
        <v>150</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433</v>
      </c>
      <c r="D22" s="241">
        <f ca="1">C26</f>
        <v>5.9999999999999995E-4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429</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4</v>
      </c>
      <c r="D25" s="244"/>
      <c r="E25" s="247"/>
      <c r="F25" s="245"/>
      <c r="G25" s="248" t="s">
        <v>2198</v>
      </c>
    </row>
    <row r="26" spans="1:7" s="220" customFormat="1">
      <c r="A26" s="888" t="s">
        <v>795</v>
      </c>
      <c r="B26" s="221" t="s">
        <v>2199</v>
      </c>
      <c r="C26" s="244">
        <f ca="1">ROUND(IF('数据-取费表'!B22&lt;=1,F21*F22*'数据-取费表'!B23/2,F21*(POWER((1+F22),'数据-取费表'!B23/2)-1)),4)</f>
        <v>5.9999999999999995E-4</v>
      </c>
      <c r="D26" s="244"/>
      <c r="E26" s="247"/>
      <c r="F26" s="245"/>
      <c r="G26" s="249"/>
    </row>
    <row r="27" spans="1:7" s="220" customFormat="1" ht="24.75">
      <c r="A27" s="261" t="s">
        <v>2200</v>
      </c>
      <c r="B27" s="250" t="s">
        <v>2201</v>
      </c>
      <c r="C27" s="251">
        <f ca="1">C28</f>
        <v>688</v>
      </c>
      <c r="D27" s="241">
        <f ca="1">C29</f>
        <v>1.8E-3</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688</v>
      </c>
      <c r="D28" s="241"/>
      <c r="E28" s="242"/>
      <c r="F28" s="252"/>
      <c r="G28" s="253"/>
    </row>
    <row r="29" spans="1:7" s="220" customFormat="1" ht="13.5" customHeight="1">
      <c r="A29" s="888" t="s">
        <v>792</v>
      </c>
      <c r="B29" s="254" t="s">
        <v>2205</v>
      </c>
      <c r="C29" s="244">
        <f ca="1">ROUND(C21*F27*'数据-取费表'!B21/'数据-取费表'!B20,4)</f>
        <v>1.8E-3</v>
      </c>
      <c r="D29" s="241"/>
      <c r="E29" s="242"/>
      <c r="F29" s="252"/>
      <c r="G29" s="253"/>
    </row>
    <row r="30" spans="1:7" s="220" customFormat="1" ht="13.5" customHeight="1">
      <c r="A30" s="261" t="s">
        <v>2206</v>
      </c>
      <c r="B30" s="216" t="s">
        <v>2207</v>
      </c>
      <c r="C30" s="241">
        <f>ROUND(F30/(1+'数据-取费表'!C42),4)</f>
        <v>5.33E-2</v>
      </c>
      <c r="D30" s="242" t="s">
        <v>2202</v>
      </c>
      <c r="E30" s="247"/>
      <c r="F30" s="243">
        <f>'数据-取费表'!B41</f>
        <v>5.6000000000000001E-2</v>
      </c>
      <c r="G30" s="240" t="s">
        <v>2208</v>
      </c>
    </row>
    <row r="31" spans="1:7" ht="16.5" customHeight="1">
      <c r="A31" s="215">
        <v>1</v>
      </c>
      <c r="B31" s="216" t="s">
        <v>2209</v>
      </c>
      <c r="C31" s="217">
        <f ca="1">ROUND((C5+C19+C20+C22+C27)/(1-C21-D22-D27-C30),0)</f>
        <v>9488</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4068</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3734</v>
      </c>
      <c r="D34" s="223"/>
      <c r="E34" s="226"/>
      <c r="F34" s="263">
        <f ca="1">IF('数据-取费表'!B24=0,1,IF(B1="",'数据-取费表'!N16,INDIRECT("'数据-取费表'!n"&amp;$G$1)))</f>
        <v>0.6</v>
      </c>
      <c r="G34" s="225" t="s">
        <v>2214</v>
      </c>
    </row>
    <row r="35" spans="1:7" ht="13.5" customHeight="1">
      <c r="A35" s="888" t="s">
        <v>796</v>
      </c>
      <c r="B35" s="221" t="s">
        <v>2215</v>
      </c>
      <c r="C35" s="226">
        <f ca="1">ROUND(C34*F35,0)</f>
        <v>112</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2218</v>
      </c>
    </row>
    <row r="37" spans="1:7" s="264" customFormat="1" ht="13.5" customHeight="1">
      <c r="A37" s="888" t="s">
        <v>798</v>
      </c>
      <c r="B37" s="221" t="s">
        <v>2219</v>
      </c>
      <c r="C37" s="255">
        <f ca="1">ROUND(E37*D37*F34/10000,0)</f>
        <v>166</v>
      </c>
      <c r="D37" s="223">
        <f ca="1">D19</f>
        <v>13829.859999999995</v>
      </c>
      <c r="E37" s="255">
        <f>'数据-取费表'!B35</f>
        <v>200</v>
      </c>
      <c r="F37" s="265"/>
      <c r="G37" s="267" t="s">
        <v>2220</v>
      </c>
    </row>
    <row r="38" spans="1:7" ht="13.5" customHeight="1">
      <c r="A38" s="888" t="s">
        <v>799</v>
      </c>
      <c r="B38" s="221" t="s">
        <v>2221</v>
      </c>
      <c r="C38" s="226">
        <f ca="1">ROUND(C34*F38,0)</f>
        <v>56</v>
      </c>
      <c r="D38" s="226"/>
      <c r="E38" s="226"/>
      <c r="F38" s="265">
        <f>'数据-取费表'!B36</f>
        <v>1.4999999999999999E-2</v>
      </c>
      <c r="G38" s="225" t="s">
        <v>2216</v>
      </c>
    </row>
    <row r="39" spans="1:7" s="220" customFormat="1" ht="13.5" customHeight="1">
      <c r="A39" s="261" t="s">
        <v>2222</v>
      </c>
      <c r="B39" s="216" t="s">
        <v>2223</v>
      </c>
      <c r="C39" s="238">
        <f ca="1">ROUND(C33*F20,0)</f>
        <v>81</v>
      </c>
      <c r="D39" s="238"/>
      <c r="E39" s="238"/>
      <c r="F39" s="2537">
        <f>F20</f>
        <v>0.02</v>
      </c>
      <c r="G39" s="240" t="s">
        <v>2224</v>
      </c>
    </row>
    <row r="40" spans="1:7" s="220" customFormat="1" ht="13.5" customHeight="1">
      <c r="A40" s="261" t="s">
        <v>2225</v>
      </c>
      <c r="B40" s="216" t="s">
        <v>2226</v>
      </c>
      <c r="C40" s="1497">
        <f>F21</f>
        <v>0.02</v>
      </c>
      <c r="D40" s="242" t="s">
        <v>2227</v>
      </c>
      <c r="E40" s="238"/>
      <c r="F40" s="2537">
        <f>F21</f>
        <v>0.02</v>
      </c>
      <c r="G40" s="240" t="s">
        <v>2228</v>
      </c>
    </row>
    <row r="41" spans="1:7" s="220" customFormat="1" ht="13.5" customHeight="1">
      <c r="A41" s="261" t="s">
        <v>2229</v>
      </c>
      <c r="B41" s="216" t="s">
        <v>2230</v>
      </c>
      <c r="C41" s="238">
        <f ca="1">ROUND(SUM(C42:C43),0)</f>
        <v>117</v>
      </c>
      <c r="D41" s="241">
        <f ca="1">C44</f>
        <v>5.9999999999999995E-4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115</v>
      </c>
      <c r="D42" s="244"/>
      <c r="E42" s="244"/>
      <c r="F42" s="245"/>
      <c r="G42" s="3261" t="s">
        <v>2232</v>
      </c>
    </row>
    <row r="43" spans="1:7" ht="13.5" customHeight="1">
      <c r="A43" s="888" t="s">
        <v>792</v>
      </c>
      <c r="B43" s="221" t="s">
        <v>2233</v>
      </c>
      <c r="C43" s="244">
        <f ca="1">ROUND(IF('数据-取费表'!B22&lt;=1,C39*F22*'数据-取费表'!B21/2,C39*(POWER((1+F22),'数据-取费表'!B21/2)-1)),0)</f>
        <v>2</v>
      </c>
      <c r="D43" s="244"/>
      <c r="E43" s="244"/>
      <c r="F43" s="245"/>
      <c r="G43" s="3262"/>
    </row>
    <row r="44" spans="1:7" ht="13.5" customHeight="1">
      <c r="A44" s="888" t="s">
        <v>793</v>
      </c>
      <c r="B44" s="221" t="s">
        <v>2234</v>
      </c>
      <c r="C44" s="244">
        <f ca="1">ROUND(IF('数据-取费表'!B22&lt;=1,C40*F22*'数据-取费表'!B21/2,C40*(POWER((1+F22),'数据-取费表'!B21/2)-1)),4)</f>
        <v>5.9999999999999995E-4</v>
      </c>
      <c r="D44" s="244"/>
      <c r="E44" s="244"/>
      <c r="F44" s="245"/>
      <c r="G44" s="3263"/>
    </row>
    <row r="45" spans="1:7" s="220" customFormat="1" ht="13.5" customHeight="1">
      <c r="A45" s="261" t="s">
        <v>2235</v>
      </c>
      <c r="B45" s="250" t="s">
        <v>2201</v>
      </c>
      <c r="C45" s="251">
        <f ca="1">C46</f>
        <v>622</v>
      </c>
      <c r="D45" s="241">
        <f ca="1">C47</f>
        <v>3.0000000000000001E-3</v>
      </c>
      <c r="E45" s="242" t="s">
        <v>2227</v>
      </c>
      <c r="F45" s="2539">
        <f ca="1">F27</f>
        <v>0.15</v>
      </c>
      <c r="G45" s="253" t="s">
        <v>2236</v>
      </c>
    </row>
    <row r="46" spans="1:7" s="220" customFormat="1" ht="13.5" customHeight="1">
      <c r="A46" s="888" t="s">
        <v>791</v>
      </c>
      <c r="B46" s="254" t="s">
        <v>2237</v>
      </c>
      <c r="C46" s="255">
        <f ca="1">ROUND((C33+C39)*F27,0)</f>
        <v>622</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7">
        <f>ROUND(F30/(1+'数据-取费表'!C42),4)</f>
        <v>5.33E-2</v>
      </c>
      <c r="D48" s="242" t="s">
        <v>2227</v>
      </c>
      <c r="E48" s="238"/>
      <c r="F48" s="2538">
        <f>F30</f>
        <v>5.6000000000000001E-2</v>
      </c>
      <c r="G48" s="240" t="s">
        <v>2240</v>
      </c>
    </row>
    <row r="49" spans="1:7" ht="16.5" customHeight="1">
      <c r="A49" s="261" t="s">
        <v>2206</v>
      </c>
      <c r="B49" s="216" t="s">
        <v>2241</v>
      </c>
      <c r="C49" s="238">
        <f ca="1">ROUND((C33+C39+C41+C45)/(1-C40-D41-D45-C48),0)</f>
        <v>5295</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5295</v>
      </c>
      <c r="D51" s="238"/>
      <c r="E51" s="238"/>
      <c r="F51" s="270"/>
      <c r="G51" s="240" t="s">
        <v>2248</v>
      </c>
    </row>
    <row r="52" spans="1:7" s="214" customFormat="1" ht="16.5" thickBot="1">
      <c r="A52" s="271" t="s">
        <v>2249</v>
      </c>
      <c r="B52" s="272"/>
      <c r="C52" s="273">
        <f ca="1">C31+C51</f>
        <v>14783</v>
      </c>
      <c r="D52" s="272"/>
      <c r="E52" s="272"/>
      <c r="F52" s="272"/>
      <c r="G52" s="274"/>
    </row>
    <row r="55" spans="1:7" ht="15">
      <c r="B55" s="276" t="s">
        <v>2250</v>
      </c>
      <c r="C55" s="277"/>
    </row>
    <row r="56" spans="1:7">
      <c r="B56" s="279" t="s">
        <v>1478</v>
      </c>
      <c r="C56" s="281">
        <f ca="1">1-C57</f>
        <v>0.64200000000000002</v>
      </c>
    </row>
    <row r="57" spans="1:7">
      <c r="B57" s="279" t="s">
        <v>1479</v>
      </c>
      <c r="C57" s="280">
        <f ca="1">ROUND(C51/C52,3)</f>
        <v>0.35799999999999998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6"/>
      <c r="C1" s="2047" t="s">
        <v>2251</v>
      </c>
      <c r="D1" s="204"/>
      <c r="E1" s="204"/>
      <c r="F1" s="204"/>
      <c r="G1" s="1288">
        <f>MATCH(B1,'数据-取费表'!A6:A16,0)+5</f>
        <v>7</v>
      </c>
      <c r="H1" s="1192" t="str">
        <f>IF(ISERROR(FIND("住宅",B1)),"非住宅","住宅")</f>
        <v>非住宅</v>
      </c>
    </row>
    <row r="2" spans="1:8" s="206" customFormat="1" ht="18" customHeight="1">
      <c r="A2" s="207" t="s">
        <v>2150</v>
      </c>
      <c r="B2" s="208">
        <f ca="1">ROUND(IF(D2="——",C52/10000,C52/10000-E2),0)</f>
        <v>9776</v>
      </c>
      <c r="C2" s="205" t="s">
        <v>2151</v>
      </c>
      <c r="D2" s="2041" t="s">
        <v>70</v>
      </c>
      <c r="E2" s="1331" t="e">
        <f ca="1">SUMIF(INDIRECT("'"&amp;G2&amp;"'"&amp;"!A:A"),"承租人权益价值",INDIRECT("'"&amp;G2&amp;"'"&amp;"!c:c"))</f>
        <v>#REF!</v>
      </c>
      <c r="F2" s="2042" t="s">
        <v>2151</v>
      </c>
      <c r="G2" s="2043"/>
    </row>
    <row r="3" spans="1:8" s="206" customFormat="1" ht="18" customHeight="1" thickBot="1">
      <c r="A3" s="209" t="s">
        <v>2152</v>
      </c>
      <c r="B3" s="210">
        <f ca="1">ROUND(B2*10000/(IF(B1="",'数据-汇总表'!E3,INDIRECT("'数据-取费表'!k"&amp;$G$1))),0)</f>
        <v>7069</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3042569</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4.0500000000000001E-2</v>
      </c>
      <c r="G7" s="225"/>
    </row>
    <row r="8" spans="1:8" s="229" customFormat="1">
      <c r="A8" s="886" t="s">
        <v>2164</v>
      </c>
      <c r="B8" s="221" t="s">
        <v>2165</v>
      </c>
      <c r="C8" s="226">
        <f ca="1">IF(G8="已包含在土地购买价格中",0,C9+C10)</f>
        <v>3042569</v>
      </c>
      <c r="D8" s="228"/>
      <c r="E8" s="226"/>
      <c r="F8" s="227"/>
      <c r="G8" s="2044"/>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220</v>
      </c>
      <c r="F9" s="227"/>
      <c r="G9" s="232"/>
    </row>
    <row r="10" spans="1:8" s="220" customFormat="1" ht="13.5" customHeight="1">
      <c r="A10" s="887" t="s">
        <v>801</v>
      </c>
      <c r="B10" s="230" t="s">
        <v>2168</v>
      </c>
      <c r="C10" s="231">
        <f ca="1">ROUND(D10*E10,0)</f>
        <v>3042569</v>
      </c>
      <c r="D10" s="954">
        <f ca="1">IF(B1="",'数据-汇总表'!E6,IF(INDIRECT("'数据-取费表'!c"&amp;$G$1)="住宅",INDIRECT("'数据-取费表'!s"&amp;$G$1),INDIRECT("'数据-取费表'!k"&amp;$G$1)+INDIRECT("'数据-取费表'!s"&amp;$G$1)))</f>
        <v>13829.859999999995</v>
      </c>
      <c r="E10" s="231">
        <f>'数据-取费表'!B28</f>
        <v>220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2765972</v>
      </c>
      <c r="D19" s="958">
        <f ca="1">D9+D10</f>
        <v>13829.859999999995</v>
      </c>
      <c r="E19" s="217">
        <f>'数据-取费表'!B31</f>
        <v>200</v>
      </c>
      <c r="F19" s="237"/>
      <c r="G19" s="2044"/>
    </row>
    <row r="20" spans="1:7" s="220" customFormat="1" ht="13.5" customHeight="1">
      <c r="A20" s="261" t="s">
        <v>2262</v>
      </c>
      <c r="B20" s="216" t="s">
        <v>2263</v>
      </c>
      <c r="C20" s="238">
        <f ca="1">ROUND((C5+C19)*F20,0)</f>
        <v>116171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570435</v>
      </c>
      <c r="D22" s="241">
        <f ca="1">C26</f>
        <v>1E-3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295909</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269008</v>
      </c>
      <c r="D24" s="244"/>
      <c r="E24" s="244"/>
      <c r="F24" s="245"/>
      <c r="G24" s="246" t="s">
        <v>2274</v>
      </c>
    </row>
    <row r="25" spans="1:7" s="220" customFormat="1" ht="24">
      <c r="A25" s="888" t="s">
        <v>2164</v>
      </c>
      <c r="B25" s="221" t="s">
        <v>2275</v>
      </c>
      <c r="C25" s="1290">
        <f ca="1">ROUND(IF('数据-取费表'!B22&lt;=1,C20*F22*'数据-取费表'!B22/2,C20*(POWER((1+F22),'数据-取费表'!B22/2)-1)),0)</f>
        <v>5518</v>
      </c>
      <c r="D25" s="244"/>
      <c r="E25" s="247"/>
      <c r="F25" s="245"/>
      <c r="G25" s="248" t="s">
        <v>2276</v>
      </c>
    </row>
    <row r="26" spans="1:7" s="220" customFormat="1">
      <c r="A26" s="888" t="s">
        <v>795</v>
      </c>
      <c r="B26" s="221" t="s">
        <v>2199</v>
      </c>
      <c r="C26" s="244">
        <f ca="1">ROUND(IF('数据-取费表'!B22&lt;=1,F21*F22*'数据-取费表'!B22/2,F21*(POWER((1+F22),'数据-取费表'!B22/2)-1)),4)</f>
        <v>1E-3</v>
      </c>
      <c r="D26" s="244"/>
      <c r="E26" s="247"/>
      <c r="F26" s="245"/>
      <c r="G26" s="249"/>
    </row>
    <row r="27" spans="1:7" s="220" customFormat="1" ht="24.75">
      <c r="A27" s="261" t="s">
        <v>2200</v>
      </c>
      <c r="B27" s="250" t="s">
        <v>2201</v>
      </c>
      <c r="C27" s="251">
        <f ca="1">C28</f>
        <v>888707</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888707</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5.33E-2</v>
      </c>
      <c r="D30" s="242" t="s">
        <v>2202</v>
      </c>
      <c r="E30" s="247"/>
      <c r="F30" s="243">
        <f>'数据-取费表'!B41</f>
        <v>5.6000000000000001E-2</v>
      </c>
      <c r="G30" s="240" t="s">
        <v>2208</v>
      </c>
    </row>
    <row r="31" spans="1:7" ht="16.5" customHeight="1">
      <c r="A31" s="215">
        <v>1</v>
      </c>
      <c r="B31" s="216" t="s">
        <v>2209</v>
      </c>
      <c r="C31" s="217">
        <f ca="1">ROUND((C5+C19+C20+C22+C27)/(1-C21-D22-D27-C30),0)</f>
        <v>8002443</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67800889</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62234370</v>
      </c>
      <c r="D34" s="223"/>
      <c r="E34" s="226"/>
      <c r="F34" s="263"/>
      <c r="G34" s="225"/>
    </row>
    <row r="35" spans="1:7" ht="13.5" customHeight="1">
      <c r="A35" s="888" t="s">
        <v>796</v>
      </c>
      <c r="B35" s="221" t="s">
        <v>2215</v>
      </c>
      <c r="C35" s="226">
        <f ca="1">ROUND(C34*F35,0)</f>
        <v>1867031</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v>
      </c>
      <c r="G36" s="266" t="s">
        <v>2218</v>
      </c>
    </row>
    <row r="37" spans="1:7" s="264" customFormat="1" ht="13.5" customHeight="1">
      <c r="A37" s="888" t="s">
        <v>798</v>
      </c>
      <c r="B37" s="221" t="s">
        <v>2219</v>
      </c>
      <c r="C37" s="255">
        <f ca="1">ROUND(E37*D37,0)</f>
        <v>2765972</v>
      </c>
      <c r="D37" s="223">
        <f ca="1">D19</f>
        <v>13829.859999999995</v>
      </c>
      <c r="E37" s="255">
        <f>'数据-取费表'!B35</f>
        <v>200</v>
      </c>
      <c r="F37" s="265"/>
      <c r="G37" s="267"/>
    </row>
    <row r="38" spans="1:7" ht="13.5" customHeight="1">
      <c r="A38" s="888" t="s">
        <v>799</v>
      </c>
      <c r="B38" s="221" t="s">
        <v>2221</v>
      </c>
      <c r="C38" s="226">
        <f ca="1">ROUND(C34*F38,0)</f>
        <v>933516</v>
      </c>
      <c r="D38" s="226"/>
      <c r="E38" s="226"/>
      <c r="F38" s="265">
        <f>'数据-取费表'!B36</f>
        <v>1.4999999999999999E-2</v>
      </c>
      <c r="G38" s="225" t="s">
        <v>2216</v>
      </c>
    </row>
    <row r="39" spans="1:7" s="220" customFormat="1" ht="13.5" customHeight="1">
      <c r="A39" s="261" t="s">
        <v>2222</v>
      </c>
      <c r="B39" s="216" t="s">
        <v>2223</v>
      </c>
      <c r="C39" s="238">
        <f ca="1">ROUND(C33*F20,0)</f>
        <v>1356018</v>
      </c>
      <c r="D39" s="238"/>
      <c r="E39" s="238"/>
      <c r="F39" s="2537">
        <f>F20</f>
        <v>0.02</v>
      </c>
      <c r="G39" s="240" t="s">
        <v>2224</v>
      </c>
    </row>
    <row r="40" spans="1:7" s="220" customFormat="1" ht="13.5" customHeight="1">
      <c r="A40" s="261" t="s">
        <v>2225</v>
      </c>
      <c r="B40" s="216" t="s">
        <v>2226</v>
      </c>
      <c r="C40" s="1497">
        <f>F21</f>
        <v>0.02</v>
      </c>
      <c r="D40" s="242" t="s">
        <v>2227</v>
      </c>
      <c r="E40" s="238"/>
      <c r="F40" s="2537">
        <f>F21</f>
        <v>0.02</v>
      </c>
      <c r="G40" s="240" t="s">
        <v>2228</v>
      </c>
    </row>
    <row r="41" spans="1:7" s="220" customFormat="1" ht="13.5" customHeight="1">
      <c r="A41" s="261" t="s">
        <v>2229</v>
      </c>
      <c r="B41" s="216" t="s">
        <v>2230</v>
      </c>
      <c r="C41" s="238">
        <f ca="1">ROUND(SUM(C42:C43),0)</f>
        <v>3284953</v>
      </c>
      <c r="D41" s="241">
        <f ca="1">C44</f>
        <v>1E-3</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3220542</v>
      </c>
      <c r="D42" s="244"/>
      <c r="E42" s="244"/>
      <c r="F42" s="245"/>
      <c r="G42" s="3261" t="s">
        <v>2279</v>
      </c>
    </row>
    <row r="43" spans="1:7" ht="13.5" customHeight="1">
      <c r="A43" s="888" t="s">
        <v>792</v>
      </c>
      <c r="B43" s="221" t="s">
        <v>2233</v>
      </c>
      <c r="C43" s="244">
        <f ca="1">ROUND(IF('数据-取费表'!B22&lt;=1,C39*F22*'数据-取费表'!B20/2,C39*(POWER((1+F22),'数据-取费表'!B20/2)-1)),0)</f>
        <v>64411</v>
      </c>
      <c r="D43" s="244"/>
      <c r="E43" s="244"/>
      <c r="F43" s="245"/>
      <c r="G43" s="3262"/>
    </row>
    <row r="44" spans="1:7" ht="13.5" customHeight="1">
      <c r="A44" s="888" t="s">
        <v>793</v>
      </c>
      <c r="B44" s="221" t="s">
        <v>2234</v>
      </c>
      <c r="C44" s="244">
        <f ca="1">ROUND(IF('数据-取费表'!B22&lt;=1,C40*F22*'数据-取费表'!B20/2,C40*(POWER((1+F22),'数据-取费表'!B20/2)-1)),4)</f>
        <v>1E-3</v>
      </c>
      <c r="D44" s="244"/>
      <c r="E44" s="244"/>
      <c r="F44" s="245"/>
      <c r="G44" s="3263"/>
    </row>
    <row r="45" spans="1:7" s="220" customFormat="1" ht="13.5" customHeight="1">
      <c r="A45" s="261" t="s">
        <v>2235</v>
      </c>
      <c r="B45" s="250" t="s">
        <v>2201</v>
      </c>
      <c r="C45" s="251">
        <f ca="1">C46</f>
        <v>10373536</v>
      </c>
      <c r="D45" s="241">
        <f ca="1">C47</f>
        <v>3.0000000000000001E-3</v>
      </c>
      <c r="E45" s="242" t="s">
        <v>2227</v>
      </c>
      <c r="F45" s="2539">
        <f ca="1">F27</f>
        <v>0.15</v>
      </c>
      <c r="G45" s="253" t="s">
        <v>2236</v>
      </c>
    </row>
    <row r="46" spans="1:7" s="220" customFormat="1" ht="13.5" customHeight="1">
      <c r="A46" s="888" t="s">
        <v>791</v>
      </c>
      <c r="B46" s="254" t="s">
        <v>2237</v>
      </c>
      <c r="C46" s="255">
        <f ca="1">ROUND((C33+C39)*F27,0)</f>
        <v>10373536</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5.33E-2</v>
      </c>
      <c r="D48" s="242" t="s">
        <v>2227</v>
      </c>
      <c r="E48" s="238"/>
      <c r="F48" s="2538">
        <f>F30</f>
        <v>5.6000000000000001E-2</v>
      </c>
      <c r="G48" s="240" t="s">
        <v>2240</v>
      </c>
    </row>
    <row r="49" spans="1:7" ht="16.5" customHeight="1">
      <c r="A49" s="261" t="s">
        <v>2206</v>
      </c>
      <c r="B49" s="216" t="s">
        <v>2280</v>
      </c>
      <c r="C49" s="238">
        <f ca="1">ROUND((C33+C39+C41+C45)/(1-C40-D41-D45-C48),0)</f>
        <v>89753328</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89753328</v>
      </c>
      <c r="D51" s="238"/>
      <c r="E51" s="238"/>
      <c r="F51" s="270"/>
      <c r="G51" s="240" t="s">
        <v>2248</v>
      </c>
    </row>
    <row r="52" spans="1:7" s="214" customFormat="1" ht="16.5" thickBot="1">
      <c r="A52" s="271" t="s">
        <v>2249</v>
      </c>
      <c r="B52" s="272"/>
      <c r="C52" s="273">
        <f ca="1">C31+C51</f>
        <v>97755771</v>
      </c>
      <c r="D52" s="272"/>
      <c r="E52" s="272"/>
      <c r="F52" s="272"/>
      <c r="G52" s="274"/>
    </row>
    <row r="55" spans="1:7" ht="15">
      <c r="B55" s="276" t="s">
        <v>2250</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21" zoomScale="80" zoomScaleNormal="60" zoomScaleSheetLayoutView="80" workbookViewId="0">
      <selection activeCell="D50" sqref="D5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2152</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268" t="s">
        <v>2466</v>
      </c>
      <c r="D4" s="3281"/>
      <c r="E4" s="3282" t="s">
        <v>2467</v>
      </c>
      <c r="F4" s="3283"/>
      <c r="G4" s="3268" t="s">
        <v>2468</v>
      </c>
      <c r="H4" s="3281"/>
      <c r="I4" s="3268" t="s">
        <v>2469</v>
      </c>
      <c r="J4" s="3281"/>
      <c r="K4" s="567" t="s">
        <v>2470</v>
      </c>
      <c r="L4" s="2946"/>
      <c r="M4" s="2947"/>
      <c r="N4" s="2947"/>
      <c r="O4" s="2947"/>
      <c r="P4" s="3284" t="s">
        <v>2471</v>
      </c>
      <c r="Q4" s="3285"/>
      <c r="R4" s="3290" t="s">
        <v>2467</v>
      </c>
      <c r="S4" s="3291"/>
      <c r="T4" s="3290" t="s">
        <v>2468</v>
      </c>
      <c r="U4" s="3291"/>
      <c r="V4" s="3277" t="s">
        <v>2469</v>
      </c>
      <c r="W4" s="3277"/>
      <c r="X4" s="1541"/>
      <c r="Y4" s="3290" t="s">
        <v>2471</v>
      </c>
      <c r="Z4" s="3291"/>
      <c r="AA4" s="3278" t="s">
        <v>2467</v>
      </c>
      <c r="AB4" s="3279" t="s">
        <v>2468</v>
      </c>
      <c r="AC4" s="3278" t="s">
        <v>2469</v>
      </c>
    </row>
    <row r="5" spans="1:30" ht="15">
      <c r="A5" s="364"/>
      <c r="B5" s="365"/>
      <c r="C5" s="3298" t="s">
        <v>2362</v>
      </c>
      <c r="D5" s="3299"/>
      <c r="E5" s="3305" t="s">
        <v>2363</v>
      </c>
      <c r="F5" s="3306"/>
      <c r="G5" s="3298" t="s">
        <v>2364</v>
      </c>
      <c r="H5" s="3299"/>
      <c r="I5" s="3298" t="s">
        <v>2365</v>
      </c>
      <c r="J5" s="3299"/>
      <c r="K5" s="567"/>
      <c r="L5" s="2946"/>
      <c r="M5" s="2947"/>
      <c r="N5" s="2947"/>
      <c r="O5" s="2947"/>
      <c r="P5" s="3286"/>
      <c r="Q5" s="3287"/>
      <c r="R5" s="3292"/>
      <c r="S5" s="3293"/>
      <c r="T5" s="3292"/>
      <c r="U5" s="3293"/>
      <c r="V5" s="3277"/>
      <c r="W5" s="3277"/>
      <c r="X5" s="1541"/>
      <c r="Y5" s="3292"/>
      <c r="Z5" s="3293"/>
      <c r="AA5" s="3279"/>
      <c r="AB5" s="3279"/>
      <c r="AC5" s="3279"/>
    </row>
    <row r="6" spans="1:30" ht="15.75" thickBot="1">
      <c r="A6" s="366"/>
      <c r="B6" s="367"/>
      <c r="C6" s="3296" t="s">
        <v>2366</v>
      </c>
      <c r="D6" s="3297"/>
      <c r="E6" s="3303" t="s">
        <v>2366</v>
      </c>
      <c r="F6" s="3304"/>
      <c r="G6" s="3296" t="s">
        <v>2366</v>
      </c>
      <c r="H6" s="3297"/>
      <c r="I6" s="3296" t="s">
        <v>2366</v>
      </c>
      <c r="J6" s="3297"/>
      <c r="K6" s="567" t="s">
        <v>2367</v>
      </c>
      <c r="L6" s="2946"/>
      <c r="M6" s="2947"/>
      <c r="N6" s="2947"/>
      <c r="O6" s="2947"/>
      <c r="P6" s="3288"/>
      <c r="Q6" s="3289"/>
      <c r="R6" s="3292"/>
      <c r="S6" s="3293"/>
      <c r="T6" s="3294"/>
      <c r="U6" s="3295"/>
      <c r="V6" s="3277"/>
      <c r="W6" s="3277"/>
      <c r="X6" s="1541"/>
      <c r="Y6" s="3294"/>
      <c r="Z6" s="3295"/>
      <c r="AA6" s="3280"/>
      <c r="AB6" s="3280"/>
      <c r="AC6" s="3280"/>
    </row>
    <row r="7" spans="1:30" s="113" customFormat="1" ht="15.75" thickBot="1">
      <c r="A7" s="368" t="s">
        <v>2368</v>
      </c>
      <c r="B7" s="369"/>
      <c r="C7" s="370">
        <f>'数据-取费表'!B2</f>
        <v>44187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00" t="s">
        <v>2369</v>
      </c>
      <c r="Q7" s="3302"/>
      <c r="R7" s="710" t="s">
        <v>17</v>
      </c>
      <c r="S7" s="711">
        <f t="shared" ref="S7:S15" si="0">F7</f>
        <v>0</v>
      </c>
      <c r="T7" s="710" t="s">
        <v>17</v>
      </c>
      <c r="U7" s="711">
        <f t="shared" ref="U7:U15" si="1">H7</f>
        <v>0</v>
      </c>
      <c r="V7" s="710" t="s">
        <v>17</v>
      </c>
      <c r="W7" s="711">
        <f t="shared" ref="W7:W15" si="2">J7</f>
        <v>0</v>
      </c>
      <c r="X7" s="712"/>
      <c r="Y7" s="3300" t="s">
        <v>2369</v>
      </c>
      <c r="Z7" s="330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00" t="s">
        <v>2372</v>
      </c>
      <c r="Q8" s="3301"/>
      <c r="R8" s="710" t="s">
        <v>17</v>
      </c>
      <c r="S8" s="711">
        <f t="shared" si="0"/>
        <v>0</v>
      </c>
      <c r="T8" s="710" t="s">
        <v>17</v>
      </c>
      <c r="U8" s="711">
        <f t="shared" si="1"/>
        <v>0</v>
      </c>
      <c r="V8" s="710" t="s">
        <v>17</v>
      </c>
      <c r="W8" s="711">
        <f t="shared" si="2"/>
        <v>0</v>
      </c>
      <c r="X8" s="712"/>
      <c r="Y8" s="3300" t="s">
        <v>2372</v>
      </c>
      <c r="Z8" s="3301"/>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71"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271"/>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71"/>
      <c r="Q11" s="1529"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71"/>
      <c r="Q12" s="1529" t="str">
        <f t="shared" si="6"/>
        <v>配建</v>
      </c>
      <c r="R12" s="710" t="s">
        <v>17</v>
      </c>
      <c r="S12" s="711">
        <f t="shared" si="0"/>
        <v>100</v>
      </c>
      <c r="T12" s="710" t="s">
        <v>17</v>
      </c>
      <c r="U12" s="711">
        <f t="shared" si="1"/>
        <v>100</v>
      </c>
      <c r="V12" s="710" t="s">
        <v>17</v>
      </c>
      <c r="W12" s="711">
        <f t="shared" si="2"/>
        <v>100</v>
      </c>
      <c r="X12" s="712"/>
      <c r="Y12" s="316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71"/>
      <c r="Q13" s="1529">
        <f t="shared" si="6"/>
        <v>111</v>
      </c>
      <c r="R13" s="710" t="s">
        <v>17</v>
      </c>
      <c r="S13" s="711">
        <f t="shared" si="0"/>
        <v>100</v>
      </c>
      <c r="T13" s="710" t="s">
        <v>17</v>
      </c>
      <c r="U13" s="711">
        <f t="shared" si="1"/>
        <v>100</v>
      </c>
      <c r="V13" s="710" t="s">
        <v>17</v>
      </c>
      <c r="W13" s="711">
        <f t="shared" si="2"/>
        <v>100</v>
      </c>
      <c r="X13" s="712"/>
      <c r="Y13" s="316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71"/>
      <c r="Q14" s="1529">
        <f t="shared" si="6"/>
        <v>111</v>
      </c>
      <c r="R14" s="710" t="s">
        <v>17</v>
      </c>
      <c r="S14" s="711">
        <f t="shared" si="0"/>
        <v>100</v>
      </c>
      <c r="T14" s="710" t="s">
        <v>17</v>
      </c>
      <c r="U14" s="711">
        <f t="shared" si="1"/>
        <v>100</v>
      </c>
      <c r="V14" s="710" t="s">
        <v>17</v>
      </c>
      <c r="W14" s="711">
        <f t="shared" si="2"/>
        <v>100</v>
      </c>
      <c r="X14" s="712"/>
      <c r="Y14" s="3165"/>
      <c r="Z14" s="55">
        <f t="shared" si="7"/>
        <v>111</v>
      </c>
      <c r="AA14" s="713">
        <f>D14/F14</f>
        <v>1</v>
      </c>
      <c r="AB14" s="713">
        <f>D14/H14</f>
        <v>1</v>
      </c>
      <c r="AC14" s="713">
        <f>D14/J14</f>
        <v>1</v>
      </c>
    </row>
    <row r="15" spans="1:30" ht="99.75">
      <c r="A15" s="399" t="s">
        <v>2379</v>
      </c>
      <c r="B15" s="65" t="s">
        <v>1945</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73" t="s">
        <v>2380</v>
      </c>
      <c r="Q15" s="1538" t="str">
        <f t="shared" si="6"/>
        <v>居住社区成熟度</v>
      </c>
      <c r="R15" s="714" t="s">
        <v>17</v>
      </c>
      <c r="S15" s="715">
        <f t="shared" si="0"/>
        <v>100</v>
      </c>
      <c r="T15" s="714" t="s">
        <v>17</v>
      </c>
      <c r="U15" s="715">
        <f t="shared" si="1"/>
        <v>100</v>
      </c>
      <c r="V15" s="714" t="s">
        <v>17</v>
      </c>
      <c r="W15" s="715">
        <f t="shared" si="2"/>
        <v>100</v>
      </c>
      <c r="X15" s="1541"/>
      <c r="Y15" s="3273"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4"/>
      <c r="Q16" s="1538"/>
      <c r="R16" s="714"/>
      <c r="S16" s="715"/>
      <c r="T16" s="714"/>
      <c r="U16" s="715"/>
      <c r="V16" s="714"/>
      <c r="W16" s="715"/>
      <c r="X16" s="1541"/>
      <c r="Y16" s="3274"/>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4"/>
      <c r="Q17" s="1538" t="str">
        <f>B17</f>
        <v>商业繁华度</v>
      </c>
      <c r="R17" s="714" t="s">
        <v>17</v>
      </c>
      <c r="S17" s="715">
        <f>F17</f>
        <v>100</v>
      </c>
      <c r="T17" s="714" t="s">
        <v>17</v>
      </c>
      <c r="U17" s="715">
        <f>H17</f>
        <v>100</v>
      </c>
      <c r="V17" s="714" t="s">
        <v>17</v>
      </c>
      <c r="W17" s="715">
        <f>J17</f>
        <v>100</v>
      </c>
      <c r="X17" s="1541"/>
      <c r="Y17" s="327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4"/>
      <c r="Q18" s="1538"/>
      <c r="R18" s="714"/>
      <c r="S18" s="715"/>
      <c r="T18" s="714"/>
      <c r="U18" s="715"/>
      <c r="V18" s="714"/>
      <c r="W18" s="715"/>
      <c r="X18" s="1541"/>
      <c r="Y18" s="3274"/>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4"/>
      <c r="Q19" s="1538" t="str">
        <f>B19</f>
        <v>办公集聚程度</v>
      </c>
      <c r="R19" s="714" t="s">
        <v>17</v>
      </c>
      <c r="S19" s="715">
        <f>F19</f>
        <v>100</v>
      </c>
      <c r="T19" s="714" t="s">
        <v>17</v>
      </c>
      <c r="U19" s="715">
        <f>H19</f>
        <v>100</v>
      </c>
      <c r="V19" s="714" t="s">
        <v>17</v>
      </c>
      <c r="W19" s="715">
        <f>J19</f>
        <v>100</v>
      </c>
      <c r="X19" s="1541"/>
      <c r="Y19" s="327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4"/>
      <c r="Q20" s="1538"/>
      <c r="R20" s="714"/>
      <c r="S20" s="715"/>
      <c r="T20" s="714"/>
      <c r="U20" s="715"/>
      <c r="V20" s="714"/>
      <c r="W20" s="715"/>
      <c r="X20" s="1541"/>
      <c r="Y20" s="3274"/>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4"/>
      <c r="Q21" s="1538" t="str">
        <f>B21</f>
        <v>交通便捷度</v>
      </c>
      <c r="R21" s="714" t="s">
        <v>17</v>
      </c>
      <c r="S21" s="715">
        <f>F21</f>
        <v>100</v>
      </c>
      <c r="T21" s="714" t="s">
        <v>17</v>
      </c>
      <c r="U21" s="715">
        <f>H21</f>
        <v>100</v>
      </c>
      <c r="V21" s="714" t="s">
        <v>17</v>
      </c>
      <c r="W21" s="715">
        <f>J21</f>
        <v>100</v>
      </c>
      <c r="X21" s="1541"/>
      <c r="Y21" s="327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4"/>
      <c r="Q22" s="1538"/>
      <c r="R22" s="714"/>
      <c r="S22" s="715"/>
      <c r="T22" s="714"/>
      <c r="U22" s="715"/>
      <c r="V22" s="714"/>
      <c r="W22" s="715"/>
      <c r="X22" s="1541"/>
      <c r="Y22" s="3274"/>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4"/>
      <c r="Q23" s="1538" t="str">
        <f t="shared" ref="Q23:Q37" si="8">B23</f>
        <v>区域土地利用方向</v>
      </c>
      <c r="R23" s="714" t="s">
        <v>17</v>
      </c>
      <c r="S23" s="715">
        <f>F23</f>
        <v>100</v>
      </c>
      <c r="T23" s="714" t="s">
        <v>17</v>
      </c>
      <c r="U23" s="715">
        <f>H23</f>
        <v>100</v>
      </c>
      <c r="V23" s="714" t="s">
        <v>17</v>
      </c>
      <c r="W23" s="715">
        <f>J23</f>
        <v>100</v>
      </c>
      <c r="X23" s="1541"/>
      <c r="Y23" s="327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4"/>
      <c r="Q24" s="1538"/>
      <c r="R24" s="714"/>
      <c r="S24" s="715"/>
      <c r="T24" s="714"/>
      <c r="U24" s="715"/>
      <c r="V24" s="714"/>
      <c r="W24" s="715"/>
      <c r="X24" s="1541"/>
      <c r="Y24" s="3274"/>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4"/>
      <c r="Q25" s="1538" t="str">
        <f t="shared" si="8"/>
        <v>自然及人文环境状况</v>
      </c>
      <c r="R25" s="714" t="s">
        <v>17</v>
      </c>
      <c r="S25" s="715">
        <f>F25</f>
        <v>100</v>
      </c>
      <c r="T25" s="714" t="s">
        <v>17</v>
      </c>
      <c r="U25" s="715">
        <f>H25</f>
        <v>100</v>
      </c>
      <c r="V25" s="714" t="s">
        <v>17</v>
      </c>
      <c r="W25" s="715">
        <f>J25</f>
        <v>100</v>
      </c>
      <c r="X25" s="1541"/>
      <c r="Y25" s="327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4"/>
      <c r="Q26" s="1538"/>
      <c r="R26" s="714"/>
      <c r="S26" s="715"/>
      <c r="T26" s="714"/>
      <c r="U26" s="715"/>
      <c r="V26" s="714"/>
      <c r="W26" s="715"/>
      <c r="X26" s="1541"/>
      <c r="Y26" s="3274"/>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4"/>
      <c r="Q27" s="1529" t="str">
        <f t="shared" si="8"/>
        <v>公共配套设施</v>
      </c>
      <c r="R27" s="710" t="s">
        <v>17</v>
      </c>
      <c r="S27" s="711">
        <f>F27</f>
        <v>100</v>
      </c>
      <c r="T27" s="710" t="s">
        <v>17</v>
      </c>
      <c r="U27" s="711">
        <f>H27</f>
        <v>100</v>
      </c>
      <c r="V27" s="710" t="s">
        <v>17</v>
      </c>
      <c r="W27" s="711">
        <f>J27</f>
        <v>100</v>
      </c>
      <c r="X27" s="712"/>
      <c r="Y27" s="327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4"/>
      <c r="Q28" s="1529"/>
      <c r="R28" s="710"/>
      <c r="S28" s="711"/>
      <c r="T28" s="710"/>
      <c r="U28" s="711"/>
      <c r="V28" s="710"/>
      <c r="W28" s="711"/>
      <c r="X28" s="712"/>
      <c r="Y28" s="3274"/>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4"/>
      <c r="Q29" s="1529" t="str">
        <f t="shared" ref="Q29" si="9">B29</f>
        <v>基础设施水平</v>
      </c>
      <c r="R29" s="710" t="s">
        <v>17</v>
      </c>
      <c r="S29" s="711">
        <f>F29</f>
        <v>100</v>
      </c>
      <c r="T29" s="710" t="s">
        <v>17</v>
      </c>
      <c r="U29" s="711">
        <f>H29</f>
        <v>100</v>
      </c>
      <c r="V29" s="710" t="s">
        <v>17</v>
      </c>
      <c r="W29" s="711">
        <f>J29</f>
        <v>100</v>
      </c>
      <c r="X29" s="712"/>
      <c r="Y29" s="327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4"/>
      <c r="Q30" s="1529"/>
      <c r="R30" s="710"/>
      <c r="S30" s="711"/>
      <c r="T30" s="710"/>
      <c r="U30" s="711"/>
      <c r="V30" s="710"/>
      <c r="W30" s="711"/>
      <c r="X30" s="712"/>
      <c r="Y30" s="3274"/>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4"/>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4"/>
      <c r="Q32" s="1538" t="str">
        <f t="shared" si="8"/>
        <v>毗邻道路的类型与等级</v>
      </c>
      <c r="R32" s="714" t="s">
        <v>17</v>
      </c>
      <c r="S32" s="715">
        <f t="shared" si="10"/>
        <v>100</v>
      </c>
      <c r="T32" s="714" t="s">
        <v>17</v>
      </c>
      <c r="U32" s="715">
        <f t="shared" si="11"/>
        <v>100</v>
      </c>
      <c r="V32" s="714" t="s">
        <v>17</v>
      </c>
      <c r="W32" s="715">
        <f t="shared" si="12"/>
        <v>100</v>
      </c>
      <c r="X32" s="1541"/>
      <c r="Y32" s="327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4"/>
      <c r="Q33" s="1538"/>
      <c r="R33" s="714"/>
      <c r="S33" s="715"/>
      <c r="T33" s="714"/>
      <c r="U33" s="715"/>
      <c r="V33" s="714"/>
      <c r="W33" s="715"/>
      <c r="X33" s="1541"/>
      <c r="Y33" s="3274"/>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4"/>
      <c r="Q34" s="1538" t="str">
        <f t="shared" si="8"/>
        <v>土地级别</v>
      </c>
      <c r="R34" s="714" t="s">
        <v>17</v>
      </c>
      <c r="S34" s="715">
        <f t="shared" si="10"/>
        <v>100</v>
      </c>
      <c r="T34" s="714" t="s">
        <v>17</v>
      </c>
      <c r="U34" s="715">
        <f t="shared" si="11"/>
        <v>100</v>
      </c>
      <c r="V34" s="714" t="s">
        <v>17</v>
      </c>
      <c r="W34" s="715">
        <f t="shared" si="12"/>
        <v>100</v>
      </c>
      <c r="X34" s="1541"/>
      <c r="Y34" s="327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4"/>
      <c r="Q35" s="1538">
        <f t="shared" si="8"/>
        <v>111</v>
      </c>
      <c r="R35" s="714" t="s">
        <v>17</v>
      </c>
      <c r="S35" s="715">
        <f t="shared" si="10"/>
        <v>100</v>
      </c>
      <c r="T35" s="714" t="s">
        <v>17</v>
      </c>
      <c r="U35" s="715">
        <f t="shared" si="11"/>
        <v>100</v>
      </c>
      <c r="V35" s="714" t="s">
        <v>17</v>
      </c>
      <c r="W35" s="715">
        <f t="shared" si="12"/>
        <v>100</v>
      </c>
      <c r="X35" s="1541"/>
      <c r="Y35" s="327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275" t="s">
        <v>2385</v>
      </c>
      <c r="Q36" s="1538">
        <f t="shared" si="8"/>
        <v>111</v>
      </c>
      <c r="R36" s="714" t="s">
        <v>17</v>
      </c>
      <c r="S36" s="715">
        <f t="shared" si="10"/>
        <v>100</v>
      </c>
      <c r="T36" s="714" t="s">
        <v>17</v>
      </c>
      <c r="U36" s="715">
        <f t="shared" si="11"/>
        <v>100</v>
      </c>
      <c r="V36" s="714" t="s">
        <v>17</v>
      </c>
      <c r="W36" s="715">
        <f t="shared" si="12"/>
        <v>100</v>
      </c>
      <c r="X36" s="1541"/>
      <c r="Y36" s="3276"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76"/>
      <c r="Q37" s="1538">
        <f t="shared" si="8"/>
        <v>111</v>
      </c>
      <c r="R37" s="717" t="s">
        <v>17</v>
      </c>
      <c r="S37" s="718">
        <f t="shared" si="10"/>
        <v>100</v>
      </c>
      <c r="T37" s="717" t="s">
        <v>17</v>
      </c>
      <c r="U37" s="718">
        <f t="shared" si="11"/>
        <v>100</v>
      </c>
      <c r="V37" s="717" t="s">
        <v>17</v>
      </c>
      <c r="W37" s="718">
        <f t="shared" si="12"/>
        <v>100</v>
      </c>
      <c r="X37" s="719"/>
      <c r="Y37" s="3276"/>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76"/>
      <c r="Q38" s="1538" t="str">
        <f>B38</f>
        <v>宗地面积</v>
      </c>
      <c r="R38" s="714" t="s">
        <v>17</v>
      </c>
      <c r="S38" s="715" t="e">
        <f t="shared" si="10"/>
        <v>#N/A</v>
      </c>
      <c r="T38" s="714" t="s">
        <v>17</v>
      </c>
      <c r="U38" s="715" t="e">
        <f t="shared" si="11"/>
        <v>#N/A</v>
      </c>
      <c r="V38" s="714" t="s">
        <v>17</v>
      </c>
      <c r="W38" s="715" t="e">
        <f t="shared" si="12"/>
        <v>#N/A</v>
      </c>
      <c r="X38" s="1541"/>
      <c r="Y38" s="3276"/>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76"/>
      <c r="Q39" s="1538" t="str">
        <f t="shared" ref="Q39:Q45" si="14">B39</f>
        <v>宗地形状</v>
      </c>
      <c r="R39" s="714" t="s">
        <v>17</v>
      </c>
      <c r="S39" s="715">
        <f t="shared" si="10"/>
        <v>100</v>
      </c>
      <c r="T39" s="714" t="s">
        <v>17</v>
      </c>
      <c r="U39" s="715">
        <f t="shared" si="11"/>
        <v>100</v>
      </c>
      <c r="V39" s="714" t="s">
        <v>17</v>
      </c>
      <c r="W39" s="715">
        <f t="shared" si="12"/>
        <v>100</v>
      </c>
      <c r="X39" s="1541"/>
      <c r="Y39" s="3276"/>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76"/>
      <c r="Q40" s="1538" t="str">
        <f t="shared" si="14"/>
        <v>临街宽度及深度</v>
      </c>
      <c r="R40" s="714" t="s">
        <v>17</v>
      </c>
      <c r="S40" s="715">
        <f t="shared" si="10"/>
        <v>100</v>
      </c>
      <c r="T40" s="714" t="s">
        <v>17</v>
      </c>
      <c r="U40" s="715">
        <f t="shared" si="11"/>
        <v>100</v>
      </c>
      <c r="V40" s="714" t="s">
        <v>17</v>
      </c>
      <c r="W40" s="715">
        <f t="shared" si="12"/>
        <v>100</v>
      </c>
      <c r="X40" s="1541"/>
      <c r="Y40" s="3276"/>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76"/>
      <c r="Q41" s="1538" t="str">
        <f t="shared" si="14"/>
        <v>宗地开发程度</v>
      </c>
      <c r="R41" s="710" t="s">
        <v>17</v>
      </c>
      <c r="S41" s="711">
        <f t="shared" si="10"/>
        <v>100</v>
      </c>
      <c r="T41" s="710" t="s">
        <v>17</v>
      </c>
      <c r="U41" s="711">
        <f t="shared" si="11"/>
        <v>100</v>
      </c>
      <c r="V41" s="710" t="s">
        <v>17</v>
      </c>
      <c r="W41" s="711">
        <f t="shared" si="12"/>
        <v>100</v>
      </c>
      <c r="X41" s="712"/>
      <c r="Y41" s="3276"/>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76" t="s">
        <v>2385</v>
      </c>
      <c r="Q42" s="1538" t="str">
        <f t="shared" si="14"/>
        <v>工程地质条件</v>
      </c>
      <c r="R42" s="714" t="s">
        <v>17</v>
      </c>
      <c r="S42" s="715">
        <f t="shared" si="10"/>
        <v>100</v>
      </c>
      <c r="T42" s="714" t="s">
        <v>17</v>
      </c>
      <c r="U42" s="715">
        <f t="shared" si="11"/>
        <v>100</v>
      </c>
      <c r="V42" s="714" t="s">
        <v>17</v>
      </c>
      <c r="W42" s="715">
        <f t="shared" si="12"/>
        <v>100</v>
      </c>
      <c r="X42" s="1541"/>
      <c r="Y42" s="3276"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76"/>
      <c r="Q43" s="1538">
        <f t="shared" si="14"/>
        <v>111</v>
      </c>
      <c r="R43" s="714" t="s">
        <v>17</v>
      </c>
      <c r="S43" s="715">
        <f t="shared" si="10"/>
        <v>100</v>
      </c>
      <c r="T43" s="714" t="s">
        <v>17</v>
      </c>
      <c r="U43" s="715">
        <f t="shared" si="11"/>
        <v>100</v>
      </c>
      <c r="V43" s="714" t="s">
        <v>17</v>
      </c>
      <c r="W43" s="715">
        <f t="shared" si="12"/>
        <v>100</v>
      </c>
      <c r="X43" s="1541"/>
      <c r="Y43" s="3276"/>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76"/>
      <c r="Q44" s="1538">
        <f t="shared" si="14"/>
        <v>111</v>
      </c>
      <c r="R44" s="714" t="s">
        <v>17</v>
      </c>
      <c r="S44" s="715">
        <f t="shared" si="10"/>
        <v>100</v>
      </c>
      <c r="T44" s="714" t="s">
        <v>17</v>
      </c>
      <c r="U44" s="715">
        <f t="shared" si="11"/>
        <v>100</v>
      </c>
      <c r="V44" s="714" t="s">
        <v>17</v>
      </c>
      <c r="W44" s="715">
        <f t="shared" si="12"/>
        <v>100</v>
      </c>
      <c r="X44" s="1541"/>
      <c r="Y44" s="3276"/>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76"/>
      <c r="Q45" s="1538">
        <f t="shared" si="14"/>
        <v>111</v>
      </c>
      <c r="R45" s="717" t="s">
        <v>17</v>
      </c>
      <c r="S45" s="718">
        <f t="shared" si="10"/>
        <v>100</v>
      </c>
      <c r="T45" s="717" t="s">
        <v>17</v>
      </c>
      <c r="U45" s="718">
        <f t="shared" si="11"/>
        <v>100</v>
      </c>
      <c r="V45" s="717" t="s">
        <v>17</v>
      </c>
      <c r="W45" s="718">
        <f t="shared" si="12"/>
        <v>100</v>
      </c>
      <c r="X45" s="719"/>
      <c r="Y45" s="3276"/>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5"/>
      <c r="M46" s="2956"/>
      <c r="N46" s="2947"/>
      <c r="O46" s="2956"/>
      <c r="P46" s="3271" t="str">
        <f>A46</f>
        <v>成交单价</v>
      </c>
      <c r="Q46" s="3271"/>
      <c r="R46" s="3277">
        <f>E46</f>
        <v>0</v>
      </c>
      <c r="S46" s="3277"/>
      <c r="T46" s="3277">
        <f>G46</f>
        <v>0</v>
      </c>
      <c r="U46" s="3277"/>
      <c r="V46" s="3277">
        <f>I46</f>
        <v>0</v>
      </c>
      <c r="W46" s="3277"/>
      <c r="X46" s="699"/>
      <c r="Y46" s="721"/>
      <c r="Z46" s="699"/>
      <c r="AA46" s="699"/>
      <c r="AB46" s="699"/>
      <c r="AC46" s="699"/>
    </row>
    <row r="47" spans="1:29" ht="15.75" thickBot="1">
      <c r="A47" s="445" t="s">
        <v>2489</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271" t="str">
        <f>A47</f>
        <v>比较价值（元/平方米）</v>
      </c>
      <c r="Q47" s="3271"/>
      <c r="R47" s="3264" t="e">
        <f>ROUND(PRODUCT(R46,AA7:AA45),0)</f>
        <v>#DIV/0!</v>
      </c>
      <c r="S47" s="3264"/>
      <c r="T47" s="3264" t="e">
        <f>ROUND(PRODUCT(T46,AB7:AB45),0)</f>
        <v>#DIV/0!</v>
      </c>
      <c r="U47" s="3264"/>
      <c r="V47" s="3264" t="e">
        <f>ROUND(PRODUCT(V46,AC7:AC45),0)</f>
        <v>#DIV/0!</v>
      </c>
      <c r="W47" s="3264"/>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5"/>
      <c r="M48" s="2956"/>
      <c r="N48" s="2956"/>
      <c r="O48" s="2956"/>
      <c r="P48" s="3265" t="str">
        <f>A48</f>
        <v>估价对象XX用房的比较价值（楼面单价，元/平方米）</v>
      </c>
      <c r="Q48" s="3266"/>
      <c r="R48" s="3267" t="e">
        <f>ROUND(IF(D47="简单平均",AVERAGE(R47:W47),R47*F47+T47*H47+V47*J47),0)</f>
        <v>#DIV/0!</v>
      </c>
      <c r="S48" s="3267"/>
      <c r="T48" s="3267"/>
      <c r="U48" s="3267"/>
      <c r="V48" s="3267"/>
      <c r="W48" s="3267"/>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2578</v>
      </c>
      <c r="B55" s="641" t="s">
        <v>2579</v>
      </c>
      <c r="C55" s="2171" t="s">
        <v>2580</v>
      </c>
      <c r="D55" s="2172" t="s">
        <v>2581</v>
      </c>
      <c r="E55" s="642" t="s">
        <v>2582</v>
      </c>
      <c r="F55" s="1021" t="s">
        <v>2583</v>
      </c>
      <c r="G55" s="3268" t="s">
        <v>2584</v>
      </c>
      <c r="H55" s="3269"/>
      <c r="I55" s="140" t="s">
        <v>2585</v>
      </c>
      <c r="J55" s="2173">
        <f>项目基本情况!F35</f>
        <v>0</v>
      </c>
      <c r="K55" s="2174" t="s">
        <v>2586</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2587</v>
      </c>
      <c r="B56" s="645" t="e">
        <f>C48</f>
        <v>#DIV/0!</v>
      </c>
      <c r="C56" s="646">
        <v>1</v>
      </c>
      <c r="D56" s="1075">
        <v>1</v>
      </c>
      <c r="E56" s="646">
        <f>'数据-汇总表'!E8+'数据-汇总表'!E9</f>
        <v>13829.859999999995</v>
      </c>
      <c r="F56" s="1017" t="e">
        <f t="shared" ref="F56:F65" si="15">ROUND(B56*E56/10000,0)</f>
        <v>#DIV/0!</v>
      </c>
      <c r="G56" s="3270"/>
      <c r="H56" s="327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2588</v>
      </c>
      <c r="B57" s="224" t="e">
        <f>ROUND($C$48*C57*D57,0)</f>
        <v>#DIV/0!</v>
      </c>
      <c r="C57" s="176">
        <f t="shared" ref="C57:C65" si="16">IF($C$55="北京市系数",I57,J57)</f>
        <v>0</v>
      </c>
      <c r="D57" s="1076">
        <v>0.25</v>
      </c>
      <c r="E57" s="650"/>
      <c r="F57" s="1017" t="e">
        <f t="shared" si="15"/>
        <v>#DIV/0!</v>
      </c>
      <c r="G57" s="3272" t="s">
        <v>2589</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2590</v>
      </c>
      <c r="B58" s="224" t="e">
        <f t="shared" ref="B58:B65" si="17">ROUND($C$48*C58*D58,0)</f>
        <v>#DIV/0!</v>
      </c>
      <c r="C58" s="176">
        <f t="shared" si="16"/>
        <v>0</v>
      </c>
      <c r="D58" s="1076">
        <v>0.25</v>
      </c>
      <c r="E58" s="650"/>
      <c r="F58" s="1017" t="e">
        <f t="shared" si="15"/>
        <v>#DIV/0!</v>
      </c>
      <c r="G58" s="327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2591</v>
      </c>
      <c r="B59" s="224" t="e">
        <f t="shared" si="17"/>
        <v>#DIV/0!</v>
      </c>
      <c r="C59" s="176">
        <f t="shared" si="16"/>
        <v>0</v>
      </c>
      <c r="D59" s="1076">
        <v>0.25</v>
      </c>
      <c r="E59" s="650"/>
      <c r="F59" s="1017" t="e">
        <f t="shared" si="15"/>
        <v>#DIV/0!</v>
      </c>
      <c r="G59" s="327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2592</v>
      </c>
      <c r="B60" s="224" t="e">
        <f t="shared" si="17"/>
        <v>#DIV/0!</v>
      </c>
      <c r="C60" s="176">
        <f t="shared" si="16"/>
        <v>0</v>
      </c>
      <c r="D60" s="1076">
        <v>0.25</v>
      </c>
      <c r="E60" s="650"/>
      <c r="F60" s="1017" t="e">
        <f t="shared" si="15"/>
        <v>#DIV/0!</v>
      </c>
      <c r="G60" s="327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2601</v>
      </c>
      <c r="B66" s="652" t="s">
        <v>28</v>
      </c>
      <c r="C66" s="652" t="s">
        <v>29</v>
      </c>
      <c r="D66" s="652" t="s">
        <v>997</v>
      </c>
      <c r="E66" s="652">
        <f>IF(B46="楼面地价",SUM(E56:E65),'数据-汇总表'!D3)</f>
        <v>13829.859999999995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2602</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2603</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2604</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2612</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2613</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2614</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2615</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45C1-C04C-4F9B-BB7F-2F3E2F20E3F7}">
  <dimension ref="A1"/>
  <sheetViews>
    <sheetView workbookViewId="0">
      <selection activeCell="M36" sqref="M36"/>
    </sheetView>
  </sheetViews>
  <sheetFormatPr defaultRowHeight="13.5"/>
  <sheetData/>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C36" sqref="C3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3"/>
      <c r="C1" s="1354"/>
      <c r="D1" s="1352"/>
      <c r="E1" s="3039"/>
      <c r="F1" s="3039"/>
      <c r="G1" s="2902"/>
      <c r="H1" s="3039"/>
      <c r="I1" s="3039"/>
      <c r="J1" s="3039"/>
      <c r="K1" s="3040">
        <f>MATCH(C1,'数据-取费表'!A6:A16,0)+5</f>
        <v>7</v>
      </c>
    </row>
    <row r="2" spans="1:33" ht="18" customHeight="1">
      <c r="A2" s="207" t="s">
        <v>2150</v>
      </c>
      <c r="B2" s="210">
        <f ca="1">C32</f>
        <v>9857</v>
      </c>
      <c r="C2" s="282" t="s">
        <v>2283</v>
      </c>
      <c r="D2" s="282"/>
      <c r="E2" s="3039"/>
      <c r="F2" s="3039"/>
      <c r="G2" s="3039"/>
      <c r="H2" s="3039"/>
      <c r="I2" s="3039"/>
      <c r="J2" s="3039"/>
      <c r="K2" s="3039"/>
    </row>
    <row r="3" spans="1:33" ht="18" customHeight="1" thickBot="1">
      <c r="A3" s="209" t="s">
        <v>2152</v>
      </c>
      <c r="B3" s="210">
        <f ca="1">ROUND(B2*10000/IF(C1="",'数据-汇总表'!E3,INDIRECT("'数据-取费表'!K"&amp;$K$1)),0)</f>
        <v>7127</v>
      </c>
      <c r="C3" s="282" t="s">
        <v>2284</v>
      </c>
      <c r="D3" s="282"/>
      <c r="E3" s="3039"/>
      <c r="F3" s="3039"/>
      <c r="G3" s="3039"/>
      <c r="H3" s="3039"/>
      <c r="I3" s="3039"/>
      <c r="J3" s="3039"/>
      <c r="K3" s="3039"/>
    </row>
    <row r="4" spans="1:33" s="893" customFormat="1" ht="16.5" customHeight="1">
      <c r="A4" s="890" t="s">
        <v>2285</v>
      </c>
      <c r="B4" s="891"/>
      <c r="C4" s="933">
        <f ca="1">SUM(C8:K8)</f>
        <v>15441</v>
      </c>
      <c r="D4" s="891"/>
      <c r="E4" s="891"/>
      <c r="F4" s="891"/>
      <c r="G4" s="891"/>
      <c r="H4" s="891"/>
      <c r="I4" s="891"/>
      <c r="J4" s="891"/>
      <c r="K4" s="892"/>
    </row>
    <row r="5" spans="1:33" s="897" customFormat="1" ht="15">
      <c r="A5" s="894" t="s">
        <v>2286</v>
      </c>
      <c r="B5" s="895" t="s">
        <v>2287</v>
      </c>
      <c r="C5" s="2048" t="s">
        <v>1343</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11165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13829.859999999995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f ca="1">收益法!B2</f>
        <v>15441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2489</v>
      </c>
      <c r="D11" s="910"/>
      <c r="E11" s="335"/>
      <c r="F11" s="911">
        <f ca="1">1-IF('数据-取费表'!B24=0,1,IF(C1="",'数据-取费表'!N16,INDIRECT("'数据-取费表'!n"&amp;$K$1)))</f>
        <v>0.4</v>
      </c>
      <c r="G11" s="8"/>
      <c r="H11" s="905"/>
      <c r="I11" s="905"/>
      <c r="J11" s="905"/>
      <c r="K11" s="906"/>
    </row>
    <row r="12" spans="1:33" s="912" customFormat="1" ht="13.5" customHeight="1">
      <c r="A12" s="908" t="s">
        <v>1301</v>
      </c>
      <c r="B12" s="909" t="s">
        <v>2301</v>
      </c>
      <c r="C12" s="24">
        <f ca="1">ROUND(C11*F12,0)</f>
        <v>75</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111</v>
      </c>
      <c r="D14" s="955">
        <f ca="1">IF(C1="",'数据-汇总表'!E3,INDIRECT("'数据-取费表'!K"&amp;$K$1)+INDIRECT("'数据-取费表'!S"&amp;$K$1))</f>
        <v>13829.859999999995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37</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2712</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13829.859999999995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50"/>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220</v>
      </c>
      <c r="F19" s="913"/>
      <c r="G19" s="15"/>
      <c r="H19" s="1351"/>
      <c r="I19" s="918"/>
      <c r="J19" s="918"/>
      <c r="K19" s="919"/>
    </row>
    <row r="20" spans="1:33" s="912" customFormat="1" ht="13.5" customHeight="1">
      <c r="A20" s="908" t="s">
        <v>806</v>
      </c>
      <c r="B20" s="909" t="s">
        <v>2315</v>
      </c>
      <c r="C20" s="24">
        <f ca="1">ROUND(D20*E20/10000,0)</f>
        <v>304</v>
      </c>
      <c r="D20" s="955">
        <f ca="1">IF(C1="",'数据-汇总表'!E6,IF(INDIRECT("'数据-取费表'!c"&amp;$K$1)="住宅",INDIRECT("'数据-取费表'!s"&amp;$K$1),INDIRECT("'数据-取费表'!k"&amp;$K$1)+INDIRECT("'数据-取费表'!s"&amp;$K$1)))</f>
        <v>13829.859999999995</v>
      </c>
      <c r="E20" s="24">
        <f>'数据-取费表'!B28</f>
        <v>220</v>
      </c>
      <c r="F20" s="913"/>
      <c r="G20" s="15"/>
      <c r="H20" s="918"/>
      <c r="I20" s="918"/>
      <c r="J20" s="918"/>
      <c r="K20" s="919"/>
    </row>
    <row r="21" spans="1:33" s="912" customFormat="1" ht="13.5" customHeight="1">
      <c r="A21" s="898" t="s">
        <v>802</v>
      </c>
      <c r="B21" s="922" t="s">
        <v>2316</v>
      </c>
      <c r="C21" s="923">
        <f ca="1">C16+C17+C18</f>
        <v>2712</v>
      </c>
      <c r="D21" s="924"/>
      <c r="E21" s="287"/>
      <c r="F21" s="287"/>
      <c r="G21" s="136" t="s">
        <v>2317</v>
      </c>
      <c r="H21" s="916"/>
      <c r="I21" s="916"/>
      <c r="J21" s="916"/>
      <c r="K21" s="917"/>
    </row>
    <row r="22" spans="1:33" s="912" customFormat="1" ht="13.5" customHeight="1">
      <c r="A22" s="898" t="s">
        <v>2289</v>
      </c>
      <c r="B22" s="922" t="s">
        <v>2318</v>
      </c>
      <c r="C22" s="923">
        <f ca="1">ROUND(C21*F22,0)</f>
        <v>54</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124</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3.8600000000000002E-2</v>
      </c>
      <c r="D24" s="287" t="s">
        <v>15</v>
      </c>
      <c r="E24" s="287"/>
      <c r="F24" s="925">
        <f>IF(项目基本情况!B8="出让",0,'数据-取费表'!B48+'数据-取费表'!B49)</f>
        <v>4.0500000000000001E-2</v>
      </c>
      <c r="G24" s="8" t="s">
        <v>2324</v>
      </c>
      <c r="H24" s="927"/>
      <c r="I24" s="927"/>
      <c r="J24" s="927"/>
      <c r="K24" s="928"/>
    </row>
    <row r="25" spans="1:33" s="912" customFormat="1" ht="13.5" customHeight="1">
      <c r="A25" s="898" t="s">
        <v>2325</v>
      </c>
      <c r="B25" s="924" t="s">
        <v>2326</v>
      </c>
      <c r="C25" s="1266">
        <f ca="1">C27</f>
        <v>54</v>
      </c>
      <c r="D25" s="286">
        <f ca="1">C26</f>
        <v>3.9300000000000002E-2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3.9300000000000002E-2</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54</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434</v>
      </c>
      <c r="D28" s="286">
        <f ca="1">C29</f>
        <v>6.2300000000000001E-2</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6.2300000000000001E-2</v>
      </c>
      <c r="D29" s="290"/>
      <c r="E29" s="291"/>
      <c r="F29" s="296"/>
      <c r="G29" s="136" t="s">
        <v>2332</v>
      </c>
      <c r="H29" s="916"/>
      <c r="I29" s="916"/>
      <c r="J29" s="916"/>
      <c r="K29" s="917"/>
    </row>
    <row r="30" spans="1:33" s="297" customFormat="1" ht="13.5" customHeight="1">
      <c r="A30" s="908" t="s">
        <v>804</v>
      </c>
      <c r="B30" s="931" t="s">
        <v>2333</v>
      </c>
      <c r="C30" s="298">
        <f ca="1">ROUND((C21+C22+C23)*F28,0)</f>
        <v>434</v>
      </c>
      <c r="D30" s="290"/>
      <c r="E30" s="291"/>
      <c r="F30" s="296"/>
      <c r="G30" s="136"/>
      <c r="H30" s="916"/>
      <c r="I30" s="916"/>
      <c r="J30" s="916"/>
      <c r="K30" s="917"/>
    </row>
    <row r="31" spans="1:33" s="912" customFormat="1" ht="13.5" customHeight="1" thickBot="1">
      <c r="A31" s="2054" t="s">
        <v>2334</v>
      </c>
      <c r="B31" s="942" t="s">
        <v>2335</v>
      </c>
      <c r="C31" s="943">
        <f ca="1">ROUND(C4*F31/(1+'数据-取费表'!C42),0)</f>
        <v>824</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9857</v>
      </c>
      <c r="D32" s="938"/>
      <c r="E32" s="938"/>
      <c r="F32" s="938"/>
      <c r="G32" s="940" t="s">
        <v>2338</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3596</v>
      </c>
      <c r="E1" s="1549" t="s">
        <v>1352</v>
      </c>
      <c r="F1" s="1193">
        <f ca="1">J53</f>
        <v>39.200000000000003</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15441</v>
      </c>
      <c r="C2" s="1573" t="s">
        <v>1481</v>
      </c>
      <c r="D2" s="1573"/>
      <c r="E2" s="1574"/>
      <c r="F2" s="1575"/>
      <c r="G2" s="2937"/>
      <c r="H2" s="2926"/>
      <c r="I2" s="2926"/>
      <c r="J2" s="2926"/>
      <c r="K2" s="2927"/>
      <c r="L2" s="2926"/>
      <c r="M2" s="2926"/>
    </row>
    <row r="3" spans="1:37" ht="18" customHeight="1" thickBot="1">
      <c r="A3" s="1576" t="s">
        <v>1482</v>
      </c>
      <c r="B3" s="1577">
        <f ca="1">IF(ISERROR(B2*10000/F43),0,ROUND(B2*10000/F43,0))</f>
        <v>11165</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1074</v>
      </c>
      <c r="D5" s="1550" t="s">
        <v>1367</v>
      </c>
      <c r="E5" s="1203"/>
      <c r="F5" s="1204"/>
      <c r="G5" s="1570"/>
      <c r="H5" s="305">
        <v>1</v>
      </c>
      <c r="I5" s="306" t="s">
        <v>1366</v>
      </c>
      <c r="J5" s="1202">
        <f ca="1">J6+J10+J12</f>
        <v>0</v>
      </c>
      <c r="K5" s="1550" t="s">
        <v>1367</v>
      </c>
      <c r="L5" s="1203"/>
      <c r="M5" s="1204"/>
    </row>
    <row r="6" spans="1:37" ht="18" customHeight="1">
      <c r="A6" s="1201" t="s">
        <v>1003</v>
      </c>
      <c r="B6" s="3309" t="s">
        <v>1368</v>
      </c>
      <c r="C6" s="1206">
        <f ca="1">ROUND(F6*F8*F7*(1-F9)/10000,0)</f>
        <v>1073</v>
      </c>
      <c r="D6" s="160" t="s">
        <v>2850</v>
      </c>
      <c r="E6" s="308" t="s">
        <v>1370</v>
      </c>
      <c r="F6" s="309">
        <f ca="1">INDIRECT("'数据-取费表'!u"&amp;$G$1)</f>
        <v>2.5</v>
      </c>
      <c r="G6" s="1570"/>
      <c r="H6" s="1201" t="s">
        <v>1003</v>
      </c>
      <c r="I6" s="3309" t="s">
        <v>1368</v>
      </c>
      <c r="J6" s="307">
        <f ca="1">ROUND(M6*M8*M7*(1-M9)/10000,0)</f>
        <v>0</v>
      </c>
      <c r="K6" s="160" t="s">
        <v>2849</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13829.859999999995</v>
      </c>
      <c r="G7" s="1570"/>
      <c r="H7" s="310"/>
      <c r="I7" s="3310"/>
      <c r="J7" s="312"/>
      <c r="K7" s="313"/>
      <c r="L7" s="308" t="s">
        <v>1371</v>
      </c>
      <c r="M7" s="309">
        <f ca="1">F7</f>
        <v>13829.859999999995</v>
      </c>
    </row>
    <row r="8" spans="1:37" ht="18" customHeight="1">
      <c r="A8" s="310"/>
      <c r="B8" s="3310"/>
      <c r="C8" s="312"/>
      <c r="D8" s="313"/>
      <c r="E8" s="308" t="s">
        <v>1372</v>
      </c>
      <c r="F8" s="309">
        <f ca="1">INDIRECT("'数据-取费表'!ai"&amp;$G$1)</f>
        <v>365</v>
      </c>
      <c r="G8" s="1570"/>
      <c r="H8" s="310"/>
      <c r="I8" s="3310"/>
      <c r="J8" s="312"/>
      <c r="K8" s="313"/>
      <c r="L8" s="308" t="s">
        <v>1372</v>
      </c>
      <c r="M8" s="309">
        <f ca="1">INDIRECT("'数据-取费表'!ai"&amp;$G$1)</f>
        <v>365</v>
      </c>
    </row>
    <row r="9" spans="1:37" ht="18" customHeight="1">
      <c r="A9" s="310"/>
      <c r="B9" s="3311"/>
      <c r="C9" s="312"/>
      <c r="D9" s="313"/>
      <c r="E9" s="308" t="s">
        <v>1373</v>
      </c>
      <c r="F9" s="318">
        <f ca="1">INDIRECT("'数据-取费表'!w"&amp;$G$1)</f>
        <v>0.15</v>
      </c>
      <c r="G9" s="1570"/>
      <c r="H9" s="310"/>
      <c r="I9" s="3311"/>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2858</v>
      </c>
      <c r="E10" s="319" t="s">
        <v>1375</v>
      </c>
      <c r="F10" s="1276" t="s">
        <v>3601</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8975</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6223</v>
      </c>
      <c r="D14" s="1531" t="s">
        <v>1383</v>
      </c>
      <c r="E14" s="1528"/>
      <c r="F14" s="325"/>
      <c r="G14" s="1570"/>
      <c r="H14" s="1113" t="s">
        <v>1003</v>
      </c>
      <c r="I14" s="308" t="s">
        <v>1384</v>
      </c>
      <c r="J14" s="24">
        <f ca="1">C29</f>
        <v>8975</v>
      </c>
      <c r="K14" s="15"/>
      <c r="L14" s="916"/>
      <c r="M14" s="917"/>
    </row>
    <row r="15" spans="1:37" s="1583" customFormat="1" ht="18" customHeight="1" thickBot="1">
      <c r="A15" s="1113" t="s">
        <v>1004</v>
      </c>
      <c r="B15" s="308" t="s">
        <v>1385</v>
      </c>
      <c r="C15" s="24">
        <f ca="1">ROUND(C14*F15,0)</f>
        <v>187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251</v>
      </c>
      <c r="K16" s="1247" t="s">
        <v>1390</v>
      </c>
      <c r="L16" s="1248"/>
      <c r="M16" s="1204"/>
    </row>
    <row r="17" spans="1:37" s="1583" customFormat="1" ht="18" customHeight="1">
      <c r="A17" s="1113" t="s">
        <v>1355</v>
      </c>
      <c r="B17" s="308" t="s">
        <v>1391</v>
      </c>
      <c r="C17" s="24">
        <f ca="1">ROUND(F17*(F43+INDIRECT("'数据-取费表'!S"&amp;$G$1))/10000,0)</f>
        <v>277</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116</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93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6780</v>
      </c>
      <c r="D19" s="136" t="s">
        <v>1401</v>
      </c>
      <c r="E19" s="1546"/>
      <c r="F19" s="26"/>
      <c r="G19" s="1570"/>
      <c r="H19" s="1113" t="s">
        <v>1004</v>
      </c>
      <c r="I19" s="308" t="s">
        <v>1402</v>
      </c>
      <c r="J19" s="24">
        <f ca="1">IF(K19="按租金收入计税",ROUND(J6*M19/(1+'数据-取费表'!C42),2),ROUND(C29*M19*0.7,2))</f>
        <v>75.39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136</v>
      </c>
      <c r="D20" s="329" t="s">
        <v>1405</v>
      </c>
      <c r="E20" s="308" t="s">
        <v>1387</v>
      </c>
      <c r="F20" s="328">
        <f>'数据-取费表'!B37</f>
        <v>0.02</v>
      </c>
      <c r="G20" s="1582"/>
      <c r="H20" s="1113" t="s">
        <v>1354</v>
      </c>
      <c r="I20" s="160" t="s">
        <v>1406</v>
      </c>
      <c r="J20" s="25">
        <f ca="1">ROUND(M20*M21/10000,2)</f>
        <v>40.15</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22306.23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134.6</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328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-251</v>
      </c>
      <c r="K25" s="1255" t="s">
        <v>1429</v>
      </c>
      <c r="L25" s="1256"/>
      <c r="M25" s="1257"/>
    </row>
    <row r="26" spans="1:37">
      <c r="A26" s="1113" t="s">
        <v>1002</v>
      </c>
      <c r="B26" s="308" t="s">
        <v>1430</v>
      </c>
      <c r="C26" s="24">
        <f ca="1">ROUND((C19+C20)*F26,0)</f>
        <v>1037</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8975</v>
      </c>
      <c r="D29" s="1252"/>
      <c r="E29" s="1250"/>
      <c r="F29" s="1253"/>
      <c r="G29" s="1582"/>
      <c r="H29" s="340" t="s">
        <v>1001</v>
      </c>
      <c r="I29" s="341" t="s">
        <v>1444</v>
      </c>
      <c r="J29" s="342">
        <f ca="1">ROUND(J26/(1+F40)^F41,0)</f>
        <v>0</v>
      </c>
      <c r="K29" s="343" t="s">
        <v>1445</v>
      </c>
      <c r="L29" s="344"/>
      <c r="M29" s="345">
        <f ca="1">INDIRECT("'数据-取费表'!k"&amp;$G$1)</f>
        <v>13829.859999999995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390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220</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IF(项目基本情况!B11="自然人","——",ROUND(C6*F32/(1+'数据-取费表'!C42),2))</f>
        <v>57.23</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122.63</v>
      </c>
      <c r="D33" s="1556" t="s">
        <v>3602</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40.15</v>
      </c>
      <c r="D34" s="330" t="s">
        <v>1407</v>
      </c>
      <c r="E34" s="308" t="s">
        <v>1408</v>
      </c>
      <c r="F34" s="331">
        <f>'数据-取费表'!B52</f>
        <v>18</v>
      </c>
      <c r="G34" s="1570"/>
      <c r="H34" s="2928"/>
      <c r="I34" s="1584"/>
      <c r="J34" s="1585"/>
      <c r="K34" s="2933"/>
      <c r="L34" s="2934"/>
      <c r="M34" s="2934"/>
    </row>
    <row r="35" spans="1:18" ht="18" customHeight="1">
      <c r="A35" s="1263"/>
      <c r="B35" s="1261"/>
      <c r="C35" s="29"/>
      <c r="D35" s="333"/>
      <c r="E35" s="308" t="s">
        <v>1412</v>
      </c>
      <c r="F35" s="309">
        <f ca="1">INDIRECT("'数据-取费表'!r"&amp;$G$1)</f>
        <v>22306.23</v>
      </c>
      <c r="G35" s="1570"/>
      <c r="H35" s="2928"/>
      <c r="I35" s="1584"/>
      <c r="J35" s="1585"/>
      <c r="K35" s="2932"/>
      <c r="L35" s="2931"/>
      <c r="M35" s="2931"/>
    </row>
    <row r="36" spans="1:18" ht="18" customHeight="1">
      <c r="A36" s="1262" t="s">
        <v>1007</v>
      </c>
      <c r="B36" s="308" t="s">
        <v>1414</v>
      </c>
      <c r="C36" s="24">
        <f ca="1">ROUND(C29*F36,1)</f>
        <v>134.6</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13.5</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21.5</v>
      </c>
      <c r="D38" s="1252" t="s">
        <v>1424</v>
      </c>
      <c r="E38" s="1250" t="s">
        <v>1420</v>
      </c>
      <c r="F38" s="1246">
        <f ca="1">INDIRECT("'数据-取费表'!Am"&amp;$G$1)</f>
        <v>0.02</v>
      </c>
      <c r="G38" s="1570"/>
      <c r="H38" s="2931"/>
      <c r="I38" s="1584"/>
      <c r="J38" s="1585"/>
      <c r="K38" s="2935"/>
      <c r="L38" s="2931"/>
      <c r="M38" s="2931"/>
    </row>
    <row r="39" spans="1:18" ht="24.6" customHeight="1" thickTop="1">
      <c r="A39" s="1239" t="s">
        <v>999</v>
      </c>
      <c r="B39" s="1254" t="s">
        <v>1448</v>
      </c>
      <c r="C39" s="316">
        <f ca="1">C5-C30</f>
        <v>684</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15441</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39.200000000000003</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ROUND(C40*10000/F43,0)</f>
        <v>11165</v>
      </c>
      <c r="D43" s="343" t="s">
        <v>1453</v>
      </c>
      <c r="E43" s="344" t="s">
        <v>1454</v>
      </c>
      <c r="F43" s="345">
        <f ca="1">INDIRECT("'数据-取费表'!k"&amp;$G$1)</f>
        <v>13829.859999999995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-30468</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3603</v>
      </c>
      <c r="K47" s="1602" t="s">
        <v>1492</v>
      </c>
      <c r="L47" s="1603">
        <f ca="1">INDIRECT("'数据-取费表'!d"&amp;$G$1)</f>
        <v>40</v>
      </c>
      <c r="M47" s="1566" t="str">
        <f>IF(ISNUMBER(FIND("住宅",C1)),"住宅","非住宅")</f>
        <v>非住宅</v>
      </c>
      <c r="O47" s="1604" t="s">
        <v>1008</v>
      </c>
      <c r="P47" s="1605" t="s">
        <v>1493</v>
      </c>
      <c r="Q47" s="1606">
        <f ca="1">C40+J29</f>
        <v>15441</v>
      </c>
      <c r="R47" s="1606" t="s">
        <v>1494</v>
      </c>
    </row>
    <row r="48" spans="1:18" s="1570" customFormat="1" ht="28.5" thickBot="1">
      <c r="A48" s="1270" t="s">
        <v>1103</v>
      </c>
      <c r="B48" s="306" t="s">
        <v>1366</v>
      </c>
      <c r="C48" s="1545">
        <f ca="1">C49+C53+C55</f>
        <v>0</v>
      </c>
      <c r="D48" s="1272"/>
      <c r="E48" s="1273"/>
      <c r="F48" s="1093"/>
      <c r="G48" s="731"/>
      <c r="H48" s="732"/>
      <c r="I48" s="1607" t="s">
        <v>1495</v>
      </c>
      <c r="J48" s="1608" t="s">
        <v>3604</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2022</v>
      </c>
      <c r="K49" s="1609" t="s">
        <v>1500</v>
      </c>
      <c r="L49" s="1613"/>
      <c r="O49" s="1614" t="s">
        <v>1010</v>
      </c>
      <c r="P49" s="1605" t="s">
        <v>1501</v>
      </c>
      <c r="Q49" s="1606">
        <f ca="1">C29</f>
        <v>8975</v>
      </c>
      <c r="R49" s="1606" t="s">
        <v>1494</v>
      </c>
    </row>
    <row r="50" spans="1:18" s="1570" customFormat="1" ht="13.5" thickBot="1">
      <c r="A50" s="1107"/>
      <c r="B50" s="1110"/>
      <c r="C50" s="1278"/>
      <c r="D50" s="1084"/>
      <c r="E50" s="1187" t="s">
        <v>1371</v>
      </c>
      <c r="F50" s="1188">
        <f ca="1">F7</f>
        <v>13829.859999999995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62</v>
      </c>
      <c r="K51" s="1620" t="s">
        <v>1506</v>
      </c>
      <c r="L51" s="1621">
        <f ca="1">ROUND(-PV(INDIRECT("'数据-取费表'!h"&amp;$G$1),J51,(C39-C13*C76),0),0)</f>
        <v>-1501</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39.200000000000003</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39.200000000000003</v>
      </c>
      <c r="K53" s="3307" t="s">
        <v>1513</v>
      </c>
      <c r="L53" s="3308"/>
      <c r="O53" s="1604" t="s">
        <v>1014</v>
      </c>
      <c r="P53" s="1605" t="s">
        <v>1514</v>
      </c>
      <c r="Q53" s="1606">
        <f ca="1">Q47+Q48</f>
        <v>15441</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8975</v>
      </c>
      <c r="D56" s="1633"/>
      <c r="E56" s="1634"/>
      <c r="F56" s="1626"/>
      <c r="I56" s="1635" t="s">
        <v>1519</v>
      </c>
      <c r="J56" s="1636" t="s">
        <v>3592</v>
      </c>
      <c r="K56" s="1607" t="s">
        <v>1520</v>
      </c>
      <c r="L56" s="1610" t="str">
        <f ca="1">IF(L48&lt;J51,"——",L48-J53)</f>
        <v>——</v>
      </c>
      <c r="O56" s="1604" t="s">
        <v>1008</v>
      </c>
      <c r="P56" s="1605" t="s">
        <v>1493</v>
      </c>
      <c r="Q56" s="1606">
        <f ca="1">C40+J29</f>
        <v>15441</v>
      </c>
      <c r="R56" s="1606" t="s">
        <v>1494</v>
      </c>
    </row>
    <row r="57" spans="1:18" s="1570" customFormat="1" ht="24.75" thickBot="1">
      <c r="A57" s="1637"/>
      <c r="B57" s="1081" t="s">
        <v>1443</v>
      </c>
      <c r="C57" s="244">
        <f ca="1">C29</f>
        <v>8975</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942</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794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753.9</v>
      </c>
      <c r="D61" s="1556" t="s">
        <v>1403</v>
      </c>
      <c r="E61" s="1081" t="s">
        <v>1459</v>
      </c>
      <c r="F61" s="328">
        <f t="shared" si="0"/>
        <v>0.12</v>
      </c>
      <c r="I61" s="1647"/>
      <c r="J61" s="1647"/>
      <c r="K61" s="1647"/>
      <c r="L61" s="1647"/>
      <c r="O61" s="1614" t="s">
        <v>1013</v>
      </c>
      <c r="P61" s="1605" t="str">
        <f>K59</f>
        <v>续建工期及建筑物耐用年限下的土地年期修正系数Kn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40.15</v>
      </c>
      <c r="D62" s="1096" t="s">
        <v>1462</v>
      </c>
      <c r="E62" s="1081" t="s">
        <v>1463</v>
      </c>
      <c r="F62" s="331">
        <f t="shared" si="0"/>
        <v>18</v>
      </c>
      <c r="I62" s="1648" t="s">
        <v>1535</v>
      </c>
      <c r="J62" s="1649" t="s">
        <v>1536</v>
      </c>
      <c r="K62" s="1649" t="s">
        <v>1537</v>
      </c>
      <c r="L62" s="1649" t="s">
        <v>1538</v>
      </c>
      <c r="M62" s="1650" t="s">
        <v>1539</v>
      </c>
      <c r="O62" s="1604" t="s">
        <v>1014</v>
      </c>
      <c r="P62" s="1605" t="s">
        <v>1540</v>
      </c>
      <c r="Q62" s="1606">
        <f ca="1">Q56+Q57</f>
        <v>15441</v>
      </c>
      <c r="R62" s="1606" t="s">
        <v>1015</v>
      </c>
    </row>
    <row r="63" spans="1:18" s="1570" customFormat="1" ht="13.5" thickBot="1">
      <c r="A63" s="332"/>
      <c r="B63" s="1087"/>
      <c r="C63" s="29"/>
      <c r="D63" s="1097"/>
      <c r="E63" s="1081" t="s">
        <v>1464</v>
      </c>
      <c r="F63" s="309">
        <f t="shared" ca="1" si="0"/>
        <v>22306.23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134.6</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13.5</v>
      </c>
      <c r="D65" s="1095" t="s">
        <v>1419</v>
      </c>
      <c r="E65" s="1081" t="s">
        <v>1420</v>
      </c>
      <c r="F65" s="336">
        <f t="shared" ca="1" si="0"/>
        <v>1.5E-3</v>
      </c>
      <c r="I65" s="1648" t="s">
        <v>1544</v>
      </c>
      <c r="J65" s="1649">
        <v>40</v>
      </c>
      <c r="K65" s="1649">
        <v>30</v>
      </c>
      <c r="L65" s="1649">
        <v>50</v>
      </c>
      <c r="M65" s="1651">
        <v>0.02</v>
      </c>
      <c r="O65" s="1604" t="s">
        <v>1008</v>
      </c>
      <c r="P65" s="1605" t="s">
        <v>1545</v>
      </c>
      <c r="Q65" s="1606">
        <f ca="1">C40+J29</f>
        <v>15441</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-942</v>
      </c>
      <c r="D67" s="1094" t="s">
        <v>1429</v>
      </c>
      <c r="E67" s="1099"/>
      <c r="F67" s="1100"/>
      <c r="O67" s="1614" t="s">
        <v>1010</v>
      </c>
      <c r="P67" s="1605" t="s">
        <v>1527</v>
      </c>
      <c r="Q67" s="1652">
        <f ca="1">L51</f>
        <v>-1501</v>
      </c>
      <c r="R67" s="1606" t="s">
        <v>1547</v>
      </c>
    </row>
    <row r="68" spans="1:18" s="1570" customFormat="1" ht="16.5" thickBot="1">
      <c r="A68" s="1078" t="s">
        <v>1000</v>
      </c>
      <c r="B68" s="1079" t="s">
        <v>1450</v>
      </c>
      <c r="C68" s="307">
        <f ca="1">ROUND(C67*(1-((1+F70)/(1+F68))^F69)/(F68-F70),0)</f>
        <v>-15027</v>
      </c>
      <c r="D68" s="1096" t="s">
        <v>1434</v>
      </c>
      <c r="E68" s="1081" t="s">
        <v>1435</v>
      </c>
      <c r="F68" s="318">
        <f ca="1">F40</f>
        <v>5.5E-2</v>
      </c>
      <c r="O68" s="1614" t="s">
        <v>1011</v>
      </c>
      <c r="P68" s="1653" t="s">
        <v>1548</v>
      </c>
      <c r="Q68" s="1606">
        <f ca="1">ROUND(Q69-Q70*Q71,0)</f>
        <v>-79</v>
      </c>
      <c r="R68" s="1606" t="s">
        <v>1019</v>
      </c>
    </row>
    <row r="69" spans="1:18" s="1570" customFormat="1" ht="13.5" thickBot="1">
      <c r="A69" s="1082"/>
      <c r="B69" s="1083"/>
      <c r="C69" s="312"/>
      <c r="D69" s="1101" t="s">
        <v>1438</v>
      </c>
      <c r="E69" s="1081" t="s">
        <v>1439</v>
      </c>
      <c r="F69" s="339">
        <f ca="1">F41</f>
        <v>39.200000000000003</v>
      </c>
      <c r="O69" s="1614" t="s">
        <v>1016</v>
      </c>
      <c r="P69" s="1653" t="s">
        <v>1549</v>
      </c>
      <c r="Q69" s="1606">
        <f ca="1">C39</f>
        <v>684</v>
      </c>
      <c r="R69" s="1606" t="s">
        <v>1494</v>
      </c>
    </row>
    <row r="70" spans="1:18" s="1570" customFormat="1" ht="13.5" thickBot="1">
      <c r="A70" s="1085"/>
      <c r="B70" s="1086"/>
      <c r="C70" s="316"/>
      <c r="D70" s="1097"/>
      <c r="E70" s="1081" t="s">
        <v>1442</v>
      </c>
      <c r="F70" s="1185"/>
      <c r="O70" s="1614" t="s">
        <v>1017</v>
      </c>
      <c r="P70" s="1653" t="s">
        <v>1550</v>
      </c>
      <c r="Q70" s="1606">
        <f ca="1">C13</f>
        <v>8975</v>
      </c>
      <c r="R70" s="1606" t="s">
        <v>1494</v>
      </c>
    </row>
    <row r="71" spans="1:18" s="1570" customFormat="1" ht="13.5" thickBot="1">
      <c r="A71" s="1102" t="s">
        <v>1001</v>
      </c>
      <c r="B71" s="1103" t="s">
        <v>1452</v>
      </c>
      <c r="C71" s="342">
        <f ca="1">ROUND(C68*10000/F71,0)</f>
        <v>-10866</v>
      </c>
      <c r="D71" s="1104" t="s">
        <v>1453</v>
      </c>
      <c r="E71" s="1105" t="s">
        <v>1454</v>
      </c>
      <c r="F71" s="345">
        <f ca="1">F43</f>
        <v>13829.859999999995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#DIV/0!</v>
      </c>
      <c r="R74" s="1606" t="s">
        <v>1534</v>
      </c>
    </row>
    <row r="75" spans="1:18" ht="13.5" thickBot="1">
      <c r="A75" s="1570"/>
      <c r="B75" s="346" t="s">
        <v>1471</v>
      </c>
      <c r="C75" s="347">
        <f ca="1">ROUND(C13*C76,0)</f>
        <v>763</v>
      </c>
      <c r="D75" s="1570"/>
      <c r="E75" s="1570"/>
      <c r="F75" s="1570"/>
      <c r="K75" s="1588"/>
      <c r="L75" s="1570"/>
      <c r="O75" s="1604" t="s">
        <v>1014</v>
      </c>
      <c r="P75" s="1605" t="s">
        <v>1514</v>
      </c>
      <c r="Q75" s="1606">
        <f ca="1">Q65+Q66</f>
        <v>15441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-0.11499999999999999</v>
      </c>
    </row>
    <row r="80" spans="1:18">
      <c r="B80" s="346" t="s">
        <v>1476</v>
      </c>
      <c r="C80" s="280">
        <f ca="1">ROUND(C75/C39,3)</f>
        <v>1.115</v>
      </c>
    </row>
    <row r="81" spans="2:3">
      <c r="B81" s="276" t="s">
        <v>1477</v>
      </c>
      <c r="C81" s="244"/>
    </row>
    <row r="82" spans="2:3">
      <c r="B82" s="279" t="s">
        <v>1478</v>
      </c>
      <c r="C82" s="281">
        <f ca="1">1-C83</f>
        <v>0.41900000000000004</v>
      </c>
    </row>
    <row r="83" spans="2:3">
      <c r="B83" s="279" t="s">
        <v>1479</v>
      </c>
      <c r="C83" s="280">
        <f ca="1">ROUND(C13/C40,3)</f>
        <v>0.58099999999999996</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-0.8</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9" t="s">
        <v>1368</v>
      </c>
      <c r="C6" s="1206">
        <f ca="1">ROUND(F6*F8*F7*(1-F9),0)</f>
        <v>0</v>
      </c>
      <c r="D6" s="160" t="s">
        <v>2847</v>
      </c>
      <c r="E6" s="308" t="s">
        <v>1370</v>
      </c>
      <c r="F6" s="309">
        <f ca="1">INDIRECT("'数据-取费表'!u"&amp;$G$1)</f>
        <v>0</v>
      </c>
      <c r="G6" s="1570"/>
      <c r="H6" s="1201" t="s">
        <v>1003</v>
      </c>
      <c r="I6" s="3309" t="s">
        <v>1368</v>
      </c>
      <c r="J6" s="307">
        <f ca="1">ROUND(M6*M8*M7*(1-M9),0)</f>
        <v>0</v>
      </c>
      <c r="K6" s="1562" t="s">
        <v>2848</v>
      </c>
      <c r="L6" s="308" t="s">
        <v>1370</v>
      </c>
      <c r="M6" s="309">
        <f ca="1">INDIRECT("'数据-取费表'!z"&amp;$G$1)</f>
        <v>0</v>
      </c>
    </row>
    <row r="7" spans="1:37" ht="18" customHeight="1">
      <c r="A7" s="1205"/>
      <c r="B7" s="3310"/>
      <c r="C7" s="1207"/>
      <c r="D7" s="313"/>
      <c r="E7" s="1208" t="s">
        <v>1371</v>
      </c>
      <c r="F7" s="309">
        <f ca="1">IF(INDIRECT("'数据-取费表'!ah"&amp;$G$1)="",INDIRECT("'数据-取费表'!k"&amp;$G$1),INDIRECT("'数据-取费表'!ah"&amp;$G$1))</f>
        <v>0</v>
      </c>
      <c r="G7" s="1570"/>
      <c r="H7" s="310"/>
      <c r="I7" s="3310"/>
      <c r="J7" s="312"/>
      <c r="K7" s="313"/>
      <c r="L7" s="308" t="s">
        <v>1371</v>
      </c>
      <c r="M7" s="309">
        <f ca="1">F7</f>
        <v>0</v>
      </c>
    </row>
    <row r="8" spans="1:37" ht="18" customHeight="1">
      <c r="A8" s="310"/>
      <c r="B8" s="3310"/>
      <c r="C8" s="312"/>
      <c r="D8" s="313"/>
      <c r="E8" s="308" t="s">
        <v>1372</v>
      </c>
      <c r="F8" s="309">
        <f ca="1">INDIRECT("'数据-取费表'!ai"&amp;$G$1)</f>
        <v>0</v>
      </c>
      <c r="G8" s="1570"/>
      <c r="H8" s="310"/>
      <c r="I8" s="3310"/>
      <c r="J8" s="312"/>
      <c r="K8" s="313"/>
      <c r="L8" s="308" t="s">
        <v>1372</v>
      </c>
      <c r="M8" s="309">
        <f ca="1">INDIRECT("'数据-取费表'!ai"&amp;$G$1)</f>
        <v>0</v>
      </c>
    </row>
    <row r="9" spans="1:37" ht="18" customHeight="1">
      <c r="A9" s="310"/>
      <c r="B9" s="3311"/>
      <c r="C9" s="312"/>
      <c r="D9" s="313"/>
      <c r="E9" s="308" t="s">
        <v>1373</v>
      </c>
      <c r="F9" s="318">
        <f ca="1">INDIRECT("'数据-取费表'!w"&amp;$G$1)</f>
        <v>0</v>
      </c>
      <c r="G9" s="1570"/>
      <c r="H9" s="310"/>
      <c r="I9" s="331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3056</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18</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-0.8</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-0.8</v>
      </c>
      <c r="K53" s="3307" t="s">
        <v>1513</v>
      </c>
      <c r="L53" s="330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18</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2150</v>
      </c>
      <c r="B2" s="2059">
        <f ca="1">SUMIF(B6:B13,"&lt;&gt;#ref!",B6:B13)</f>
        <v>15441</v>
      </c>
      <c r="C2" s="2060" t="s">
        <v>2339</v>
      </c>
      <c r="D2" s="2061" t="s">
        <v>2340</v>
      </c>
      <c r="E2" s="2835">
        <f>SUM(E6:E13)</f>
        <v>13829.859999999995</v>
      </c>
      <c r="F2" s="2938"/>
      <c r="G2" s="1676"/>
      <c r="H2" s="1676"/>
      <c r="I2" s="1676"/>
      <c r="J2" s="1676"/>
      <c r="K2" s="1676"/>
      <c r="L2" s="1676"/>
      <c r="M2" s="1676"/>
      <c r="N2" s="1676"/>
      <c r="O2" s="1676"/>
      <c r="P2" s="1676"/>
      <c r="Q2" s="1676"/>
      <c r="R2" s="1676"/>
      <c r="S2" s="1676"/>
    </row>
    <row r="3" spans="1:22" ht="15.75">
      <c r="A3" s="2058" t="s">
        <v>1360</v>
      </c>
      <c r="B3" s="2829">
        <f ca="1">ROUND(B2*10000/E2,0)</f>
        <v>11165</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312" t="s">
        <v>2342</v>
      </c>
      <c r="C5" s="3313"/>
      <c r="D5" s="2939"/>
      <c r="E5" s="2062" t="s">
        <v>2343</v>
      </c>
      <c r="F5" s="2063" t="s">
        <v>2344</v>
      </c>
      <c r="G5" s="1676"/>
      <c r="H5" s="1676"/>
      <c r="I5" s="1676"/>
      <c r="J5" s="1676"/>
      <c r="K5" s="1676"/>
      <c r="L5" s="1676"/>
      <c r="M5" s="1676"/>
      <c r="N5" s="1676"/>
      <c r="O5" s="1676"/>
      <c r="P5" s="1676"/>
      <c r="Q5" s="1676"/>
      <c r="R5" s="1676"/>
      <c r="S5" s="1676"/>
    </row>
    <row r="6" spans="1:22">
      <c r="A6" s="2832" t="str">
        <f>'数据-取费表'!AN6</f>
        <v>收益法</v>
      </c>
      <c r="B6" s="2830">
        <f ca="1">IF(F6="是",'数据-取费表'!AO6,0)</f>
        <v>15441</v>
      </c>
      <c r="C6" s="2060" t="s">
        <v>2339</v>
      </c>
      <c r="D6" s="2940"/>
      <c r="E6" s="2834">
        <f>IF(OR(A6=0,F6="否"),0,'数据-取费表'!K6+'数据-取费表'!S6)</f>
        <v>13829.859999999995</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20" t="s">
        <v>1045</v>
      </c>
      <c r="B2" s="3321" t="s">
        <v>1046</v>
      </c>
      <c r="C2" s="3321"/>
      <c r="D2" s="1211" t="s">
        <v>1047</v>
      </c>
      <c r="E2" s="1211" t="s">
        <v>1048</v>
      </c>
      <c r="F2" s="1211" t="s">
        <v>1049</v>
      </c>
      <c r="G2" s="1211" t="s">
        <v>1050</v>
      </c>
      <c r="H2" s="1211" t="s">
        <v>1051</v>
      </c>
      <c r="I2" s="1212" t="s">
        <v>1052</v>
      </c>
    </row>
    <row r="3" spans="1:9">
      <c r="A3" s="3320"/>
      <c r="B3" s="3321" t="s">
        <v>1053</v>
      </c>
      <c r="C3" s="3321"/>
      <c r="D3" s="1213"/>
      <c r="E3" s="1211"/>
      <c r="F3" s="1214"/>
      <c r="G3" s="1214"/>
      <c r="H3" s="1215"/>
      <c r="I3" s="1216">
        <f>ROUND(D3*E3*F3*G3*H3/10000,0)</f>
        <v>0</v>
      </c>
    </row>
    <row r="4" spans="1:9">
      <c r="A4" s="3320"/>
      <c r="B4" s="3321" t="s">
        <v>1054</v>
      </c>
      <c r="C4" s="3321"/>
      <c r="D4" s="1213"/>
      <c r="E4" s="1211"/>
      <c r="F4" s="1214"/>
      <c r="G4" s="1214"/>
      <c r="H4" s="1215"/>
      <c r="I4" s="1216">
        <f t="shared" ref="I4:I9" si="0">ROUND(D4*E4*F4*G4*H4/10000,0)</f>
        <v>0</v>
      </c>
    </row>
    <row r="5" spans="1:9">
      <c r="A5" s="3320"/>
      <c r="B5" s="3321" t="s">
        <v>1055</v>
      </c>
      <c r="C5" s="3321"/>
      <c r="D5" s="1213"/>
      <c r="E5" s="1211"/>
      <c r="F5" s="1214"/>
      <c r="G5" s="1214"/>
      <c r="H5" s="1215"/>
      <c r="I5" s="1216">
        <f t="shared" si="0"/>
        <v>0</v>
      </c>
    </row>
    <row r="6" spans="1:9">
      <c r="A6" s="3320"/>
      <c r="B6" s="3321" t="s">
        <v>1056</v>
      </c>
      <c r="C6" s="3321"/>
      <c r="D6" s="1213"/>
      <c r="E6" s="1211"/>
      <c r="F6" s="1214"/>
      <c r="G6" s="1214"/>
      <c r="H6" s="1215"/>
      <c r="I6" s="1216">
        <f t="shared" si="0"/>
        <v>0</v>
      </c>
    </row>
    <row r="7" spans="1:9">
      <c r="A7" s="3320"/>
      <c r="B7" s="3321" t="s">
        <v>1057</v>
      </c>
      <c r="C7" s="3321"/>
      <c r="D7" s="1213"/>
      <c r="E7" s="1211"/>
      <c r="F7" s="1214"/>
      <c r="G7" s="1214"/>
      <c r="H7" s="1215"/>
      <c r="I7" s="1216">
        <f t="shared" si="0"/>
        <v>0</v>
      </c>
    </row>
    <row r="8" spans="1:9">
      <c r="A8" s="3320"/>
      <c r="B8" s="3321" t="s">
        <v>1058</v>
      </c>
      <c r="C8" s="3321"/>
      <c r="D8" s="1213"/>
      <c r="E8" s="1211"/>
      <c r="F8" s="1214"/>
      <c r="G8" s="1214"/>
      <c r="H8" s="1215"/>
      <c r="I8" s="1216">
        <f t="shared" si="0"/>
        <v>0</v>
      </c>
    </row>
    <row r="9" spans="1:9">
      <c r="A9" s="3320"/>
      <c r="B9" s="3321" t="s">
        <v>1059</v>
      </c>
      <c r="C9" s="3321"/>
      <c r="D9" s="1213"/>
      <c r="E9" s="1211"/>
      <c r="F9" s="1214"/>
      <c r="G9" s="1214"/>
      <c r="H9" s="1215"/>
      <c r="I9" s="1216">
        <f t="shared" si="0"/>
        <v>0</v>
      </c>
    </row>
    <row r="10" spans="1:9">
      <c r="A10" s="3320"/>
      <c r="B10" s="3322" t="s">
        <v>1060</v>
      </c>
      <c r="C10" s="3322"/>
      <c r="D10" s="1217"/>
      <c r="E10" s="1217" t="e">
        <f>ROUND(D1*10000/D10/H9,0)</f>
        <v>#DIV/0!</v>
      </c>
      <c r="F10" s="1218"/>
      <c r="G10" s="1218"/>
      <c r="H10" s="1219"/>
      <c r="I10" s="1220">
        <f>SUM(I3:I9)</f>
        <v>0</v>
      </c>
    </row>
    <row r="11" spans="1:9" ht="14.25">
      <c r="A11" s="3320" t="s">
        <v>1061</v>
      </c>
      <c r="B11" s="3321" t="s">
        <v>1062</v>
      </c>
      <c r="C11" s="3321"/>
      <c r="D11" s="1213" t="s">
        <v>1063</v>
      </c>
      <c r="E11" s="1213" t="s">
        <v>1064</v>
      </c>
      <c r="F11" s="1214" t="s">
        <v>1065</v>
      </c>
      <c r="G11" s="1214" t="s">
        <v>1051</v>
      </c>
      <c r="H11" s="1221" t="s">
        <v>1066</v>
      </c>
      <c r="I11" s="1212" t="s">
        <v>1052</v>
      </c>
    </row>
    <row r="12" spans="1:9">
      <c r="A12" s="3320"/>
      <c r="B12" s="3321" t="s">
        <v>1067</v>
      </c>
      <c r="C12" s="3321"/>
      <c r="D12" s="1213"/>
      <c r="E12" s="1213"/>
      <c r="F12" s="1214"/>
      <c r="G12" s="1215"/>
      <c r="H12" s="1222"/>
      <c r="I12" s="1212">
        <f>ROUND(D12*E12*F12*G12/10000,0)</f>
        <v>0</v>
      </c>
    </row>
    <row r="13" spans="1:9">
      <c r="A13" s="3320"/>
      <c r="B13" s="3321" t="s">
        <v>1068</v>
      </c>
      <c r="C13" s="3321"/>
      <c r="D13" s="1213"/>
      <c r="E13" s="1213"/>
      <c r="F13" s="1214"/>
      <c r="G13" s="1215"/>
      <c r="H13" s="1222"/>
      <c r="I13" s="1212">
        <f>ROUND(D13*E13*F13*G13/10000,0)</f>
        <v>0</v>
      </c>
    </row>
    <row r="14" spans="1:9">
      <c r="A14" s="3320"/>
      <c r="B14" s="3321" t="s">
        <v>1069</v>
      </c>
      <c r="C14" s="3321"/>
      <c r="D14" s="1213"/>
      <c r="E14" s="1213"/>
      <c r="F14" s="1214"/>
      <c r="G14" s="1215"/>
      <c r="H14" s="1222"/>
      <c r="I14" s="1212">
        <f>ROUND(D14*E14*F14*G14/10000,0)</f>
        <v>0</v>
      </c>
    </row>
    <row r="15" spans="1:9">
      <c r="A15" s="3320"/>
      <c r="B15" s="3322" t="s">
        <v>1060</v>
      </c>
      <c r="C15" s="3322"/>
      <c r="D15" s="1217"/>
      <c r="E15" s="1217">
        <f>SUM(E12:E14)</f>
        <v>0</v>
      </c>
      <c r="F15" s="1218"/>
      <c r="G15" s="1215"/>
      <c r="H15" s="1222"/>
      <c r="I15" s="1223">
        <f>SUM(I12:I14)</f>
        <v>0</v>
      </c>
    </row>
    <row r="16" spans="1:9" ht="24">
      <c r="A16" s="3320" t="s">
        <v>1070</v>
      </c>
      <c r="B16" s="3321" t="s">
        <v>1071</v>
      </c>
      <c r="C16" s="3321"/>
      <c r="D16" s="1213" t="s">
        <v>1047</v>
      </c>
      <c r="E16" s="1224" t="s">
        <v>1072</v>
      </c>
      <c r="F16" s="1214" t="s">
        <v>1073</v>
      </c>
      <c r="G16" s="1215" t="s">
        <v>1051</v>
      </c>
      <c r="H16" s="1221" t="s">
        <v>1066</v>
      </c>
      <c r="I16" s="1212" t="s">
        <v>1052</v>
      </c>
    </row>
    <row r="17" spans="1:9" ht="14.25">
      <c r="A17" s="3320"/>
      <c r="B17" s="3321" t="s">
        <v>1074</v>
      </c>
      <c r="C17" s="3321"/>
      <c r="D17" s="1213"/>
      <c r="E17" s="1213"/>
      <c r="F17" s="1214"/>
      <c r="G17" s="1215"/>
      <c r="H17" s="1225"/>
      <c r="I17" s="1226">
        <f>ROUND(D17*E17*F17*G17/10000,0)</f>
        <v>0</v>
      </c>
    </row>
    <row r="18" spans="1:9" ht="14.25">
      <c r="A18" s="3320"/>
      <c r="B18" s="3321" t="s">
        <v>1075</v>
      </c>
      <c r="C18" s="3321"/>
      <c r="D18" s="1213"/>
      <c r="E18" s="1213"/>
      <c r="F18" s="1214"/>
      <c r="G18" s="1215"/>
      <c r="H18" s="1225"/>
      <c r="I18" s="1226">
        <f>ROUND(D18*E18*F18*G18/10000,0)</f>
        <v>0</v>
      </c>
    </row>
    <row r="19" spans="1:9" ht="14.25">
      <c r="A19" s="3320"/>
      <c r="B19" s="3321" t="s">
        <v>1076</v>
      </c>
      <c r="C19" s="3321"/>
      <c r="D19" s="1213"/>
      <c r="E19" s="1213"/>
      <c r="F19" s="1214"/>
      <c r="G19" s="1215"/>
      <c r="H19" s="1225"/>
      <c r="I19" s="1226">
        <f>ROUND(D19*E19*F19*G19/10000,0)</f>
        <v>0</v>
      </c>
    </row>
    <row r="20" spans="1:9">
      <c r="A20" s="3320"/>
      <c r="B20" s="3322" t="s">
        <v>1060</v>
      </c>
      <c r="C20" s="3322"/>
      <c r="D20" s="1217">
        <f>SUM(D17:D19)</f>
        <v>0</v>
      </c>
      <c r="E20" s="1217"/>
      <c r="F20" s="1218"/>
      <c r="G20" s="1215"/>
      <c r="H20" s="1222"/>
      <c r="I20" s="1223">
        <f>SUM(I17:I19)</f>
        <v>0</v>
      </c>
    </row>
    <row r="21" spans="1:9">
      <c r="A21" s="3320" t="s">
        <v>1077</v>
      </c>
      <c r="B21" s="3323"/>
      <c r="C21" s="3323"/>
      <c r="D21" s="3323"/>
      <c r="E21" s="3323"/>
      <c r="F21" s="3323"/>
      <c r="G21" s="3323"/>
      <c r="H21" s="1504">
        <v>0.1</v>
      </c>
      <c r="I21" s="1220">
        <f>ROUND(I10*H21,0)</f>
        <v>0</v>
      </c>
    </row>
    <row r="22" spans="1:9" ht="14.25">
      <c r="A22" s="3324" t="s">
        <v>1078</v>
      </c>
      <c r="B22" s="3325"/>
      <c r="C22" s="3326"/>
      <c r="D22" s="1227" t="s">
        <v>1079</v>
      </c>
      <c r="E22" s="1227" t="s">
        <v>1080</v>
      </c>
      <c r="F22" s="1228" t="s">
        <v>1081</v>
      </c>
      <c r="G22" s="1228" t="s">
        <v>1082</v>
      </c>
      <c r="H22" s="1221" t="s">
        <v>1083</v>
      </c>
      <c r="I22" s="1212" t="s">
        <v>1084</v>
      </c>
    </row>
    <row r="23" spans="1:9" ht="14.25" thickBot="1">
      <c r="A23" s="3327"/>
      <c r="B23" s="3328"/>
      <c r="C23" s="3329"/>
      <c r="D23" s="1229"/>
      <c r="E23" s="1229"/>
      <c r="F23" s="1229"/>
      <c r="G23" s="1230"/>
      <c r="H23" s="1231"/>
      <c r="I23" s="1232">
        <f>ROUND(E23*D23*F23*(1-G23)/10000,0)</f>
        <v>0</v>
      </c>
    </row>
    <row r="26" spans="1:9">
      <c r="A26" s="1233" t="s">
        <v>1085</v>
      </c>
      <c r="B26" s="1233"/>
      <c r="C26" s="1233"/>
      <c r="D26" s="1233"/>
      <c r="E26" s="3317">
        <f>C27-C30-C31-C32</f>
        <v>0</v>
      </c>
      <c r="F26" s="3317"/>
      <c r="G26" s="3317"/>
      <c r="H26" s="1501" t="s">
        <v>1306</v>
      </c>
    </row>
    <row r="27" spans="1:9">
      <c r="A27" s="1234">
        <v>1</v>
      </c>
      <c r="B27" s="1235" t="s">
        <v>1086</v>
      </c>
      <c r="C27" s="1235">
        <f>C28+C29</f>
        <v>0</v>
      </c>
      <c r="D27" s="1235"/>
      <c r="E27" s="3318"/>
      <c r="F27" s="3318"/>
      <c r="G27" s="3318"/>
    </row>
    <row r="28" spans="1:9">
      <c r="A28" s="1236" t="s">
        <v>1087</v>
      </c>
      <c r="B28" s="1235" t="s">
        <v>1088</v>
      </c>
      <c r="C28" s="1235"/>
      <c r="D28" s="1235"/>
      <c r="E28" s="3318"/>
      <c r="F28" s="3318"/>
      <c r="G28" s="331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9"/>
      <c r="F32" s="3319"/>
      <c r="G32" s="3319"/>
    </row>
    <row r="33" spans="1:7" hidden="1">
      <c r="A33" s="3314" t="s">
        <v>1097</v>
      </c>
      <c r="B33" s="3315"/>
      <c r="C33" s="3315"/>
      <c r="D33" s="3316"/>
      <c r="E33" s="3317"/>
      <c r="F33" s="3317"/>
      <c r="G33" s="3317"/>
    </row>
    <row r="34" spans="1:7" hidden="1">
      <c r="A34" s="1238">
        <v>1</v>
      </c>
      <c r="B34" s="1235" t="s">
        <v>1098</v>
      </c>
      <c r="C34" s="1235"/>
      <c r="D34" s="1235"/>
      <c r="E34" s="3318"/>
      <c r="F34" s="3318"/>
      <c r="G34" s="3318"/>
    </row>
    <row r="35" spans="1:7" hidden="1">
      <c r="A35" s="1238">
        <v>2</v>
      </c>
      <c r="B35" s="1235" t="s">
        <v>1099</v>
      </c>
      <c r="C35" s="1235"/>
      <c r="D35" s="1235"/>
      <c r="E35" s="3318"/>
      <c r="F35" s="3318"/>
      <c r="G35" s="3318"/>
    </row>
    <row r="36" spans="1:7" hidden="1">
      <c r="A36" s="1238">
        <v>3</v>
      </c>
      <c r="B36" s="1235" t="s">
        <v>1100</v>
      </c>
      <c r="C36" s="1235"/>
      <c r="D36" s="1235"/>
      <c r="E36" s="3318"/>
      <c r="F36" s="3318"/>
      <c r="G36" s="3318"/>
    </row>
    <row r="37" spans="1:7" hidden="1">
      <c r="A37" s="1238">
        <v>4</v>
      </c>
      <c r="B37" s="1235" t="s">
        <v>1101</v>
      </c>
      <c r="C37" s="1235"/>
      <c r="D37" s="1235"/>
      <c r="E37" s="3318"/>
      <c r="F37" s="3318"/>
      <c r="G37" s="3318"/>
    </row>
    <row r="38" spans="1:7" hidden="1">
      <c r="A38" s="3314" t="s">
        <v>1102</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估价对象为房地产，为所有。根据，估价对象（分摊）出让国有建设用地使用权面积为22306.23平方米，建筑面积为13829.86平方米。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估价对象为房地产,属开发建设的，该项目尚在开发建设中。根据，估价对象（分摊）出让国有建设用地使用权面积为22306.23平方米，规划建筑面积为13829.86平方米。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2020年12月22日（评估专业人员实地查勘之日）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13829.859999999995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268" t="s">
        <v>2356</v>
      </c>
      <c r="D4" s="3281"/>
      <c r="E4" s="3282" t="s">
        <v>2357</v>
      </c>
      <c r="F4" s="3283"/>
      <c r="G4" s="3268" t="s">
        <v>2358</v>
      </c>
      <c r="H4" s="3281"/>
      <c r="I4" s="3268" t="s">
        <v>2359</v>
      </c>
      <c r="J4" s="3281"/>
      <c r="K4" s="2077" t="s">
        <v>2360</v>
      </c>
      <c r="L4" s="2946"/>
      <c r="M4" s="2947"/>
      <c r="N4" s="2947"/>
      <c r="O4" s="2947"/>
      <c r="P4" s="3284" t="s">
        <v>2361</v>
      </c>
      <c r="Q4" s="3285"/>
      <c r="R4" s="3290" t="s">
        <v>2357</v>
      </c>
      <c r="S4" s="3291"/>
      <c r="T4" s="3290" t="s">
        <v>2358</v>
      </c>
      <c r="U4" s="3291"/>
      <c r="V4" s="3277" t="s">
        <v>2359</v>
      </c>
      <c r="W4" s="3277"/>
      <c r="X4" s="1541"/>
      <c r="Y4" s="3290" t="s">
        <v>2361</v>
      </c>
      <c r="Z4" s="3291"/>
      <c r="AA4" s="3278" t="s">
        <v>2357</v>
      </c>
      <c r="AB4" s="3278" t="s">
        <v>2358</v>
      </c>
      <c r="AC4" s="3278" t="s">
        <v>2359</v>
      </c>
    </row>
    <row r="5" spans="1:29" ht="15">
      <c r="A5" s="364"/>
      <c r="B5" s="365"/>
      <c r="C5" s="3298" t="s">
        <v>2362</v>
      </c>
      <c r="D5" s="3299"/>
      <c r="E5" s="3305" t="s">
        <v>2363</v>
      </c>
      <c r="F5" s="3306"/>
      <c r="G5" s="3298" t="s">
        <v>2364</v>
      </c>
      <c r="H5" s="3299"/>
      <c r="I5" s="3298" t="s">
        <v>2365</v>
      </c>
      <c r="J5" s="3299"/>
      <c r="K5" s="2078"/>
      <c r="L5" s="2946"/>
      <c r="M5" s="2947"/>
      <c r="N5" s="2947"/>
      <c r="O5" s="2947"/>
      <c r="P5" s="3286"/>
      <c r="Q5" s="3287"/>
      <c r="R5" s="3292"/>
      <c r="S5" s="3293"/>
      <c r="T5" s="3292"/>
      <c r="U5" s="3293"/>
      <c r="V5" s="3277"/>
      <c r="W5" s="3277"/>
      <c r="X5" s="1541"/>
      <c r="Y5" s="3292"/>
      <c r="Z5" s="3293"/>
      <c r="AA5" s="3279"/>
      <c r="AB5" s="3279"/>
      <c r="AC5" s="3279"/>
    </row>
    <row r="6" spans="1:29" ht="15.75" thickBot="1">
      <c r="A6" s="366"/>
      <c r="B6" s="367"/>
      <c r="C6" s="3296" t="s">
        <v>2366</v>
      </c>
      <c r="D6" s="3297"/>
      <c r="E6" s="3303" t="s">
        <v>2366</v>
      </c>
      <c r="F6" s="3304"/>
      <c r="G6" s="3296" t="s">
        <v>2366</v>
      </c>
      <c r="H6" s="3297"/>
      <c r="I6" s="3296" t="s">
        <v>2366</v>
      </c>
      <c r="J6" s="3297"/>
      <c r="K6" s="2078" t="s">
        <v>2367</v>
      </c>
      <c r="L6" s="2946"/>
      <c r="M6" s="2947"/>
      <c r="N6" s="2947"/>
      <c r="O6" s="2947"/>
      <c r="P6" s="3288"/>
      <c r="Q6" s="3289"/>
      <c r="R6" s="3292"/>
      <c r="S6" s="3293"/>
      <c r="T6" s="3294"/>
      <c r="U6" s="3295"/>
      <c r="V6" s="3277"/>
      <c r="W6" s="3277"/>
      <c r="X6" s="1541"/>
      <c r="Y6" s="3294"/>
      <c r="Z6" s="3295"/>
      <c r="AA6" s="3280"/>
      <c r="AB6" s="3280"/>
      <c r="AC6" s="3280"/>
    </row>
    <row r="7" spans="1:29" s="113" customFormat="1" ht="15.75" thickBot="1">
      <c r="A7" s="368" t="s">
        <v>2368</v>
      </c>
      <c r="B7" s="369"/>
      <c r="C7" s="370">
        <f>'数据-取费表'!B2</f>
        <v>44187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0" t="s">
        <v>2369</v>
      </c>
      <c r="Q7" s="3302"/>
      <c r="R7" s="710" t="s">
        <v>23</v>
      </c>
      <c r="S7" s="711">
        <f t="shared" ref="S7:S15" si="0">F7</f>
        <v>0</v>
      </c>
      <c r="T7" s="710" t="s">
        <v>23</v>
      </c>
      <c r="U7" s="711">
        <f t="shared" ref="U7:U15" si="1">H7</f>
        <v>0</v>
      </c>
      <c r="V7" s="710" t="s">
        <v>23</v>
      </c>
      <c r="W7" s="711">
        <f t="shared" ref="W7:W15" si="2">J7</f>
        <v>0</v>
      </c>
      <c r="X7" s="712"/>
      <c r="Y7" s="3300" t="s">
        <v>2369</v>
      </c>
      <c r="Z7" s="3301"/>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0" t="s">
        <v>2372</v>
      </c>
      <c r="Q8" s="3301"/>
      <c r="R8" s="710" t="s">
        <v>23</v>
      </c>
      <c r="S8" s="711">
        <f t="shared" si="0"/>
        <v>0</v>
      </c>
      <c r="T8" s="710" t="s">
        <v>23</v>
      </c>
      <c r="U8" s="711">
        <f t="shared" si="1"/>
        <v>0</v>
      </c>
      <c r="V8" s="710" t="s">
        <v>23</v>
      </c>
      <c r="W8" s="711">
        <f t="shared" si="2"/>
        <v>0</v>
      </c>
      <c r="X8" s="712"/>
      <c r="Y8" s="3300" t="s">
        <v>2372</v>
      </c>
      <c r="Z8" s="330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70"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70"/>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70"/>
      <c r="Q11" s="1529" t="str">
        <f t="shared" si="6"/>
        <v>容积率</v>
      </c>
      <c r="R11" s="710" t="s">
        <v>21</v>
      </c>
      <c r="S11" s="711" t="e">
        <f t="shared" si="0"/>
        <v>#N/A</v>
      </c>
      <c r="T11" s="710" t="s">
        <v>21</v>
      </c>
      <c r="U11" s="711" t="e">
        <f t="shared" si="1"/>
        <v>#N/A</v>
      </c>
      <c r="V11" s="710" t="s">
        <v>21</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70"/>
      <c r="Q12" s="1529">
        <f t="shared" si="6"/>
        <v>111</v>
      </c>
      <c r="R12" s="710" t="s">
        <v>21</v>
      </c>
      <c r="S12" s="711">
        <f t="shared" si="0"/>
        <v>100</v>
      </c>
      <c r="T12" s="710" t="s">
        <v>21</v>
      </c>
      <c r="U12" s="711">
        <f t="shared" si="1"/>
        <v>100</v>
      </c>
      <c r="V12" s="710" t="s">
        <v>21</v>
      </c>
      <c r="W12" s="711">
        <f t="shared" si="2"/>
        <v>100</v>
      </c>
      <c r="X12" s="712"/>
      <c r="Y12" s="316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70"/>
      <c r="Q13" s="1529">
        <f t="shared" si="6"/>
        <v>111</v>
      </c>
      <c r="R13" s="710" t="s">
        <v>21</v>
      </c>
      <c r="S13" s="711">
        <f t="shared" si="0"/>
        <v>100</v>
      </c>
      <c r="T13" s="710" t="s">
        <v>21</v>
      </c>
      <c r="U13" s="711">
        <f t="shared" si="1"/>
        <v>100</v>
      </c>
      <c r="V13" s="710" t="s">
        <v>21</v>
      </c>
      <c r="W13" s="711">
        <f t="shared" si="2"/>
        <v>100</v>
      </c>
      <c r="X13" s="712"/>
      <c r="Y13" s="316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70"/>
      <c r="Q14" s="1529">
        <f t="shared" si="6"/>
        <v>111</v>
      </c>
      <c r="R14" s="710" t="s">
        <v>21</v>
      </c>
      <c r="S14" s="711">
        <f t="shared" si="0"/>
        <v>100</v>
      </c>
      <c r="T14" s="710" t="s">
        <v>21</v>
      </c>
      <c r="U14" s="711">
        <f t="shared" si="1"/>
        <v>100</v>
      </c>
      <c r="V14" s="710" t="s">
        <v>21</v>
      </c>
      <c r="W14" s="711">
        <f t="shared" si="2"/>
        <v>100</v>
      </c>
      <c r="X14" s="712"/>
      <c r="Y14" s="3165"/>
      <c r="Z14" s="55">
        <f t="shared" si="7"/>
        <v>111</v>
      </c>
      <c r="AA14" s="713">
        <f t="shared" si="3"/>
        <v>1</v>
      </c>
      <c r="AB14" s="713">
        <f t="shared" si="4"/>
        <v>1</v>
      </c>
      <c r="AC14" s="713">
        <f t="shared" si="5"/>
        <v>1</v>
      </c>
    </row>
    <row r="15" spans="1:29" ht="99.75">
      <c r="A15" s="399" t="s">
        <v>2379</v>
      </c>
      <c r="B15" s="65" t="s">
        <v>1945</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41" t="s">
        <v>2380</v>
      </c>
      <c r="Q15" s="1538" t="str">
        <f t="shared" si="6"/>
        <v>居住社区成熟度</v>
      </c>
      <c r="R15" s="714" t="s">
        <v>21</v>
      </c>
      <c r="S15" s="715">
        <f t="shared" si="0"/>
        <v>100</v>
      </c>
      <c r="T15" s="714" t="s">
        <v>21</v>
      </c>
      <c r="U15" s="715">
        <f t="shared" si="1"/>
        <v>100</v>
      </c>
      <c r="V15" s="714" t="s">
        <v>21</v>
      </c>
      <c r="W15" s="715">
        <f t="shared" si="2"/>
        <v>100</v>
      </c>
      <c r="X15" s="1541"/>
      <c r="Y15" s="3273"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42"/>
      <c r="Q16" s="1538"/>
      <c r="R16" s="714"/>
      <c r="S16" s="715"/>
      <c r="T16" s="714"/>
      <c r="U16" s="715"/>
      <c r="V16" s="714"/>
      <c r="W16" s="715"/>
      <c r="X16" s="1541"/>
      <c r="Y16" s="3274"/>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42"/>
      <c r="Q17" s="1538" t="str">
        <f>B17</f>
        <v>交通便捷度</v>
      </c>
      <c r="R17" s="714" t="s">
        <v>21</v>
      </c>
      <c r="S17" s="715">
        <f>F17</f>
        <v>100</v>
      </c>
      <c r="T17" s="714" t="s">
        <v>21</v>
      </c>
      <c r="U17" s="715">
        <f>H17</f>
        <v>100</v>
      </c>
      <c r="V17" s="714" t="s">
        <v>21</v>
      </c>
      <c r="W17" s="715">
        <f>J17</f>
        <v>100</v>
      </c>
      <c r="X17" s="1541"/>
      <c r="Y17" s="327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42"/>
      <c r="Q18" s="1538"/>
      <c r="R18" s="714"/>
      <c r="S18" s="715"/>
      <c r="T18" s="714"/>
      <c r="U18" s="715"/>
      <c r="V18" s="714"/>
      <c r="W18" s="715"/>
      <c r="X18" s="1541"/>
      <c r="Y18" s="3274"/>
      <c r="Z18" s="1542"/>
      <c r="AA18" s="1539">
        <v>1</v>
      </c>
      <c r="AB18" s="1539">
        <v>1</v>
      </c>
      <c r="AC18" s="1539">
        <v>1</v>
      </c>
    </row>
    <row r="19" spans="1:29" ht="42.75">
      <c r="A19" s="387"/>
      <c r="B19" s="410" t="s">
        <v>1946</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42"/>
      <c r="Q19" s="1538" t="str">
        <f>B19</f>
        <v>公共配套设施</v>
      </c>
      <c r="R19" s="714" t="s">
        <v>21</v>
      </c>
      <c r="S19" s="715">
        <f>F19</f>
        <v>100</v>
      </c>
      <c r="T19" s="714" t="s">
        <v>21</v>
      </c>
      <c r="U19" s="715">
        <f>H19</f>
        <v>100</v>
      </c>
      <c r="V19" s="714" t="s">
        <v>21</v>
      </c>
      <c r="W19" s="715">
        <f>J19</f>
        <v>100</v>
      </c>
      <c r="X19" s="1541"/>
      <c r="Y19" s="327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42"/>
      <c r="Q20" s="1538"/>
      <c r="R20" s="714"/>
      <c r="S20" s="715"/>
      <c r="T20" s="714"/>
      <c r="U20" s="715"/>
      <c r="V20" s="714"/>
      <c r="W20" s="715"/>
      <c r="X20" s="1541"/>
      <c r="Y20" s="3274"/>
      <c r="Z20" s="1542"/>
      <c r="AA20" s="1539">
        <v>1</v>
      </c>
      <c r="AB20" s="1539">
        <v>1</v>
      </c>
      <c r="AC20" s="1539">
        <v>1</v>
      </c>
    </row>
    <row r="21" spans="1:29" ht="28.5">
      <c r="A21" s="387"/>
      <c r="B21" s="1293" t="s">
        <v>1948</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42"/>
      <c r="Q21" s="1538" t="str">
        <f>B21</f>
        <v>基础设施水平</v>
      </c>
      <c r="R21" s="714" t="s">
        <v>17</v>
      </c>
      <c r="S21" s="715">
        <f>F21</f>
        <v>100</v>
      </c>
      <c r="T21" s="714" t="s">
        <v>17</v>
      </c>
      <c r="U21" s="715">
        <f>H21</f>
        <v>100</v>
      </c>
      <c r="V21" s="714" t="s">
        <v>17</v>
      </c>
      <c r="W21" s="715">
        <f>J21</f>
        <v>100</v>
      </c>
      <c r="X21" s="1541"/>
      <c r="Y21" s="327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42"/>
      <c r="Q22" s="1538"/>
      <c r="R22" s="714"/>
      <c r="S22" s="715"/>
      <c r="T22" s="714"/>
      <c r="U22" s="715"/>
      <c r="V22" s="714"/>
      <c r="W22" s="715"/>
      <c r="X22" s="1541"/>
      <c r="Y22" s="3274"/>
      <c r="Z22" s="1542"/>
      <c r="AA22" s="1539">
        <v>1</v>
      </c>
      <c r="AB22" s="1539">
        <v>1</v>
      </c>
      <c r="AC22" s="1539">
        <v>1</v>
      </c>
    </row>
    <row r="23" spans="1:29" ht="57">
      <c r="A23" s="387"/>
      <c r="B23" s="410" t="s">
        <v>1949</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42"/>
      <c r="Q23" s="1538" t="str">
        <f>B23</f>
        <v>自然及人文环境</v>
      </c>
      <c r="R23" s="714" t="s">
        <v>21</v>
      </c>
      <c r="S23" s="715">
        <f>F23</f>
        <v>100</v>
      </c>
      <c r="T23" s="714" t="s">
        <v>21</v>
      </c>
      <c r="U23" s="715">
        <f>H23</f>
        <v>100</v>
      </c>
      <c r="V23" s="714" t="s">
        <v>21</v>
      </c>
      <c r="W23" s="715">
        <f>J23</f>
        <v>100</v>
      </c>
      <c r="X23" s="1541"/>
      <c r="Y23" s="327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42"/>
      <c r="Q24" s="1538"/>
      <c r="R24" s="714"/>
      <c r="S24" s="715"/>
      <c r="T24" s="714"/>
      <c r="U24" s="715"/>
      <c r="V24" s="714"/>
      <c r="W24" s="715"/>
      <c r="X24" s="1541"/>
      <c r="Y24" s="3274"/>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42"/>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4"/>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42"/>
      <c r="Q26" s="1538" t="str">
        <f t="shared" si="11"/>
        <v>朝向</v>
      </c>
      <c r="R26" s="714" t="s">
        <v>21</v>
      </c>
      <c r="S26" s="715">
        <f t="shared" si="12"/>
        <v>100</v>
      </c>
      <c r="T26" s="714" t="s">
        <v>21</v>
      </c>
      <c r="U26" s="715">
        <f t="shared" si="13"/>
        <v>100</v>
      </c>
      <c r="V26" s="714" t="s">
        <v>21</v>
      </c>
      <c r="W26" s="715">
        <f t="shared" si="14"/>
        <v>100</v>
      </c>
      <c r="X26" s="1541"/>
      <c r="Y26" s="327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42"/>
      <c r="Q27" s="1529">
        <f t="shared" si="11"/>
        <v>111</v>
      </c>
      <c r="R27" s="710" t="s">
        <v>21</v>
      </c>
      <c r="S27" s="711">
        <f t="shared" si="12"/>
        <v>100</v>
      </c>
      <c r="T27" s="710" t="s">
        <v>21</v>
      </c>
      <c r="U27" s="711">
        <f t="shared" si="13"/>
        <v>100</v>
      </c>
      <c r="V27" s="710" t="s">
        <v>21</v>
      </c>
      <c r="W27" s="711">
        <f t="shared" si="14"/>
        <v>100</v>
      </c>
      <c r="X27" s="712"/>
      <c r="Y27" s="327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42"/>
      <c r="Q28" s="1538">
        <f t="shared" si="11"/>
        <v>111</v>
      </c>
      <c r="R28" s="714" t="s">
        <v>21</v>
      </c>
      <c r="S28" s="715">
        <f t="shared" si="12"/>
        <v>100</v>
      </c>
      <c r="T28" s="714" t="s">
        <v>21</v>
      </c>
      <c r="U28" s="715">
        <f t="shared" si="13"/>
        <v>100</v>
      </c>
      <c r="V28" s="714" t="s">
        <v>21</v>
      </c>
      <c r="W28" s="715">
        <f t="shared" si="14"/>
        <v>100</v>
      </c>
      <c r="X28" s="1541"/>
      <c r="Y28" s="327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42"/>
      <c r="Q29" s="1538">
        <f t="shared" si="11"/>
        <v>111</v>
      </c>
      <c r="R29" s="714" t="s">
        <v>21</v>
      </c>
      <c r="S29" s="715">
        <f t="shared" si="12"/>
        <v>100</v>
      </c>
      <c r="T29" s="714" t="s">
        <v>21</v>
      </c>
      <c r="U29" s="715">
        <f t="shared" si="13"/>
        <v>100</v>
      </c>
      <c r="V29" s="714" t="s">
        <v>21</v>
      </c>
      <c r="W29" s="715">
        <f t="shared" si="14"/>
        <v>100</v>
      </c>
      <c r="X29" s="1541"/>
      <c r="Y29" s="327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42"/>
      <c r="Q30" s="1538">
        <f t="shared" si="11"/>
        <v>111</v>
      </c>
      <c r="R30" s="714" t="s">
        <v>21</v>
      </c>
      <c r="S30" s="715">
        <f t="shared" si="12"/>
        <v>100</v>
      </c>
      <c r="T30" s="714" t="s">
        <v>21</v>
      </c>
      <c r="U30" s="715">
        <f t="shared" si="13"/>
        <v>100</v>
      </c>
      <c r="V30" s="714" t="s">
        <v>21</v>
      </c>
      <c r="W30" s="715">
        <f t="shared" si="14"/>
        <v>100</v>
      </c>
      <c r="X30" s="1541"/>
      <c r="Y30" s="327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42"/>
      <c r="Q31" s="1538">
        <f t="shared" si="11"/>
        <v>111</v>
      </c>
      <c r="R31" s="714" t="s">
        <v>21</v>
      </c>
      <c r="S31" s="715">
        <f t="shared" si="12"/>
        <v>100</v>
      </c>
      <c r="T31" s="714" t="s">
        <v>21</v>
      </c>
      <c r="U31" s="715">
        <f t="shared" si="13"/>
        <v>100</v>
      </c>
      <c r="V31" s="714" t="s">
        <v>21</v>
      </c>
      <c r="W31" s="715">
        <f t="shared" si="14"/>
        <v>100</v>
      </c>
      <c r="X31" s="1541"/>
      <c r="Y31" s="3274"/>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37" t="s">
        <v>2385</v>
      </c>
      <c r="Q32" s="1538" t="str">
        <f t="shared" si="11"/>
        <v>建筑类型</v>
      </c>
      <c r="R32" s="714" t="s">
        <v>21</v>
      </c>
      <c r="S32" s="715">
        <f t="shared" si="12"/>
        <v>100</v>
      </c>
      <c r="T32" s="714" t="s">
        <v>21</v>
      </c>
      <c r="U32" s="715">
        <f t="shared" si="13"/>
        <v>100</v>
      </c>
      <c r="V32" s="714" t="s">
        <v>21</v>
      </c>
      <c r="W32" s="715">
        <f t="shared" si="14"/>
        <v>100</v>
      </c>
      <c r="X32" s="1541"/>
      <c r="Y32" s="3276"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38"/>
      <c r="Q33" s="716" t="str">
        <f t="shared" si="11"/>
        <v>项目建筑规模</v>
      </c>
      <c r="R33" s="717" t="s">
        <v>21</v>
      </c>
      <c r="S33" s="718" t="e">
        <f t="shared" si="12"/>
        <v>#N/A</v>
      </c>
      <c r="T33" s="717" t="s">
        <v>21</v>
      </c>
      <c r="U33" s="718" t="e">
        <f t="shared" si="13"/>
        <v>#N/A</v>
      </c>
      <c r="V33" s="717" t="s">
        <v>21</v>
      </c>
      <c r="W33" s="718" t="e">
        <f t="shared" si="14"/>
        <v>#N/A</v>
      </c>
      <c r="X33" s="719"/>
      <c r="Y33" s="3276"/>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38"/>
      <c r="Q34" s="1538" t="str">
        <f t="shared" si="11"/>
        <v>建筑结构</v>
      </c>
      <c r="R34" s="714" t="s">
        <v>21</v>
      </c>
      <c r="S34" s="715">
        <f t="shared" si="12"/>
        <v>100</v>
      </c>
      <c r="T34" s="714" t="s">
        <v>21</v>
      </c>
      <c r="U34" s="715">
        <f t="shared" si="13"/>
        <v>100</v>
      </c>
      <c r="V34" s="714" t="s">
        <v>21</v>
      </c>
      <c r="W34" s="715">
        <f t="shared" si="14"/>
        <v>100</v>
      </c>
      <c r="X34" s="1541"/>
      <c r="Y34" s="3276"/>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38"/>
      <c r="Q35" s="1538" t="str">
        <f t="shared" si="11"/>
        <v>建筑品质</v>
      </c>
      <c r="R35" s="714" t="s">
        <v>21</v>
      </c>
      <c r="S35" s="715">
        <f t="shared" si="12"/>
        <v>100</v>
      </c>
      <c r="T35" s="714" t="s">
        <v>21</v>
      </c>
      <c r="U35" s="715">
        <f t="shared" si="13"/>
        <v>100</v>
      </c>
      <c r="V35" s="714" t="s">
        <v>21</v>
      </c>
      <c r="W35" s="715">
        <f t="shared" si="14"/>
        <v>100</v>
      </c>
      <c r="X35" s="1541"/>
      <c r="Y35" s="3276"/>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38"/>
      <c r="Q36" s="1538" t="str">
        <f t="shared" si="11"/>
        <v>公共部分装修</v>
      </c>
      <c r="R36" s="714" t="s">
        <v>21</v>
      </c>
      <c r="S36" s="715">
        <f t="shared" si="12"/>
        <v>100</v>
      </c>
      <c r="T36" s="714" t="s">
        <v>21</v>
      </c>
      <c r="U36" s="715">
        <f t="shared" si="13"/>
        <v>100</v>
      </c>
      <c r="V36" s="714" t="s">
        <v>21</v>
      </c>
      <c r="W36" s="715">
        <f t="shared" si="14"/>
        <v>100</v>
      </c>
      <c r="X36" s="1541"/>
      <c r="Y36" s="3276"/>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38"/>
      <c r="Q37" s="1529" t="str">
        <f t="shared" si="11"/>
        <v>成新度</v>
      </c>
      <c r="R37" s="710" t="s">
        <v>21</v>
      </c>
      <c r="S37" s="711" t="e">
        <f t="shared" si="12"/>
        <v>#N/A</v>
      </c>
      <c r="T37" s="710" t="s">
        <v>21</v>
      </c>
      <c r="U37" s="711" t="e">
        <f t="shared" si="13"/>
        <v>#N/A</v>
      </c>
      <c r="V37" s="710" t="s">
        <v>21</v>
      </c>
      <c r="W37" s="711" t="e">
        <f t="shared" si="14"/>
        <v>#N/A</v>
      </c>
      <c r="X37" s="712"/>
      <c r="Y37" s="3276"/>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38" t="s">
        <v>2385</v>
      </c>
      <c r="Q38" s="1538" t="str">
        <f t="shared" si="11"/>
        <v>物业管理</v>
      </c>
      <c r="R38" s="714" t="s">
        <v>21</v>
      </c>
      <c r="S38" s="715">
        <f t="shared" si="12"/>
        <v>100</v>
      </c>
      <c r="T38" s="714" t="s">
        <v>21</v>
      </c>
      <c r="U38" s="715">
        <f t="shared" si="13"/>
        <v>100</v>
      </c>
      <c r="V38" s="714" t="s">
        <v>21</v>
      </c>
      <c r="W38" s="715">
        <f t="shared" si="14"/>
        <v>100</v>
      </c>
      <c r="X38" s="1541"/>
      <c r="Y38" s="3276"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38"/>
      <c r="Q39" s="1538" t="str">
        <f t="shared" si="11"/>
        <v>市政基础设施</v>
      </c>
      <c r="R39" s="714" t="s">
        <v>21</v>
      </c>
      <c r="S39" s="715">
        <f t="shared" si="12"/>
        <v>100</v>
      </c>
      <c r="T39" s="714" t="s">
        <v>21</v>
      </c>
      <c r="U39" s="715">
        <f t="shared" si="13"/>
        <v>100</v>
      </c>
      <c r="V39" s="714" t="s">
        <v>21</v>
      </c>
      <c r="W39" s="715">
        <f t="shared" si="14"/>
        <v>100</v>
      </c>
      <c r="X39" s="1541"/>
      <c r="Y39" s="3276"/>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38"/>
      <c r="Q40" s="1538" t="str">
        <f t="shared" si="11"/>
        <v>房型</v>
      </c>
      <c r="R40" s="714" t="s">
        <v>21</v>
      </c>
      <c r="S40" s="715">
        <f t="shared" si="12"/>
        <v>100</v>
      </c>
      <c r="T40" s="714" t="s">
        <v>21</v>
      </c>
      <c r="U40" s="715">
        <f t="shared" si="13"/>
        <v>100</v>
      </c>
      <c r="V40" s="714" t="s">
        <v>21</v>
      </c>
      <c r="W40" s="715">
        <f t="shared" si="14"/>
        <v>100</v>
      </c>
      <c r="X40" s="1541"/>
      <c r="Y40" s="3276"/>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38"/>
      <c r="Q41" s="716" t="str">
        <f t="shared" si="11"/>
        <v>单套/主力户型建筑面积</v>
      </c>
      <c r="R41" s="717" t="s">
        <v>21</v>
      </c>
      <c r="S41" s="718">
        <f t="shared" si="12"/>
        <v>100</v>
      </c>
      <c r="T41" s="717" t="s">
        <v>21</v>
      </c>
      <c r="U41" s="718">
        <f t="shared" si="13"/>
        <v>100</v>
      </c>
      <c r="V41" s="717" t="s">
        <v>21</v>
      </c>
      <c r="W41" s="718">
        <f t="shared" si="14"/>
        <v>100</v>
      </c>
      <c r="X41" s="719"/>
      <c r="Y41" s="3276"/>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38"/>
      <c r="Q42" s="1538" t="str">
        <f t="shared" si="11"/>
        <v>内部装修</v>
      </c>
      <c r="R42" s="714" t="s">
        <v>21</v>
      </c>
      <c r="S42" s="715">
        <f t="shared" si="12"/>
        <v>100</v>
      </c>
      <c r="T42" s="714" t="s">
        <v>21</v>
      </c>
      <c r="U42" s="715">
        <f t="shared" si="13"/>
        <v>100</v>
      </c>
      <c r="V42" s="714" t="s">
        <v>21</v>
      </c>
      <c r="W42" s="715">
        <f t="shared" si="14"/>
        <v>100</v>
      </c>
      <c r="X42" s="1541"/>
      <c r="Y42" s="3276"/>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38"/>
      <c r="Q43" s="1538" t="str">
        <f t="shared" si="11"/>
        <v>内部装修维护情况</v>
      </c>
      <c r="R43" s="714" t="s">
        <v>21</v>
      </c>
      <c r="S43" s="715">
        <f t="shared" si="12"/>
        <v>100</v>
      </c>
      <c r="T43" s="714" t="s">
        <v>21</v>
      </c>
      <c r="U43" s="715">
        <f t="shared" si="13"/>
        <v>100</v>
      </c>
      <c r="V43" s="714" t="s">
        <v>21</v>
      </c>
      <c r="W43" s="715">
        <f t="shared" si="14"/>
        <v>100</v>
      </c>
      <c r="X43" s="1541"/>
      <c r="Y43" s="3276"/>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38"/>
      <c r="Q44" s="1529">
        <f t="shared" si="11"/>
        <v>111</v>
      </c>
      <c r="R44" s="710" t="s">
        <v>21</v>
      </c>
      <c r="S44" s="711">
        <f t="shared" si="12"/>
        <v>100</v>
      </c>
      <c r="T44" s="710" t="s">
        <v>21</v>
      </c>
      <c r="U44" s="711">
        <f t="shared" si="13"/>
        <v>100</v>
      </c>
      <c r="V44" s="710" t="s">
        <v>21</v>
      </c>
      <c r="W44" s="711">
        <f t="shared" si="14"/>
        <v>100</v>
      </c>
      <c r="X44" s="712"/>
      <c r="Y44" s="327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38"/>
      <c r="Q45" s="1538">
        <f t="shared" si="11"/>
        <v>111</v>
      </c>
      <c r="R45" s="714" t="s">
        <v>21</v>
      </c>
      <c r="S45" s="715">
        <f t="shared" si="12"/>
        <v>100</v>
      </c>
      <c r="T45" s="714" t="s">
        <v>21</v>
      </c>
      <c r="U45" s="715">
        <f t="shared" si="13"/>
        <v>100</v>
      </c>
      <c r="V45" s="714" t="s">
        <v>21</v>
      </c>
      <c r="W45" s="715">
        <f t="shared" si="14"/>
        <v>100</v>
      </c>
      <c r="X45" s="1541"/>
      <c r="Y45" s="3276"/>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39"/>
      <c r="Q46" s="1538">
        <f t="shared" si="11"/>
        <v>111</v>
      </c>
      <c r="R46" s="714" t="s">
        <v>20</v>
      </c>
      <c r="S46" s="715">
        <f t="shared" si="12"/>
        <v>100</v>
      </c>
      <c r="T46" s="714" t="s">
        <v>20</v>
      </c>
      <c r="U46" s="715">
        <f t="shared" si="13"/>
        <v>100</v>
      </c>
      <c r="V46" s="714" t="s">
        <v>20</v>
      </c>
      <c r="W46" s="715">
        <f t="shared" si="14"/>
        <v>100</v>
      </c>
      <c r="X46" s="1541"/>
      <c r="Y46" s="3340"/>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271" t="str">
        <f>A47</f>
        <v>成交单价（元/平方米）</v>
      </c>
      <c r="Q47" s="3271"/>
      <c r="R47" s="3336">
        <f>E47</f>
        <v>0</v>
      </c>
      <c r="S47" s="3336"/>
      <c r="T47" s="3336">
        <f>G47</f>
        <v>0</v>
      </c>
      <c r="U47" s="3336"/>
      <c r="V47" s="3336">
        <f>I47</f>
        <v>0</v>
      </c>
      <c r="W47" s="3336"/>
      <c r="X47" s="699"/>
      <c r="Y47" s="721"/>
      <c r="Z47" s="699"/>
      <c r="AA47" s="699"/>
      <c r="AB47" s="699"/>
      <c r="AC47" s="699"/>
    </row>
    <row r="48" spans="1:29" ht="15.75" thickBot="1">
      <c r="A48" s="445" t="s">
        <v>2398</v>
      </c>
      <c r="B48" s="446"/>
      <c r="C48" s="1322" t="e">
        <f>R49</f>
        <v>#DIV/0!</v>
      </c>
      <c r="D48" s="2540" t="s">
        <v>2880</v>
      </c>
      <c r="E48" s="1323" t="e">
        <f>R48</f>
        <v>#DIV/0!</v>
      </c>
      <c r="F48" s="2541"/>
      <c r="G48" s="1322" t="e">
        <f>T48</f>
        <v>#DIV/0!</v>
      </c>
      <c r="H48" s="2541"/>
      <c r="I48" s="1323" t="e">
        <f>V48</f>
        <v>#DIV/0!</v>
      </c>
      <c r="J48" s="2541"/>
      <c r="K48" s="2542">
        <f>F48+H48+J48</f>
        <v>0</v>
      </c>
      <c r="L48" s="2955"/>
      <c r="M48" s="2956"/>
      <c r="N48" s="2956"/>
      <c r="O48" s="2956"/>
      <c r="P48" s="3271" t="str">
        <f>A48</f>
        <v>比较价值（元/平方米）</v>
      </c>
      <c r="Q48" s="327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265" t="str">
        <f>A49</f>
        <v>估价对象XX用房的比较价值（楼面单价，元/平方米）</v>
      </c>
      <c r="Q49" s="3266"/>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2150</v>
      </c>
      <c r="B2" s="1326" t="e">
        <f ca="1">IF(C2="——",ROUND(C49*D3/10000,0),ROUND(C49*D3/10000,0)-D2)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2152</v>
      </c>
      <c r="B3" s="566" t="e">
        <f ca="1">IF(C2="——",C49,ROUND(B2*10000/D3,0))</f>
        <v>#DIV/0!</v>
      </c>
      <c r="C3" s="360" t="s">
        <v>2464</v>
      </c>
      <c r="D3" s="359">
        <f>IF(D1="",'数据-汇总表'!E3,SUMIF('数据-汇总表'!$C19:$C33,D1,'数据-汇总表'!$E19:$E33))</f>
        <v>13829.859999999995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268" t="s">
        <v>2466</v>
      </c>
      <c r="D4" s="3281"/>
      <c r="E4" s="3282" t="s">
        <v>2467</v>
      </c>
      <c r="F4" s="3283"/>
      <c r="G4" s="3268" t="s">
        <v>2468</v>
      </c>
      <c r="H4" s="3281"/>
      <c r="I4" s="3268" t="s">
        <v>2469</v>
      </c>
      <c r="J4" s="3281"/>
      <c r="K4" s="567" t="s">
        <v>2470</v>
      </c>
      <c r="L4" s="2946"/>
      <c r="M4" s="2947"/>
      <c r="N4" s="2947"/>
      <c r="O4" s="2947"/>
      <c r="P4" s="3284" t="s">
        <v>2471</v>
      </c>
      <c r="Q4" s="3285"/>
      <c r="R4" s="3290" t="s">
        <v>2467</v>
      </c>
      <c r="S4" s="3291"/>
      <c r="T4" s="3290" t="s">
        <v>2468</v>
      </c>
      <c r="U4" s="3291"/>
      <c r="V4" s="3277" t="s">
        <v>2469</v>
      </c>
      <c r="W4" s="3277"/>
      <c r="X4" s="1541"/>
      <c r="Y4" s="3290" t="s">
        <v>2471</v>
      </c>
      <c r="Z4" s="3291"/>
      <c r="AA4" s="3278" t="s">
        <v>2467</v>
      </c>
      <c r="AB4" s="3277" t="s">
        <v>2468</v>
      </c>
      <c r="AC4" s="3278" t="s">
        <v>2469</v>
      </c>
    </row>
    <row r="5" spans="1:29" ht="15">
      <c r="A5" s="364"/>
      <c r="B5" s="365"/>
      <c r="C5" s="3298" t="s">
        <v>2362</v>
      </c>
      <c r="D5" s="3299"/>
      <c r="E5" s="3305" t="s">
        <v>2363</v>
      </c>
      <c r="F5" s="3306"/>
      <c r="G5" s="3298" t="s">
        <v>2364</v>
      </c>
      <c r="H5" s="3299"/>
      <c r="I5" s="3298" t="s">
        <v>2365</v>
      </c>
      <c r="J5" s="3299"/>
      <c r="K5" s="567"/>
      <c r="L5" s="2946"/>
      <c r="M5" s="2947"/>
      <c r="N5" s="2947"/>
      <c r="O5" s="2947"/>
      <c r="P5" s="3286"/>
      <c r="Q5" s="3287"/>
      <c r="R5" s="3292"/>
      <c r="S5" s="3293"/>
      <c r="T5" s="3292"/>
      <c r="U5" s="3293"/>
      <c r="V5" s="3277"/>
      <c r="W5" s="3277"/>
      <c r="X5" s="1541"/>
      <c r="Y5" s="3292"/>
      <c r="Z5" s="3293"/>
      <c r="AA5" s="3279"/>
      <c r="AB5" s="3277"/>
      <c r="AC5" s="3279"/>
    </row>
    <row r="6" spans="1:29" ht="15.75" thickBot="1">
      <c r="A6" s="366"/>
      <c r="B6" s="367"/>
      <c r="C6" s="3296" t="s">
        <v>2366</v>
      </c>
      <c r="D6" s="3297"/>
      <c r="E6" s="3303" t="s">
        <v>2366</v>
      </c>
      <c r="F6" s="3304"/>
      <c r="G6" s="3296" t="s">
        <v>2366</v>
      </c>
      <c r="H6" s="3297"/>
      <c r="I6" s="3296" t="s">
        <v>2366</v>
      </c>
      <c r="J6" s="3297"/>
      <c r="K6" s="567" t="s">
        <v>2367</v>
      </c>
      <c r="L6" s="2946"/>
      <c r="M6" s="2947"/>
      <c r="N6" s="2947"/>
      <c r="O6" s="2947"/>
      <c r="P6" s="3288"/>
      <c r="Q6" s="3289"/>
      <c r="R6" s="3292"/>
      <c r="S6" s="3293"/>
      <c r="T6" s="3294"/>
      <c r="U6" s="3295"/>
      <c r="V6" s="3277"/>
      <c r="W6" s="3277"/>
      <c r="X6" s="1541"/>
      <c r="Y6" s="3294"/>
      <c r="Z6" s="3295"/>
      <c r="AA6" s="3280"/>
      <c r="AB6" s="3277"/>
      <c r="AC6" s="3280"/>
    </row>
    <row r="7" spans="1:29" s="113" customFormat="1" ht="15.75" thickBot="1">
      <c r="A7" s="368" t="s">
        <v>2368</v>
      </c>
      <c r="B7" s="369"/>
      <c r="C7" s="370">
        <f>'数据-取费表'!B2</f>
        <v>44187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0" t="s">
        <v>2369</v>
      </c>
      <c r="Q7" s="3302"/>
      <c r="R7" s="710" t="s">
        <v>17</v>
      </c>
      <c r="S7" s="711">
        <f t="shared" ref="S7:S15" si="0">F7</f>
        <v>0</v>
      </c>
      <c r="T7" s="710" t="s">
        <v>17</v>
      </c>
      <c r="U7" s="711">
        <f t="shared" ref="U7:U15" si="1">H7</f>
        <v>0</v>
      </c>
      <c r="V7" s="710" t="s">
        <v>17</v>
      </c>
      <c r="W7" s="711">
        <f t="shared" ref="W7:W15" si="2">J7</f>
        <v>0</v>
      </c>
      <c r="X7" s="712"/>
      <c r="Y7" s="3300" t="s">
        <v>2369</v>
      </c>
      <c r="Z7" s="3301"/>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0" t="s">
        <v>2372</v>
      </c>
      <c r="Q8" s="3301"/>
      <c r="R8" s="710" t="s">
        <v>17</v>
      </c>
      <c r="S8" s="711">
        <f t="shared" si="0"/>
        <v>0</v>
      </c>
      <c r="T8" s="710" t="s">
        <v>17</v>
      </c>
      <c r="U8" s="711">
        <f t="shared" si="1"/>
        <v>0</v>
      </c>
      <c r="V8" s="710" t="s">
        <v>17</v>
      </c>
      <c r="W8" s="711">
        <f t="shared" si="2"/>
        <v>0</v>
      </c>
      <c r="X8" s="712"/>
      <c r="Y8" s="3300" t="s">
        <v>2372</v>
      </c>
      <c r="Z8" s="3301"/>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70"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70"/>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70"/>
      <c r="Q11" s="1529"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70"/>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70"/>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70"/>
      <c r="Q14" s="1529">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41" t="s">
        <v>2380</v>
      </c>
      <c r="Q15" s="1538" t="str">
        <f t="shared" si="6"/>
        <v>商业繁华度</v>
      </c>
      <c r="R15" s="714" t="s">
        <v>17</v>
      </c>
      <c r="S15" s="715">
        <f t="shared" si="0"/>
        <v>100</v>
      </c>
      <c r="T15" s="714" t="s">
        <v>17</v>
      </c>
      <c r="U15" s="715">
        <f t="shared" si="1"/>
        <v>100</v>
      </c>
      <c r="V15" s="714" t="s">
        <v>17</v>
      </c>
      <c r="W15" s="715">
        <f t="shared" si="2"/>
        <v>100</v>
      </c>
      <c r="X15" s="1541"/>
      <c r="Y15" s="3273"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42"/>
      <c r="Q16" s="1538"/>
      <c r="R16" s="714"/>
      <c r="S16" s="715"/>
      <c r="T16" s="714"/>
      <c r="U16" s="715"/>
      <c r="V16" s="714"/>
      <c r="W16" s="715"/>
      <c r="X16" s="1541"/>
      <c r="Y16" s="3274"/>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42"/>
      <c r="Q17" s="1538" t="str">
        <f>B17</f>
        <v>交通便捷度</v>
      </c>
      <c r="R17" s="714" t="s">
        <v>17</v>
      </c>
      <c r="S17" s="715">
        <f>F17</f>
        <v>100</v>
      </c>
      <c r="T17" s="714" t="s">
        <v>17</v>
      </c>
      <c r="U17" s="715">
        <f>H17</f>
        <v>100</v>
      </c>
      <c r="V17" s="714" t="s">
        <v>17</v>
      </c>
      <c r="W17" s="715">
        <f>J17</f>
        <v>100</v>
      </c>
      <c r="X17" s="1541"/>
      <c r="Y17" s="327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42"/>
      <c r="Q18" s="1538"/>
      <c r="R18" s="714"/>
      <c r="S18" s="715"/>
      <c r="T18" s="714"/>
      <c r="U18" s="715"/>
      <c r="V18" s="714"/>
      <c r="W18" s="715"/>
      <c r="X18" s="1541"/>
      <c r="Y18" s="3274"/>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42"/>
      <c r="Q19" s="1538" t="str">
        <f>B19</f>
        <v>公共配套设施</v>
      </c>
      <c r="R19" s="714" t="s">
        <v>17</v>
      </c>
      <c r="S19" s="715">
        <f>F19</f>
        <v>100</v>
      </c>
      <c r="T19" s="714" t="s">
        <v>17</v>
      </c>
      <c r="U19" s="715">
        <f>H19</f>
        <v>100</v>
      </c>
      <c r="V19" s="714" t="s">
        <v>17</v>
      </c>
      <c r="W19" s="715">
        <f>J19</f>
        <v>100</v>
      </c>
      <c r="X19" s="1541"/>
      <c r="Y19" s="327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42"/>
      <c r="Q20" s="1538"/>
      <c r="R20" s="714"/>
      <c r="S20" s="715"/>
      <c r="T20" s="714"/>
      <c r="U20" s="715"/>
      <c r="V20" s="714"/>
      <c r="W20" s="715"/>
      <c r="X20" s="1541"/>
      <c r="Y20" s="3274"/>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42"/>
      <c r="Q21" s="1538" t="str">
        <f>B21</f>
        <v>基础设施水平</v>
      </c>
      <c r="R21" s="714" t="s">
        <v>17</v>
      </c>
      <c r="S21" s="715">
        <f>F21</f>
        <v>100</v>
      </c>
      <c r="T21" s="714" t="s">
        <v>17</v>
      </c>
      <c r="U21" s="715">
        <f>H21</f>
        <v>100</v>
      </c>
      <c r="V21" s="714" t="s">
        <v>17</v>
      </c>
      <c r="W21" s="715">
        <f>J21</f>
        <v>100</v>
      </c>
      <c r="X21" s="1541"/>
      <c r="Y21" s="327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42"/>
      <c r="Q22" s="1538"/>
      <c r="R22" s="714"/>
      <c r="S22" s="715"/>
      <c r="T22" s="714"/>
      <c r="U22" s="715"/>
      <c r="V22" s="714"/>
      <c r="W22" s="715"/>
      <c r="X22" s="1541"/>
      <c r="Y22" s="3274"/>
      <c r="Z22" s="1542"/>
      <c r="AA22" s="1539">
        <v>1</v>
      </c>
      <c r="AB22" s="1539">
        <v>1</v>
      </c>
      <c r="AC22" s="1539">
        <v>1</v>
      </c>
    </row>
    <row r="23" spans="1:29" ht="57">
      <c r="A23" s="387"/>
      <c r="B23" s="410" t="s">
        <v>1949</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42"/>
      <c r="Q23" s="1538" t="str">
        <f>B23</f>
        <v>自然及人文环境</v>
      </c>
      <c r="R23" s="714" t="s">
        <v>17</v>
      </c>
      <c r="S23" s="715">
        <f>F23</f>
        <v>100</v>
      </c>
      <c r="T23" s="714" t="s">
        <v>17</v>
      </c>
      <c r="U23" s="715">
        <f>H23</f>
        <v>100</v>
      </c>
      <c r="V23" s="714" t="s">
        <v>17</v>
      </c>
      <c r="W23" s="715">
        <f>J23</f>
        <v>100</v>
      </c>
      <c r="X23" s="1541"/>
      <c r="Y23" s="327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42"/>
      <c r="Q24" s="1538"/>
      <c r="R24" s="714"/>
      <c r="S24" s="715"/>
      <c r="T24" s="714"/>
      <c r="U24" s="715"/>
      <c r="V24" s="714"/>
      <c r="W24" s="715"/>
      <c r="X24" s="1541"/>
      <c r="Y24" s="3274"/>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42"/>
      <c r="Q25" s="1538" t="str">
        <f t="shared" ref="Q25:Q46" si="11">B25</f>
        <v>临街状况</v>
      </c>
      <c r="R25" s="714" t="s">
        <v>17</v>
      </c>
      <c r="S25" s="715">
        <f>F25</f>
        <v>100</v>
      </c>
      <c r="T25" s="714" t="s">
        <v>17</v>
      </c>
      <c r="U25" s="715">
        <f>H25</f>
        <v>100</v>
      </c>
      <c r="V25" s="714" t="s">
        <v>17</v>
      </c>
      <c r="W25" s="715">
        <f>J25</f>
        <v>100</v>
      </c>
      <c r="X25" s="1541"/>
      <c r="Y25" s="3274"/>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42"/>
      <c r="Q26" s="1538" t="str">
        <f t="shared" si="11"/>
        <v>平面位置/可视性</v>
      </c>
      <c r="R26" s="714" t="s">
        <v>17</v>
      </c>
      <c r="S26" s="715">
        <f>F26</f>
        <v>100</v>
      </c>
      <c r="T26" s="714" t="s">
        <v>17</v>
      </c>
      <c r="U26" s="715">
        <f>H26</f>
        <v>100</v>
      </c>
      <c r="V26" s="714" t="s">
        <v>17</v>
      </c>
      <c r="W26" s="715">
        <f>J26</f>
        <v>100</v>
      </c>
      <c r="X26" s="1541"/>
      <c r="Y26" s="3274"/>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42"/>
      <c r="Q27" s="1529" t="str">
        <f t="shared" si="11"/>
        <v>人流量</v>
      </c>
      <c r="R27" s="710" t="s">
        <v>17</v>
      </c>
      <c r="S27" s="711">
        <f>F27</f>
        <v>100</v>
      </c>
      <c r="T27" s="710" t="s">
        <v>17</v>
      </c>
      <c r="U27" s="711">
        <f>H27</f>
        <v>100</v>
      </c>
      <c r="V27" s="710" t="s">
        <v>17</v>
      </c>
      <c r="W27" s="711">
        <f>J27</f>
        <v>100</v>
      </c>
      <c r="X27" s="712"/>
      <c r="Y27" s="3274"/>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42"/>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42"/>
      <c r="Q29" s="1538">
        <f t="shared" si="11"/>
        <v>111</v>
      </c>
      <c r="R29" s="714" t="s">
        <v>17</v>
      </c>
      <c r="S29" s="715">
        <f t="shared" si="12"/>
        <v>100</v>
      </c>
      <c r="T29" s="714" t="s">
        <v>17</v>
      </c>
      <c r="U29" s="715">
        <f t="shared" si="13"/>
        <v>100</v>
      </c>
      <c r="V29" s="714" t="s">
        <v>17</v>
      </c>
      <c r="W29" s="715">
        <f t="shared" si="14"/>
        <v>100</v>
      </c>
      <c r="X29" s="1541"/>
      <c r="Y29" s="327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42"/>
      <c r="Q30" s="1538">
        <f t="shared" si="11"/>
        <v>111</v>
      </c>
      <c r="R30" s="714" t="s">
        <v>17</v>
      </c>
      <c r="S30" s="715">
        <f t="shared" si="12"/>
        <v>100</v>
      </c>
      <c r="T30" s="714" t="s">
        <v>17</v>
      </c>
      <c r="U30" s="715">
        <f t="shared" si="13"/>
        <v>100</v>
      </c>
      <c r="V30" s="714" t="s">
        <v>17</v>
      </c>
      <c r="W30" s="715">
        <f t="shared" si="14"/>
        <v>100</v>
      </c>
      <c r="X30" s="1541"/>
      <c r="Y30" s="327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42"/>
      <c r="Q31" s="1538">
        <f t="shared" si="11"/>
        <v>111</v>
      </c>
      <c r="R31" s="714" t="s">
        <v>17</v>
      </c>
      <c r="S31" s="715">
        <f t="shared" si="12"/>
        <v>100</v>
      </c>
      <c r="T31" s="714" t="s">
        <v>17</v>
      </c>
      <c r="U31" s="715">
        <f t="shared" si="13"/>
        <v>100</v>
      </c>
      <c r="V31" s="714" t="s">
        <v>17</v>
      </c>
      <c r="W31" s="715">
        <f t="shared" si="14"/>
        <v>100</v>
      </c>
      <c r="X31" s="1541"/>
      <c r="Y31" s="3274"/>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37" t="s">
        <v>2385</v>
      </c>
      <c r="Q32" s="1538" t="str">
        <f t="shared" si="11"/>
        <v>商业类型</v>
      </c>
      <c r="R32" s="714" t="s">
        <v>17</v>
      </c>
      <c r="S32" s="715">
        <f t="shared" si="12"/>
        <v>100</v>
      </c>
      <c r="T32" s="714" t="s">
        <v>17</v>
      </c>
      <c r="U32" s="715">
        <f t="shared" si="13"/>
        <v>100</v>
      </c>
      <c r="V32" s="714" t="s">
        <v>17</v>
      </c>
      <c r="W32" s="715">
        <f t="shared" si="14"/>
        <v>100</v>
      </c>
      <c r="X32" s="1541"/>
      <c r="Y32" s="3276"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38"/>
      <c r="Q33" s="716" t="str">
        <f t="shared" si="11"/>
        <v>项目建筑规模</v>
      </c>
      <c r="R33" s="717" t="s">
        <v>17</v>
      </c>
      <c r="S33" s="718" t="e">
        <f t="shared" si="12"/>
        <v>#N/A</v>
      </c>
      <c r="T33" s="717" t="s">
        <v>17</v>
      </c>
      <c r="U33" s="718" t="e">
        <f t="shared" si="13"/>
        <v>#N/A</v>
      </c>
      <c r="V33" s="717" t="s">
        <v>17</v>
      </c>
      <c r="W33" s="718" t="e">
        <f t="shared" si="14"/>
        <v>#N/A</v>
      </c>
      <c r="X33" s="719"/>
      <c r="Y33" s="3276"/>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38"/>
      <c r="Q34" s="1538" t="str">
        <f t="shared" si="11"/>
        <v>建筑结构</v>
      </c>
      <c r="R34" s="714" t="s">
        <v>17</v>
      </c>
      <c r="S34" s="715">
        <f t="shared" si="12"/>
        <v>100</v>
      </c>
      <c r="T34" s="714" t="s">
        <v>17</v>
      </c>
      <c r="U34" s="715">
        <f t="shared" si="13"/>
        <v>100</v>
      </c>
      <c r="V34" s="714" t="s">
        <v>17</v>
      </c>
      <c r="W34" s="715">
        <f t="shared" si="14"/>
        <v>100</v>
      </c>
      <c r="X34" s="1541"/>
      <c r="Y34" s="3276"/>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38"/>
      <c r="Q35" s="1538" t="str">
        <f t="shared" si="11"/>
        <v>公共部分装修</v>
      </c>
      <c r="R35" s="714" t="s">
        <v>17</v>
      </c>
      <c r="S35" s="715">
        <f t="shared" si="12"/>
        <v>100</v>
      </c>
      <c r="T35" s="714" t="s">
        <v>17</v>
      </c>
      <c r="U35" s="715">
        <f t="shared" si="13"/>
        <v>100</v>
      </c>
      <c r="V35" s="714" t="s">
        <v>17</v>
      </c>
      <c r="W35" s="715">
        <f t="shared" si="14"/>
        <v>100</v>
      </c>
      <c r="X35" s="1541"/>
      <c r="Y35" s="3276"/>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38"/>
      <c r="Q36" s="1538" t="str">
        <f t="shared" si="11"/>
        <v>成新度</v>
      </c>
      <c r="R36" s="714" t="s">
        <v>17</v>
      </c>
      <c r="S36" s="715" t="e">
        <f t="shared" si="12"/>
        <v>#N/A</v>
      </c>
      <c r="T36" s="714" t="s">
        <v>17</v>
      </c>
      <c r="U36" s="715" t="e">
        <f t="shared" si="13"/>
        <v>#N/A</v>
      </c>
      <c r="V36" s="714" t="s">
        <v>17</v>
      </c>
      <c r="W36" s="715" t="e">
        <f t="shared" si="14"/>
        <v>#N/A</v>
      </c>
      <c r="X36" s="1541"/>
      <c r="Y36" s="3276"/>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38"/>
      <c r="Q37" s="1529" t="str">
        <f t="shared" si="11"/>
        <v>市政基础设施</v>
      </c>
      <c r="R37" s="710" t="s">
        <v>17</v>
      </c>
      <c r="S37" s="711">
        <f t="shared" si="12"/>
        <v>100</v>
      </c>
      <c r="T37" s="710" t="s">
        <v>17</v>
      </c>
      <c r="U37" s="711">
        <f t="shared" si="13"/>
        <v>100</v>
      </c>
      <c r="V37" s="710" t="s">
        <v>17</v>
      </c>
      <c r="W37" s="711">
        <f t="shared" si="14"/>
        <v>100</v>
      </c>
      <c r="X37" s="712"/>
      <c r="Y37" s="3276"/>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38" t="s">
        <v>2385</v>
      </c>
      <c r="Q38" s="1538" t="str">
        <f t="shared" si="11"/>
        <v>业态</v>
      </c>
      <c r="R38" s="714" t="s">
        <v>17</v>
      </c>
      <c r="S38" s="715">
        <f t="shared" si="12"/>
        <v>100</v>
      </c>
      <c r="T38" s="714" t="s">
        <v>17</v>
      </c>
      <c r="U38" s="715">
        <f t="shared" si="13"/>
        <v>100</v>
      </c>
      <c r="V38" s="714" t="s">
        <v>17</v>
      </c>
      <c r="W38" s="715">
        <f t="shared" si="14"/>
        <v>100</v>
      </c>
      <c r="X38" s="1541"/>
      <c r="Y38" s="3276"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38"/>
      <c r="Q39" s="1538" t="str">
        <f t="shared" si="11"/>
        <v>层高</v>
      </c>
      <c r="R39" s="714" t="s">
        <v>17</v>
      </c>
      <c r="S39" s="715">
        <f t="shared" si="12"/>
        <v>100</v>
      </c>
      <c r="T39" s="714" t="s">
        <v>17</v>
      </c>
      <c r="U39" s="715">
        <f t="shared" si="13"/>
        <v>100</v>
      </c>
      <c r="V39" s="714" t="s">
        <v>17</v>
      </c>
      <c r="W39" s="715">
        <f t="shared" si="14"/>
        <v>100</v>
      </c>
      <c r="X39" s="1541"/>
      <c r="Y39" s="3276"/>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38"/>
      <c r="Q40" s="1538" t="str">
        <f t="shared" si="11"/>
        <v>单套建筑面积</v>
      </c>
      <c r="R40" s="714" t="s">
        <v>17</v>
      </c>
      <c r="S40" s="715">
        <f t="shared" si="12"/>
        <v>100</v>
      </c>
      <c r="T40" s="714" t="s">
        <v>17</v>
      </c>
      <c r="U40" s="715">
        <f t="shared" si="13"/>
        <v>100</v>
      </c>
      <c r="V40" s="714" t="s">
        <v>17</v>
      </c>
      <c r="W40" s="715">
        <f t="shared" si="14"/>
        <v>100</v>
      </c>
      <c r="X40" s="1541"/>
      <c r="Y40" s="3276"/>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38"/>
      <c r="Q41" s="716" t="str">
        <f t="shared" si="11"/>
        <v>进深比</v>
      </c>
      <c r="R41" s="717" t="s">
        <v>17</v>
      </c>
      <c r="S41" s="718">
        <f t="shared" si="12"/>
        <v>100</v>
      </c>
      <c r="T41" s="717" t="s">
        <v>17</v>
      </c>
      <c r="U41" s="718">
        <f t="shared" si="13"/>
        <v>100</v>
      </c>
      <c r="V41" s="717" t="s">
        <v>17</v>
      </c>
      <c r="W41" s="718">
        <f t="shared" si="14"/>
        <v>100</v>
      </c>
      <c r="X41" s="719"/>
      <c r="Y41" s="3276"/>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38"/>
      <c r="Q42" s="1538" t="str">
        <f t="shared" si="11"/>
        <v>内部装修</v>
      </c>
      <c r="R42" s="714" t="s">
        <v>17</v>
      </c>
      <c r="S42" s="715">
        <f t="shared" si="12"/>
        <v>100</v>
      </c>
      <c r="T42" s="714" t="s">
        <v>17</v>
      </c>
      <c r="U42" s="715">
        <f t="shared" si="13"/>
        <v>100</v>
      </c>
      <c r="V42" s="714" t="s">
        <v>17</v>
      </c>
      <c r="W42" s="715">
        <f t="shared" si="14"/>
        <v>100</v>
      </c>
      <c r="X42" s="1541"/>
      <c r="Y42" s="3276"/>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38"/>
      <c r="Q43" s="1538" t="str">
        <f t="shared" si="11"/>
        <v>内部装修维护情况</v>
      </c>
      <c r="R43" s="714" t="s">
        <v>17</v>
      </c>
      <c r="S43" s="715">
        <f t="shared" si="12"/>
        <v>100</v>
      </c>
      <c r="T43" s="714" t="s">
        <v>17</v>
      </c>
      <c r="U43" s="715">
        <f t="shared" si="13"/>
        <v>100</v>
      </c>
      <c r="V43" s="714" t="s">
        <v>17</v>
      </c>
      <c r="W43" s="715">
        <f t="shared" si="14"/>
        <v>100</v>
      </c>
      <c r="X43" s="1541"/>
      <c r="Y43" s="3276"/>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38"/>
      <c r="Q44" s="1529">
        <f t="shared" si="11"/>
        <v>111</v>
      </c>
      <c r="R44" s="710" t="s">
        <v>17</v>
      </c>
      <c r="S44" s="711">
        <f t="shared" si="12"/>
        <v>100</v>
      </c>
      <c r="T44" s="710" t="s">
        <v>17</v>
      </c>
      <c r="U44" s="711">
        <f t="shared" si="13"/>
        <v>100</v>
      </c>
      <c r="V44" s="710" t="s">
        <v>17</v>
      </c>
      <c r="W44" s="711">
        <f t="shared" si="14"/>
        <v>100</v>
      </c>
      <c r="X44" s="712"/>
      <c r="Y44" s="327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38"/>
      <c r="Q45" s="1538">
        <f t="shared" si="11"/>
        <v>111</v>
      </c>
      <c r="R45" s="714" t="s">
        <v>17</v>
      </c>
      <c r="S45" s="715">
        <f t="shared" si="12"/>
        <v>100</v>
      </c>
      <c r="T45" s="714" t="s">
        <v>17</v>
      </c>
      <c r="U45" s="715">
        <f t="shared" si="13"/>
        <v>100</v>
      </c>
      <c r="V45" s="714" t="s">
        <v>17</v>
      </c>
      <c r="W45" s="715">
        <f t="shared" si="14"/>
        <v>100</v>
      </c>
      <c r="X45" s="1541"/>
      <c r="Y45" s="3276"/>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39"/>
      <c r="Q46" s="1538">
        <f t="shared" si="11"/>
        <v>111</v>
      </c>
      <c r="R46" s="714" t="s">
        <v>17</v>
      </c>
      <c r="S46" s="715">
        <f t="shared" si="12"/>
        <v>100</v>
      </c>
      <c r="T46" s="714" t="s">
        <v>17</v>
      </c>
      <c r="U46" s="715">
        <f t="shared" si="13"/>
        <v>100</v>
      </c>
      <c r="V46" s="714" t="s">
        <v>17</v>
      </c>
      <c r="W46" s="715">
        <f t="shared" si="14"/>
        <v>100</v>
      </c>
      <c r="X46" s="1541"/>
      <c r="Y46" s="3340"/>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5"/>
      <c r="M47" s="2956"/>
      <c r="N47" s="2947"/>
      <c r="O47" s="2956"/>
      <c r="P47" s="3271" t="str">
        <f>A47</f>
        <v>成交单价（元/平方米）</v>
      </c>
      <c r="Q47" s="3271"/>
      <c r="R47" s="3277">
        <f>E47</f>
        <v>0</v>
      </c>
      <c r="S47" s="3277"/>
      <c r="T47" s="3277">
        <f>G47</f>
        <v>0</v>
      </c>
      <c r="U47" s="3277"/>
      <c r="V47" s="3277">
        <f>I47</f>
        <v>0</v>
      </c>
      <c r="W47" s="3277"/>
      <c r="X47" s="699"/>
      <c r="Y47" s="721"/>
      <c r="Z47" s="699"/>
      <c r="AA47" s="699"/>
      <c r="AB47" s="699"/>
      <c r="AC47" s="699"/>
    </row>
    <row r="48" spans="1:29" ht="15.75" thickBot="1">
      <c r="A48" s="445" t="s">
        <v>2489</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271" t="str">
        <f>A48</f>
        <v>比较价值（元/平方米）</v>
      </c>
      <c r="Q48" s="327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5"/>
      <c r="M49" s="2956"/>
      <c r="N49" s="2947"/>
      <c r="O49" s="2956"/>
      <c r="P49" s="3265" t="str">
        <f>A49</f>
        <v>估价对象XX用房的比较价值（楼面单价，元/平方米）</v>
      </c>
      <c r="Q49" s="3266"/>
      <c r="R49" s="3335" t="e">
        <f>IF(F1="售价",ROUND(IF(D48="简单平均",AVERAGE(R48:V48),R48*F48+T48*H48+V48*J48),0),ROUND(IF(D48="简单平均",AVERAGE(R48:V48),R48*F48+T48*H48+V48*J48),1))</f>
        <v>#DIV/0!</v>
      </c>
      <c r="S49" s="3335"/>
      <c r="T49" s="3335"/>
      <c r="U49" s="3335"/>
      <c r="V49" s="3335"/>
      <c r="W49" s="333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IF(C2="——",ROUND(C50*D3/10000,0),ROUND(C50*D3/10000,0)-D2)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13829.859999999995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268" t="s">
        <v>2466</v>
      </c>
      <c r="D4" s="3281"/>
      <c r="E4" s="3282" t="s">
        <v>2467</v>
      </c>
      <c r="F4" s="3283"/>
      <c r="G4" s="3268" t="s">
        <v>2468</v>
      </c>
      <c r="H4" s="3281"/>
      <c r="I4" s="3268" t="s">
        <v>2469</v>
      </c>
      <c r="J4" s="3281"/>
      <c r="K4" s="567" t="s">
        <v>2470</v>
      </c>
      <c r="L4" s="2946"/>
      <c r="M4" s="2947"/>
      <c r="N4" s="2947"/>
      <c r="O4" s="2947"/>
      <c r="P4" s="3349" t="s">
        <v>2471</v>
      </c>
      <c r="Q4" s="3350"/>
      <c r="R4" s="3353" t="s">
        <v>2467</v>
      </c>
      <c r="S4" s="3354"/>
      <c r="T4" s="3353" t="s">
        <v>2468</v>
      </c>
      <c r="U4" s="3354"/>
      <c r="V4" s="3355" t="s">
        <v>2469</v>
      </c>
      <c r="W4" s="3355"/>
      <c r="X4" s="2146"/>
      <c r="Y4" s="3353" t="s">
        <v>2471</v>
      </c>
      <c r="Z4" s="3354"/>
      <c r="AA4" s="3357" t="s">
        <v>2467</v>
      </c>
      <c r="AB4" s="3357" t="s">
        <v>2468</v>
      </c>
      <c r="AC4" s="3346" t="s">
        <v>2469</v>
      </c>
    </row>
    <row r="5" spans="1:29" ht="15">
      <c r="A5" s="364"/>
      <c r="B5" s="365"/>
      <c r="C5" s="3298" t="s">
        <v>2362</v>
      </c>
      <c r="D5" s="3299"/>
      <c r="E5" s="3305" t="s">
        <v>2363</v>
      </c>
      <c r="F5" s="3306"/>
      <c r="G5" s="3298" t="s">
        <v>2364</v>
      </c>
      <c r="H5" s="3299"/>
      <c r="I5" s="3298" t="s">
        <v>2365</v>
      </c>
      <c r="J5" s="3299"/>
      <c r="K5" s="567"/>
      <c r="L5" s="2946"/>
      <c r="M5" s="2947"/>
      <c r="N5" s="2947"/>
      <c r="O5" s="2947"/>
      <c r="P5" s="3351"/>
      <c r="Q5" s="3287"/>
      <c r="R5" s="3292"/>
      <c r="S5" s="3293"/>
      <c r="T5" s="3292"/>
      <c r="U5" s="3293"/>
      <c r="V5" s="3277"/>
      <c r="W5" s="3277"/>
      <c r="X5" s="1541"/>
      <c r="Y5" s="3292"/>
      <c r="Z5" s="3293"/>
      <c r="AA5" s="3279"/>
      <c r="AB5" s="3279"/>
      <c r="AC5" s="3347"/>
    </row>
    <row r="6" spans="1:29" ht="15.75" thickBot="1">
      <c r="A6" s="366"/>
      <c r="B6" s="367"/>
      <c r="C6" s="3296" t="s">
        <v>2366</v>
      </c>
      <c r="D6" s="3297"/>
      <c r="E6" s="3303" t="s">
        <v>2366</v>
      </c>
      <c r="F6" s="3304"/>
      <c r="G6" s="3296" t="s">
        <v>2366</v>
      </c>
      <c r="H6" s="3297"/>
      <c r="I6" s="3296" t="s">
        <v>2366</v>
      </c>
      <c r="J6" s="3297"/>
      <c r="K6" s="567" t="s">
        <v>2367</v>
      </c>
      <c r="L6" s="2946"/>
      <c r="M6" s="2947"/>
      <c r="N6" s="2947"/>
      <c r="O6" s="2947"/>
      <c r="P6" s="3352"/>
      <c r="Q6" s="3289"/>
      <c r="R6" s="3292"/>
      <c r="S6" s="3293"/>
      <c r="T6" s="3294"/>
      <c r="U6" s="3295"/>
      <c r="V6" s="3277"/>
      <c r="W6" s="3277"/>
      <c r="X6" s="1541"/>
      <c r="Y6" s="3294"/>
      <c r="Z6" s="3295"/>
      <c r="AA6" s="3280"/>
      <c r="AB6" s="3280"/>
      <c r="AC6" s="3348"/>
    </row>
    <row r="7" spans="1:29" s="113" customFormat="1" ht="15.75" thickBot="1">
      <c r="A7" s="368" t="s">
        <v>2368</v>
      </c>
      <c r="B7" s="369"/>
      <c r="C7" s="370">
        <f>'数据-取费表'!B2</f>
        <v>44187</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56" t="s">
        <v>2369</v>
      </c>
      <c r="Q7" s="3302"/>
      <c r="R7" s="710" t="s">
        <v>17</v>
      </c>
      <c r="S7" s="711">
        <f t="shared" ref="S7:S15" si="0">F7</f>
        <v>0</v>
      </c>
      <c r="T7" s="710" t="s">
        <v>17</v>
      </c>
      <c r="U7" s="711">
        <f t="shared" ref="U7:U15" si="1">H7</f>
        <v>0</v>
      </c>
      <c r="V7" s="710" t="s">
        <v>17</v>
      </c>
      <c r="W7" s="711">
        <f t="shared" ref="W7:W15" si="2">J7</f>
        <v>0</v>
      </c>
      <c r="X7" s="712"/>
      <c r="Y7" s="3300" t="s">
        <v>2369</v>
      </c>
      <c r="Z7" s="3301"/>
      <c r="AA7" s="713" t="e">
        <f>D7/F7</f>
        <v>#DIV/0!</v>
      </c>
      <c r="AB7" s="713" t="e">
        <f>D7/H7</f>
        <v>#DIV/0!</v>
      </c>
      <c r="AC7" s="2147"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56" t="s">
        <v>2372</v>
      </c>
      <c r="Q8" s="3301"/>
      <c r="R8" s="710" t="s">
        <v>17</v>
      </c>
      <c r="S8" s="711">
        <f t="shared" si="0"/>
        <v>0</v>
      </c>
      <c r="T8" s="710" t="s">
        <v>17</v>
      </c>
      <c r="U8" s="711">
        <f t="shared" si="1"/>
        <v>0</v>
      </c>
      <c r="V8" s="710" t="s">
        <v>17</v>
      </c>
      <c r="W8" s="711">
        <f t="shared" si="2"/>
        <v>0</v>
      </c>
      <c r="X8" s="712"/>
      <c r="Y8" s="3300" t="s">
        <v>2372</v>
      </c>
      <c r="Z8" s="3301"/>
      <c r="AA8" s="713" t="e">
        <f t="shared" ref="AA8:AA47" si="3">D8/F8</f>
        <v>#DIV/0!</v>
      </c>
      <c r="AB8" s="713" t="e">
        <f t="shared" ref="AB8:AB47" si="4">D8/H8</f>
        <v>#DIV/0!</v>
      </c>
      <c r="AC8" s="2147"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70"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70"/>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2147">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70"/>
      <c r="Q11" s="1529"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70"/>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70"/>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70"/>
      <c r="Q14" s="1529">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41" t="s">
        <v>2380</v>
      </c>
      <c r="Q15" s="1538" t="str">
        <f t="shared" si="6"/>
        <v>办公集聚程度</v>
      </c>
      <c r="R15" s="714" t="s">
        <v>17</v>
      </c>
      <c r="S15" s="715">
        <f t="shared" si="0"/>
        <v>100</v>
      </c>
      <c r="T15" s="714" t="s">
        <v>17</v>
      </c>
      <c r="U15" s="715">
        <f t="shared" si="1"/>
        <v>100</v>
      </c>
      <c r="V15" s="714" t="s">
        <v>17</v>
      </c>
      <c r="W15" s="715">
        <f t="shared" si="2"/>
        <v>100</v>
      </c>
      <c r="X15" s="1541"/>
      <c r="Y15" s="3273"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42"/>
      <c r="Q16" s="1538"/>
      <c r="R16" s="714"/>
      <c r="S16" s="715"/>
      <c r="T16" s="714"/>
      <c r="U16" s="715"/>
      <c r="V16" s="714"/>
      <c r="W16" s="715"/>
      <c r="X16" s="1541"/>
      <c r="Y16" s="3274"/>
      <c r="Z16" s="1542"/>
      <c r="AA16" s="1539">
        <v>1</v>
      </c>
      <c r="AB16" s="1539">
        <v>1</v>
      </c>
      <c r="AC16" s="2150">
        <v>1</v>
      </c>
    </row>
    <row r="17" spans="1:29" ht="71.25">
      <c r="A17" s="387"/>
      <c r="B17" s="587" t="s">
        <v>1947</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42"/>
      <c r="Q17" s="1538" t="str">
        <f>B17</f>
        <v>交通便捷度</v>
      </c>
      <c r="R17" s="714" t="s">
        <v>17</v>
      </c>
      <c r="S17" s="715">
        <f>F17</f>
        <v>100</v>
      </c>
      <c r="T17" s="714" t="s">
        <v>17</v>
      </c>
      <c r="U17" s="715">
        <f>H17</f>
        <v>100</v>
      </c>
      <c r="V17" s="714" t="s">
        <v>17</v>
      </c>
      <c r="W17" s="715">
        <f>J17</f>
        <v>100</v>
      </c>
      <c r="X17" s="1541"/>
      <c r="Y17" s="327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42"/>
      <c r="Q18" s="1538"/>
      <c r="R18" s="714"/>
      <c r="S18" s="715"/>
      <c r="T18" s="714"/>
      <c r="U18" s="715"/>
      <c r="V18" s="714"/>
      <c r="W18" s="715"/>
      <c r="X18" s="1541"/>
      <c r="Y18" s="3274"/>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42"/>
      <c r="Q19" s="1538" t="str">
        <f>B19</f>
        <v>公共配套设施</v>
      </c>
      <c r="R19" s="714" t="s">
        <v>17</v>
      </c>
      <c r="S19" s="715">
        <f>F19</f>
        <v>100</v>
      </c>
      <c r="T19" s="714" t="s">
        <v>17</v>
      </c>
      <c r="U19" s="715">
        <f>H19</f>
        <v>100</v>
      </c>
      <c r="V19" s="714" t="s">
        <v>17</v>
      </c>
      <c r="W19" s="715">
        <f>J19</f>
        <v>100</v>
      </c>
      <c r="X19" s="1541"/>
      <c r="Y19" s="327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42"/>
      <c r="Q20" s="1538"/>
      <c r="R20" s="714"/>
      <c r="S20" s="715"/>
      <c r="T20" s="714"/>
      <c r="U20" s="715"/>
      <c r="V20" s="714"/>
      <c r="W20" s="715"/>
      <c r="X20" s="1541"/>
      <c r="Y20" s="3274"/>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42"/>
      <c r="Q21" s="1538" t="str">
        <f>B21</f>
        <v>基础设施水平</v>
      </c>
      <c r="R21" s="714" t="s">
        <v>17</v>
      </c>
      <c r="S21" s="715">
        <f>F21</f>
        <v>100</v>
      </c>
      <c r="T21" s="714" t="s">
        <v>17</v>
      </c>
      <c r="U21" s="715">
        <f>H21</f>
        <v>100</v>
      </c>
      <c r="V21" s="714" t="s">
        <v>17</v>
      </c>
      <c r="W21" s="715">
        <f>J21</f>
        <v>100</v>
      </c>
      <c r="X21" s="1541"/>
      <c r="Y21" s="327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42"/>
      <c r="Q22" s="1538"/>
      <c r="R22" s="714"/>
      <c r="S22" s="715"/>
      <c r="T22" s="714"/>
      <c r="U22" s="715"/>
      <c r="V22" s="714"/>
      <c r="W22" s="715"/>
      <c r="X22" s="1541"/>
      <c r="Y22" s="3274"/>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42"/>
      <c r="Q23" s="1538" t="str">
        <f>B23</f>
        <v>环境质量</v>
      </c>
      <c r="R23" s="714" t="s">
        <v>17</v>
      </c>
      <c r="S23" s="715">
        <f>F23</f>
        <v>100</v>
      </c>
      <c r="T23" s="714" t="s">
        <v>17</v>
      </c>
      <c r="U23" s="715">
        <f>H23</f>
        <v>100</v>
      </c>
      <c r="V23" s="714" t="s">
        <v>17</v>
      </c>
      <c r="W23" s="715">
        <f>J23</f>
        <v>100</v>
      </c>
      <c r="X23" s="1541"/>
      <c r="Y23" s="327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42"/>
      <c r="Q24" s="1538"/>
      <c r="R24" s="714"/>
      <c r="S24" s="715"/>
      <c r="T24" s="714"/>
      <c r="U24" s="715"/>
      <c r="V24" s="714"/>
      <c r="W24" s="715"/>
      <c r="X24" s="1541"/>
      <c r="Y24" s="3274"/>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42"/>
      <c r="Q25" s="1538" t="str">
        <f>B25</f>
        <v>毗邻道路的类型与等级</v>
      </c>
      <c r="R25" s="714" t="s">
        <v>17</v>
      </c>
      <c r="S25" s="715">
        <f>F25</f>
        <v>100</v>
      </c>
      <c r="T25" s="714" t="s">
        <v>17</v>
      </c>
      <c r="U25" s="715">
        <f>H25</f>
        <v>100</v>
      </c>
      <c r="V25" s="714" t="s">
        <v>17</v>
      </c>
      <c r="W25" s="715">
        <f>J25</f>
        <v>100</v>
      </c>
      <c r="X25" s="1541"/>
      <c r="Y25" s="327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42"/>
      <c r="Q26" s="1538"/>
      <c r="R26" s="714"/>
      <c r="S26" s="715"/>
      <c r="T26" s="714"/>
      <c r="U26" s="715"/>
      <c r="V26" s="714"/>
      <c r="W26" s="715"/>
      <c r="X26" s="1541"/>
      <c r="Y26" s="3274"/>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42"/>
      <c r="Q27" s="1538" t="str">
        <f t="shared" ref="Q27:Q47" si="11">B27</f>
        <v>楼层</v>
      </c>
      <c r="R27" s="714" t="s">
        <v>17</v>
      </c>
      <c r="S27" s="715">
        <f>F27</f>
        <v>100</v>
      </c>
      <c r="T27" s="714" t="s">
        <v>17</v>
      </c>
      <c r="U27" s="715">
        <f>H27</f>
        <v>100</v>
      </c>
      <c r="V27" s="714" t="s">
        <v>17</v>
      </c>
      <c r="W27" s="715">
        <f>J27</f>
        <v>100</v>
      </c>
      <c r="X27" s="1541"/>
      <c r="Y27" s="3274"/>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42"/>
      <c r="Q28" s="1529" t="str">
        <f t="shared" si="11"/>
        <v>朝向</v>
      </c>
      <c r="R28" s="710" t="s">
        <v>17</v>
      </c>
      <c r="S28" s="711">
        <f>F28</f>
        <v>100</v>
      </c>
      <c r="T28" s="710" t="s">
        <v>17</v>
      </c>
      <c r="U28" s="711">
        <f>H28</f>
        <v>100</v>
      </c>
      <c r="V28" s="710" t="s">
        <v>17</v>
      </c>
      <c r="W28" s="711">
        <f>J28</f>
        <v>100</v>
      </c>
      <c r="X28" s="712"/>
      <c r="Y28" s="327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42"/>
      <c r="Q29" s="1538">
        <f t="shared" si="11"/>
        <v>111</v>
      </c>
      <c r="R29" s="714" t="s">
        <v>17</v>
      </c>
      <c r="S29" s="715">
        <f t="shared" ref="S29:S47" si="12">F29</f>
        <v>100</v>
      </c>
      <c r="T29" s="714" t="s">
        <v>17</v>
      </c>
      <c r="U29" s="715">
        <f t="shared" ref="U29:U47" si="13">H29</f>
        <v>100</v>
      </c>
      <c r="V29" s="714" t="s">
        <v>17</v>
      </c>
      <c r="W29" s="715">
        <f t="shared" ref="W29:W47" si="14">J29</f>
        <v>100</v>
      </c>
      <c r="X29" s="1541"/>
      <c r="Y29" s="327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42"/>
      <c r="Q30" s="1538">
        <f t="shared" si="11"/>
        <v>111</v>
      </c>
      <c r="R30" s="714" t="s">
        <v>17</v>
      </c>
      <c r="S30" s="715">
        <f t="shared" si="12"/>
        <v>100</v>
      </c>
      <c r="T30" s="714" t="s">
        <v>17</v>
      </c>
      <c r="U30" s="715">
        <f t="shared" si="13"/>
        <v>100</v>
      </c>
      <c r="V30" s="714" t="s">
        <v>17</v>
      </c>
      <c r="W30" s="715">
        <f t="shared" si="14"/>
        <v>100</v>
      </c>
      <c r="X30" s="1541"/>
      <c r="Y30" s="327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42"/>
      <c r="Q31" s="1538">
        <f t="shared" si="11"/>
        <v>111</v>
      </c>
      <c r="R31" s="714" t="s">
        <v>17</v>
      </c>
      <c r="S31" s="715">
        <f t="shared" si="12"/>
        <v>100</v>
      </c>
      <c r="T31" s="714" t="s">
        <v>17</v>
      </c>
      <c r="U31" s="715">
        <f t="shared" si="13"/>
        <v>100</v>
      </c>
      <c r="V31" s="714" t="s">
        <v>17</v>
      </c>
      <c r="W31" s="715">
        <f t="shared" si="14"/>
        <v>100</v>
      </c>
      <c r="X31" s="1541"/>
      <c r="Y31" s="327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42"/>
      <c r="Q32" s="1538">
        <f t="shared" si="11"/>
        <v>111</v>
      </c>
      <c r="R32" s="714" t="s">
        <v>17</v>
      </c>
      <c r="S32" s="715">
        <f t="shared" si="12"/>
        <v>100</v>
      </c>
      <c r="T32" s="714" t="s">
        <v>17</v>
      </c>
      <c r="U32" s="715">
        <f t="shared" si="13"/>
        <v>100</v>
      </c>
      <c r="V32" s="714" t="s">
        <v>17</v>
      </c>
      <c r="W32" s="715">
        <f t="shared" si="14"/>
        <v>100</v>
      </c>
      <c r="X32" s="1541"/>
      <c r="Y32" s="3274"/>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37" t="s">
        <v>2385</v>
      </c>
      <c r="Q33" s="1538" t="str">
        <f t="shared" si="11"/>
        <v>建筑类型</v>
      </c>
      <c r="R33" s="714" t="s">
        <v>17</v>
      </c>
      <c r="S33" s="715">
        <f t="shared" si="12"/>
        <v>100</v>
      </c>
      <c r="T33" s="714" t="s">
        <v>17</v>
      </c>
      <c r="U33" s="715">
        <f t="shared" si="13"/>
        <v>100</v>
      </c>
      <c r="V33" s="714" t="s">
        <v>17</v>
      </c>
      <c r="W33" s="715">
        <f t="shared" si="14"/>
        <v>100</v>
      </c>
      <c r="X33" s="1541"/>
      <c r="Y33" s="3276"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38"/>
      <c r="Q34" s="716" t="str">
        <f t="shared" si="11"/>
        <v>项目建筑规模</v>
      </c>
      <c r="R34" s="717" t="s">
        <v>17</v>
      </c>
      <c r="S34" s="718" t="e">
        <f t="shared" si="12"/>
        <v>#N/A</v>
      </c>
      <c r="T34" s="717" t="s">
        <v>17</v>
      </c>
      <c r="U34" s="718" t="e">
        <f t="shared" si="13"/>
        <v>#N/A</v>
      </c>
      <c r="V34" s="717" t="s">
        <v>17</v>
      </c>
      <c r="W34" s="718" t="e">
        <f t="shared" si="14"/>
        <v>#N/A</v>
      </c>
      <c r="X34" s="719"/>
      <c r="Y34" s="3276"/>
      <c r="Z34" s="720" t="str">
        <f t="shared" si="15"/>
        <v>项目建筑规模</v>
      </c>
      <c r="AA34" s="1539" t="e">
        <f t="shared" si="3"/>
        <v>#N/A</v>
      </c>
      <c r="AB34" s="1539" t="e">
        <f t="shared" si="4"/>
        <v>#N/A</v>
      </c>
      <c r="AC34" s="2150"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38"/>
      <c r="Q35" s="1538" t="str">
        <f t="shared" si="11"/>
        <v>建筑结构</v>
      </c>
      <c r="R35" s="714" t="s">
        <v>17</v>
      </c>
      <c r="S35" s="715">
        <f t="shared" si="12"/>
        <v>100</v>
      </c>
      <c r="T35" s="714" t="s">
        <v>17</v>
      </c>
      <c r="U35" s="715">
        <f t="shared" si="13"/>
        <v>100</v>
      </c>
      <c r="V35" s="714" t="s">
        <v>17</v>
      </c>
      <c r="W35" s="715">
        <f t="shared" si="14"/>
        <v>100</v>
      </c>
      <c r="X35" s="1541"/>
      <c r="Y35" s="3276"/>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38"/>
      <c r="Q36" s="1538" t="str">
        <f t="shared" si="11"/>
        <v>公共部分装修</v>
      </c>
      <c r="R36" s="714" t="s">
        <v>17</v>
      </c>
      <c r="S36" s="715">
        <f t="shared" si="12"/>
        <v>100</v>
      </c>
      <c r="T36" s="714" t="s">
        <v>17</v>
      </c>
      <c r="U36" s="715">
        <f t="shared" si="13"/>
        <v>100</v>
      </c>
      <c r="V36" s="714" t="s">
        <v>17</v>
      </c>
      <c r="W36" s="715">
        <f t="shared" si="14"/>
        <v>100</v>
      </c>
      <c r="X36" s="1541"/>
      <c r="Y36" s="3276"/>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38"/>
      <c r="Q37" s="1538" t="str">
        <f t="shared" si="11"/>
        <v>成新度</v>
      </c>
      <c r="R37" s="714" t="s">
        <v>17</v>
      </c>
      <c r="S37" s="715" t="e">
        <f t="shared" si="12"/>
        <v>#N/A</v>
      </c>
      <c r="T37" s="714" t="s">
        <v>17</v>
      </c>
      <c r="U37" s="715" t="e">
        <f t="shared" si="13"/>
        <v>#N/A</v>
      </c>
      <c r="V37" s="714" t="s">
        <v>17</v>
      </c>
      <c r="W37" s="715" t="e">
        <f t="shared" si="14"/>
        <v>#N/A</v>
      </c>
      <c r="X37" s="1541"/>
      <c r="Y37" s="3276"/>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38"/>
      <c r="Q38" s="1529" t="str">
        <f t="shared" si="11"/>
        <v>写字楼等级</v>
      </c>
      <c r="R38" s="710" t="s">
        <v>17</v>
      </c>
      <c r="S38" s="711">
        <f t="shared" si="12"/>
        <v>100</v>
      </c>
      <c r="T38" s="710" t="s">
        <v>17</v>
      </c>
      <c r="U38" s="711">
        <f t="shared" si="13"/>
        <v>100</v>
      </c>
      <c r="V38" s="710" t="s">
        <v>17</v>
      </c>
      <c r="W38" s="711">
        <f t="shared" si="14"/>
        <v>100</v>
      </c>
      <c r="X38" s="712"/>
      <c r="Y38" s="3276"/>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38" t="s">
        <v>2385</v>
      </c>
      <c r="Q39" s="1538" t="str">
        <f t="shared" si="11"/>
        <v>物业管理</v>
      </c>
      <c r="R39" s="714" t="s">
        <v>17</v>
      </c>
      <c r="S39" s="715">
        <f t="shared" si="12"/>
        <v>100</v>
      </c>
      <c r="T39" s="714" t="s">
        <v>17</v>
      </c>
      <c r="U39" s="715">
        <f t="shared" si="13"/>
        <v>100</v>
      </c>
      <c r="V39" s="714" t="s">
        <v>17</v>
      </c>
      <c r="W39" s="715">
        <f t="shared" si="14"/>
        <v>100</v>
      </c>
      <c r="X39" s="1541"/>
      <c r="Y39" s="3276"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38"/>
      <c r="Q40" s="1538" t="str">
        <f t="shared" si="11"/>
        <v>市政基础设施</v>
      </c>
      <c r="R40" s="714" t="s">
        <v>17</v>
      </c>
      <c r="S40" s="715">
        <f t="shared" si="12"/>
        <v>100</v>
      </c>
      <c r="T40" s="714" t="s">
        <v>17</v>
      </c>
      <c r="U40" s="715">
        <f t="shared" si="13"/>
        <v>100</v>
      </c>
      <c r="V40" s="714" t="s">
        <v>17</v>
      </c>
      <c r="W40" s="715">
        <f t="shared" si="14"/>
        <v>100</v>
      </c>
      <c r="X40" s="1541"/>
      <c r="Y40" s="3276"/>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38"/>
      <c r="Q41" s="1538" t="str">
        <f t="shared" si="11"/>
        <v>层高</v>
      </c>
      <c r="R41" s="714" t="s">
        <v>17</v>
      </c>
      <c r="S41" s="715">
        <f t="shared" si="12"/>
        <v>100</v>
      </c>
      <c r="T41" s="714" t="s">
        <v>17</v>
      </c>
      <c r="U41" s="715">
        <f t="shared" si="13"/>
        <v>100</v>
      </c>
      <c r="V41" s="714" t="s">
        <v>17</v>
      </c>
      <c r="W41" s="715">
        <f t="shared" si="14"/>
        <v>100</v>
      </c>
      <c r="X41" s="1541"/>
      <c r="Y41" s="3276"/>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38"/>
      <c r="Q42" s="716" t="str">
        <f t="shared" si="11"/>
        <v>单套建筑面积</v>
      </c>
      <c r="R42" s="717" t="s">
        <v>17</v>
      </c>
      <c r="S42" s="718">
        <f t="shared" si="12"/>
        <v>100</v>
      </c>
      <c r="T42" s="717" t="s">
        <v>17</v>
      </c>
      <c r="U42" s="718">
        <f t="shared" si="13"/>
        <v>100</v>
      </c>
      <c r="V42" s="717" t="s">
        <v>17</v>
      </c>
      <c r="W42" s="718">
        <f t="shared" si="14"/>
        <v>100</v>
      </c>
      <c r="X42" s="719"/>
      <c r="Y42" s="3276"/>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38"/>
      <c r="Q43" s="1538" t="str">
        <f t="shared" si="11"/>
        <v>内部装修</v>
      </c>
      <c r="R43" s="714" t="s">
        <v>17</v>
      </c>
      <c r="S43" s="715">
        <f t="shared" si="12"/>
        <v>100</v>
      </c>
      <c r="T43" s="714" t="s">
        <v>17</v>
      </c>
      <c r="U43" s="715">
        <f t="shared" si="13"/>
        <v>100</v>
      </c>
      <c r="V43" s="714" t="s">
        <v>17</v>
      </c>
      <c r="W43" s="715">
        <f t="shared" si="14"/>
        <v>100</v>
      </c>
      <c r="X43" s="1541"/>
      <c r="Y43" s="3276"/>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38"/>
      <c r="Q44" s="1538" t="str">
        <f t="shared" si="11"/>
        <v>内部装修维护情况</v>
      </c>
      <c r="R44" s="714" t="s">
        <v>17</v>
      </c>
      <c r="S44" s="715">
        <f t="shared" si="12"/>
        <v>100</v>
      </c>
      <c r="T44" s="714" t="s">
        <v>17</v>
      </c>
      <c r="U44" s="715">
        <f t="shared" si="13"/>
        <v>100</v>
      </c>
      <c r="V44" s="714" t="s">
        <v>17</v>
      </c>
      <c r="W44" s="715">
        <f t="shared" si="14"/>
        <v>100</v>
      </c>
      <c r="X44" s="1541"/>
      <c r="Y44" s="3276"/>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38"/>
      <c r="Q45" s="1529">
        <f t="shared" si="11"/>
        <v>111</v>
      </c>
      <c r="R45" s="710" t="s">
        <v>17</v>
      </c>
      <c r="S45" s="711">
        <f t="shared" si="12"/>
        <v>100</v>
      </c>
      <c r="T45" s="710" t="s">
        <v>17</v>
      </c>
      <c r="U45" s="711">
        <f t="shared" si="13"/>
        <v>100</v>
      </c>
      <c r="V45" s="710" t="s">
        <v>17</v>
      </c>
      <c r="W45" s="711">
        <f t="shared" si="14"/>
        <v>100</v>
      </c>
      <c r="X45" s="712"/>
      <c r="Y45" s="3276"/>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38"/>
      <c r="Q46" s="1538">
        <f t="shared" si="11"/>
        <v>111</v>
      </c>
      <c r="R46" s="714" t="s">
        <v>17</v>
      </c>
      <c r="S46" s="715">
        <f t="shared" si="12"/>
        <v>100</v>
      </c>
      <c r="T46" s="714" t="s">
        <v>17</v>
      </c>
      <c r="U46" s="715">
        <f t="shared" si="13"/>
        <v>100</v>
      </c>
      <c r="V46" s="714" t="s">
        <v>17</v>
      </c>
      <c r="W46" s="715">
        <f t="shared" si="14"/>
        <v>100</v>
      </c>
      <c r="X46" s="1541"/>
      <c r="Y46" s="3276"/>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39"/>
      <c r="Q47" s="1538">
        <f t="shared" si="11"/>
        <v>111</v>
      </c>
      <c r="R47" s="714" t="s">
        <v>17</v>
      </c>
      <c r="S47" s="715">
        <f t="shared" si="12"/>
        <v>100</v>
      </c>
      <c r="T47" s="714" t="s">
        <v>17</v>
      </c>
      <c r="U47" s="715">
        <f t="shared" si="13"/>
        <v>100</v>
      </c>
      <c r="V47" s="714" t="s">
        <v>17</v>
      </c>
      <c r="W47" s="715">
        <f t="shared" si="14"/>
        <v>100</v>
      </c>
      <c r="X47" s="1541"/>
      <c r="Y47" s="3340"/>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270" t="str">
        <f>A48</f>
        <v>成交单价（元/平方米）</v>
      </c>
      <c r="Q48" s="3271"/>
      <c r="R48" s="3336">
        <f>E48</f>
        <v>0</v>
      </c>
      <c r="S48" s="3336"/>
      <c r="T48" s="3336">
        <f>G48</f>
        <v>0</v>
      </c>
      <c r="U48" s="3336"/>
      <c r="V48" s="3336">
        <f>I48</f>
        <v>0</v>
      </c>
      <c r="W48" s="3336"/>
      <c r="X48" s="405"/>
      <c r="Y48" s="721"/>
      <c r="Z48" s="405"/>
      <c r="AA48" s="405"/>
      <c r="AB48" s="405"/>
      <c r="AC48" s="586"/>
    </row>
    <row r="49" spans="1:29" ht="15.75" thickBot="1">
      <c r="A49" s="445" t="s">
        <v>2489</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270" t="str">
        <f>A49</f>
        <v>比较价值（元/平方米）</v>
      </c>
      <c r="Q49" s="327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5"/>
      <c r="M50" s="2947"/>
      <c r="N50" s="2947"/>
      <c r="O50" s="2947"/>
      <c r="P50" s="3343" t="str">
        <f>A50</f>
        <v>估价对象XX用房的比较价值（楼面单价，元/平方米）</v>
      </c>
      <c r="Q50" s="3344"/>
      <c r="R50" s="3345" t="e">
        <f>IF(F1="售价",ROUND(IF(D49="简单平均",AVERAGE(R49:V49),R49*F49+T49*H49+V49*J49),0),ROUND(IF(D49="简单平均",AVERAGE(R49:V49),R49*F49+T49*H49+V49*J49),1))</f>
        <v>#DIV/0!</v>
      </c>
      <c r="S50" s="3345"/>
      <c r="T50" s="3345"/>
      <c r="U50" s="3345"/>
      <c r="V50" s="3345"/>
      <c r="W50" s="3345"/>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IF(C2="——",ROUND(C43*D3/10000,0),ROUND(C43*D3/10000,0)-D2)</f>
        <v>#DIV/0!</v>
      </c>
      <c r="C2" s="2069"/>
      <c r="D2" s="1038" t="e">
        <f ca="1">SUMIF(INDIRECT("'"&amp;F2&amp;"'"&amp;"!A:A"),"承租人权益价值",INDIRECT("'"&amp;F2&amp;"'"&amp;"!c:c"))</f>
        <v>#REF!</v>
      </c>
      <c r="E2" s="2070" t="s">
        <v>2151</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13829.859999999995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8" t="s">
        <v>2466</v>
      </c>
      <c r="D4" s="3281"/>
      <c r="E4" s="3282" t="s">
        <v>2467</v>
      </c>
      <c r="F4" s="3283"/>
      <c r="G4" s="3268" t="s">
        <v>2468</v>
      </c>
      <c r="H4" s="3281"/>
      <c r="I4" s="3268" t="s">
        <v>2469</v>
      </c>
      <c r="J4" s="3281"/>
      <c r="K4" s="567" t="s">
        <v>2470</v>
      </c>
      <c r="L4" s="1044"/>
      <c r="M4" s="1045"/>
      <c r="N4" s="1045"/>
      <c r="O4" s="1045"/>
      <c r="P4" s="3284" t="s">
        <v>2471</v>
      </c>
      <c r="Q4" s="3285"/>
      <c r="R4" s="3290" t="s">
        <v>2467</v>
      </c>
      <c r="S4" s="3291"/>
      <c r="T4" s="3290" t="s">
        <v>2468</v>
      </c>
      <c r="U4" s="3291"/>
      <c r="V4" s="3277" t="s">
        <v>2469</v>
      </c>
      <c r="W4" s="3277"/>
      <c r="X4" s="1541"/>
      <c r="Y4" s="3290" t="s">
        <v>2471</v>
      </c>
      <c r="Z4" s="3291"/>
      <c r="AA4" s="3278" t="s">
        <v>2467</v>
      </c>
      <c r="AB4" s="3279" t="s">
        <v>2468</v>
      </c>
      <c r="AC4" s="3278" t="s">
        <v>2469</v>
      </c>
    </row>
    <row r="5" spans="1:29" ht="15">
      <c r="A5" s="364"/>
      <c r="B5" s="365"/>
      <c r="C5" s="3298" t="s">
        <v>2362</v>
      </c>
      <c r="D5" s="3299"/>
      <c r="E5" s="3305" t="s">
        <v>2363</v>
      </c>
      <c r="F5" s="3306"/>
      <c r="G5" s="3298" t="s">
        <v>2364</v>
      </c>
      <c r="H5" s="3299"/>
      <c r="I5" s="3298" t="s">
        <v>2365</v>
      </c>
      <c r="J5" s="3299"/>
      <c r="K5" s="567"/>
      <c r="L5" s="1044"/>
      <c r="M5" s="1045"/>
      <c r="N5" s="1045"/>
      <c r="O5" s="1045"/>
      <c r="P5" s="3286"/>
      <c r="Q5" s="3287"/>
      <c r="R5" s="3292"/>
      <c r="S5" s="3293"/>
      <c r="T5" s="3292"/>
      <c r="U5" s="3293"/>
      <c r="V5" s="3277"/>
      <c r="W5" s="3277"/>
      <c r="X5" s="1541"/>
      <c r="Y5" s="3292"/>
      <c r="Z5" s="3293"/>
      <c r="AA5" s="3279"/>
      <c r="AB5" s="3279"/>
      <c r="AC5" s="3279"/>
    </row>
    <row r="6" spans="1:29" ht="15.75" thickBot="1">
      <c r="A6" s="366"/>
      <c r="B6" s="367"/>
      <c r="C6" s="3296" t="s">
        <v>2366</v>
      </c>
      <c r="D6" s="3297"/>
      <c r="E6" s="3303" t="s">
        <v>2366</v>
      </c>
      <c r="F6" s="3304"/>
      <c r="G6" s="3296" t="s">
        <v>2366</v>
      </c>
      <c r="H6" s="3297"/>
      <c r="I6" s="3296" t="s">
        <v>2366</v>
      </c>
      <c r="J6" s="3297"/>
      <c r="K6" s="567" t="s">
        <v>2367</v>
      </c>
      <c r="L6" s="1044"/>
      <c r="M6" s="1045"/>
      <c r="N6" s="1045"/>
      <c r="O6" s="1045"/>
      <c r="P6" s="3288"/>
      <c r="Q6" s="3289"/>
      <c r="R6" s="3292"/>
      <c r="S6" s="3293"/>
      <c r="T6" s="3294"/>
      <c r="U6" s="3295"/>
      <c r="V6" s="3277"/>
      <c r="W6" s="3277"/>
      <c r="X6" s="1541"/>
      <c r="Y6" s="3294"/>
      <c r="Z6" s="3295"/>
      <c r="AA6" s="3280"/>
      <c r="AB6" s="3280"/>
      <c r="AC6" s="3280"/>
    </row>
    <row r="7" spans="1:29" s="113" customFormat="1" ht="15.75" thickBot="1">
      <c r="A7" s="368" t="s">
        <v>2368</v>
      </c>
      <c r="B7" s="369"/>
      <c r="C7" s="370">
        <f>'数据-取费表'!B2</f>
        <v>44187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0" t="s">
        <v>2369</v>
      </c>
      <c r="Q7" s="3302"/>
      <c r="R7" s="710" t="s">
        <v>17</v>
      </c>
      <c r="S7" s="711">
        <f t="shared" ref="S7:S15" si="0">F7</f>
        <v>0</v>
      </c>
      <c r="T7" s="710" t="s">
        <v>17</v>
      </c>
      <c r="U7" s="711">
        <f t="shared" ref="U7:U15" si="1">H7</f>
        <v>0</v>
      </c>
      <c r="V7" s="710" t="s">
        <v>17</v>
      </c>
      <c r="W7" s="711">
        <f t="shared" ref="W7:W15" si="2">J7</f>
        <v>0</v>
      </c>
      <c r="X7" s="712"/>
      <c r="Y7" s="3300" t="s">
        <v>2369</v>
      </c>
      <c r="Z7" s="330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0" t="s">
        <v>2372</v>
      </c>
      <c r="Q8" s="3301"/>
      <c r="R8" s="710" t="s">
        <v>17</v>
      </c>
      <c r="S8" s="711">
        <f t="shared" si="0"/>
        <v>0</v>
      </c>
      <c r="T8" s="710" t="s">
        <v>17</v>
      </c>
      <c r="U8" s="711">
        <f t="shared" si="1"/>
        <v>0</v>
      </c>
      <c r="V8" s="710" t="s">
        <v>17</v>
      </c>
      <c r="W8" s="711">
        <f t="shared" si="2"/>
        <v>0</v>
      </c>
      <c r="X8" s="712"/>
      <c r="Y8" s="3300" t="s">
        <v>2372</v>
      </c>
      <c r="Z8" s="330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1"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1"/>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1"/>
      <c r="Q11" s="1529"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71"/>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71"/>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71"/>
      <c r="Q14" s="1529">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57">
      <c r="A15" s="399" t="s">
        <v>2379</v>
      </c>
      <c r="B15" s="65" t="s">
        <v>2523</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3" t="s">
        <v>2380</v>
      </c>
      <c r="Q15" s="1538" t="str">
        <f t="shared" si="6"/>
        <v>产业集聚程度</v>
      </c>
      <c r="R15" s="714" t="s">
        <v>17</v>
      </c>
      <c r="S15" s="715">
        <f t="shared" si="0"/>
        <v>100</v>
      </c>
      <c r="T15" s="714" t="s">
        <v>17</v>
      </c>
      <c r="U15" s="715">
        <f t="shared" si="1"/>
        <v>100</v>
      </c>
      <c r="V15" s="714" t="s">
        <v>17</v>
      </c>
      <c r="W15" s="715">
        <f t="shared" si="2"/>
        <v>100</v>
      </c>
      <c r="X15" s="1541"/>
      <c r="Y15" s="3273"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4"/>
      <c r="Q16" s="1538"/>
      <c r="R16" s="714"/>
      <c r="S16" s="715"/>
      <c r="T16" s="714"/>
      <c r="U16" s="715"/>
      <c r="V16" s="714"/>
      <c r="W16" s="715"/>
      <c r="X16" s="1541"/>
      <c r="Y16" s="3274"/>
      <c r="Z16" s="1542"/>
      <c r="AA16" s="1539">
        <v>1</v>
      </c>
      <c r="AB16" s="1539">
        <v>1</v>
      </c>
      <c r="AC16" s="1539">
        <v>1</v>
      </c>
    </row>
    <row r="17" spans="1:29" ht="85.5">
      <c r="A17" s="387"/>
      <c r="B17" s="410" t="s">
        <v>1947</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4"/>
      <c r="Q17" s="1538" t="str">
        <f>B17</f>
        <v>交通便捷度</v>
      </c>
      <c r="R17" s="714" t="s">
        <v>17</v>
      </c>
      <c r="S17" s="715">
        <f>F17</f>
        <v>100</v>
      </c>
      <c r="T17" s="714" t="s">
        <v>17</v>
      </c>
      <c r="U17" s="715">
        <f>H17</f>
        <v>100</v>
      </c>
      <c r="V17" s="714" t="s">
        <v>17</v>
      </c>
      <c r="W17" s="715">
        <f>J17</f>
        <v>100</v>
      </c>
      <c r="X17" s="1541"/>
      <c r="Y17" s="327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4"/>
      <c r="Q18" s="1538"/>
      <c r="R18" s="714"/>
      <c r="S18" s="715"/>
      <c r="T18" s="714"/>
      <c r="U18" s="715"/>
      <c r="V18" s="714"/>
      <c r="W18" s="715"/>
      <c r="X18" s="1541"/>
      <c r="Y18" s="3274"/>
      <c r="Z18" s="1542"/>
      <c r="AA18" s="1539">
        <v>1</v>
      </c>
      <c r="AB18" s="1539">
        <v>1</v>
      </c>
      <c r="AC18" s="1539">
        <v>1</v>
      </c>
    </row>
    <row r="19" spans="1:29" ht="42.75">
      <c r="A19" s="387"/>
      <c r="B19" s="410" t="s">
        <v>2508</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4"/>
      <c r="Q19" s="1538" t="str">
        <f>B19</f>
        <v>公共配套设施</v>
      </c>
      <c r="R19" s="714" t="s">
        <v>17</v>
      </c>
      <c r="S19" s="715">
        <f>F19</f>
        <v>100</v>
      </c>
      <c r="T19" s="714" t="s">
        <v>17</v>
      </c>
      <c r="U19" s="715">
        <f>H19</f>
        <v>100</v>
      </c>
      <c r="V19" s="714" t="s">
        <v>17</v>
      </c>
      <c r="W19" s="715">
        <f>J19</f>
        <v>100</v>
      </c>
      <c r="X19" s="1541"/>
      <c r="Y19" s="327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4"/>
      <c r="Q20" s="1538"/>
      <c r="R20" s="714"/>
      <c r="S20" s="715"/>
      <c r="T20" s="714"/>
      <c r="U20" s="715"/>
      <c r="V20" s="714"/>
      <c r="W20" s="715"/>
      <c r="X20" s="1541"/>
      <c r="Y20" s="3274"/>
      <c r="Z20" s="1542"/>
      <c r="AA20" s="1539">
        <v>1</v>
      </c>
      <c r="AB20" s="1539">
        <v>1</v>
      </c>
      <c r="AC20" s="1539">
        <v>1</v>
      </c>
    </row>
    <row r="21" spans="1:29" ht="28.5">
      <c r="A21" s="387"/>
      <c r="B21" s="1293" t="s">
        <v>2509</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4"/>
      <c r="Q21" s="1538" t="str">
        <f>B21</f>
        <v>基础设施水平</v>
      </c>
      <c r="R21" s="714" t="s">
        <v>17</v>
      </c>
      <c r="S21" s="715">
        <f>F21</f>
        <v>100</v>
      </c>
      <c r="T21" s="714" t="s">
        <v>17</v>
      </c>
      <c r="U21" s="715">
        <f>H21</f>
        <v>100</v>
      </c>
      <c r="V21" s="714" t="s">
        <v>17</v>
      </c>
      <c r="W21" s="715">
        <f>J21</f>
        <v>100</v>
      </c>
      <c r="X21" s="1541"/>
      <c r="Y21" s="327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4"/>
      <c r="Q22" s="1538"/>
      <c r="R22" s="714"/>
      <c r="S22" s="715"/>
      <c r="T22" s="714"/>
      <c r="U22" s="715"/>
      <c r="V22" s="714"/>
      <c r="W22" s="715"/>
      <c r="X22" s="1541"/>
      <c r="Y22" s="3274"/>
      <c r="Z22" s="1542"/>
      <c r="AA22" s="1539">
        <v>1</v>
      </c>
      <c r="AB22" s="1539">
        <v>1</v>
      </c>
      <c r="AC22" s="1539">
        <v>1</v>
      </c>
    </row>
    <row r="23" spans="1:29" ht="71.25">
      <c r="A23" s="387"/>
      <c r="B23" s="410" t="s">
        <v>2510</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4"/>
      <c r="Q23" s="1538" t="str">
        <f>B23</f>
        <v>环境质量</v>
      </c>
      <c r="R23" s="714" t="s">
        <v>17</v>
      </c>
      <c r="S23" s="715">
        <f>F23</f>
        <v>100</v>
      </c>
      <c r="T23" s="714" t="s">
        <v>17</v>
      </c>
      <c r="U23" s="715">
        <f>H23</f>
        <v>100</v>
      </c>
      <c r="V23" s="714" t="s">
        <v>17</v>
      </c>
      <c r="W23" s="715">
        <f>J23</f>
        <v>100</v>
      </c>
      <c r="X23" s="1541"/>
      <c r="Y23" s="327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4"/>
      <c r="Q24" s="1538"/>
      <c r="R24" s="714"/>
      <c r="S24" s="715"/>
      <c r="T24" s="714"/>
      <c r="U24" s="715"/>
      <c r="V24" s="714"/>
      <c r="W24" s="715"/>
      <c r="X24" s="1541"/>
      <c r="Y24" s="327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4"/>
      <c r="Q25" s="1538">
        <f>B25</f>
        <v>111</v>
      </c>
      <c r="R25" s="714" t="s">
        <v>17</v>
      </c>
      <c r="S25" s="715">
        <f>F25</f>
        <v>100</v>
      </c>
      <c r="T25" s="714" t="s">
        <v>17</v>
      </c>
      <c r="U25" s="715">
        <f>H25</f>
        <v>100</v>
      </c>
      <c r="V25" s="714" t="s">
        <v>17</v>
      </c>
      <c r="W25" s="715">
        <f>J25</f>
        <v>100</v>
      </c>
      <c r="X25" s="1541"/>
      <c r="Y25" s="327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4"/>
      <c r="Q26" s="1538">
        <f t="shared" ref="Q26:Q40" si="11">B26</f>
        <v>111</v>
      </c>
      <c r="R26" s="714" t="s">
        <v>17</v>
      </c>
      <c r="S26" s="715">
        <f>F26</f>
        <v>100</v>
      </c>
      <c r="T26" s="714" t="s">
        <v>17</v>
      </c>
      <c r="U26" s="715">
        <f>H26</f>
        <v>100</v>
      </c>
      <c r="V26" s="714" t="s">
        <v>17</v>
      </c>
      <c r="W26" s="715">
        <f>J26</f>
        <v>100</v>
      </c>
      <c r="X26" s="1541"/>
      <c r="Y26" s="327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4"/>
      <c r="Q27" s="1529">
        <f t="shared" si="11"/>
        <v>111</v>
      </c>
      <c r="R27" s="710" t="s">
        <v>17</v>
      </c>
      <c r="S27" s="711">
        <f>F27</f>
        <v>100</v>
      </c>
      <c r="T27" s="710" t="s">
        <v>17</v>
      </c>
      <c r="U27" s="711">
        <f>H27</f>
        <v>100</v>
      </c>
      <c r="V27" s="710" t="s">
        <v>17</v>
      </c>
      <c r="W27" s="711">
        <f>J27</f>
        <v>100</v>
      </c>
      <c r="X27" s="712"/>
      <c r="Y27" s="327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4"/>
      <c r="Q28" s="1538">
        <f t="shared" si="11"/>
        <v>111</v>
      </c>
      <c r="R28" s="714" t="s">
        <v>17</v>
      </c>
      <c r="S28" s="715">
        <f t="shared" ref="S28:S40" si="12">F28</f>
        <v>100</v>
      </c>
      <c r="T28" s="714" t="s">
        <v>17</v>
      </c>
      <c r="U28" s="715">
        <f t="shared" ref="U28:U40" si="13">H28</f>
        <v>100</v>
      </c>
      <c r="V28" s="714" t="s">
        <v>17</v>
      </c>
      <c r="W28" s="715">
        <f t="shared" ref="W28:W40" si="14">J28</f>
        <v>100</v>
      </c>
      <c r="X28" s="1541"/>
      <c r="Y28" s="3274"/>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275" t="s">
        <v>2385</v>
      </c>
      <c r="Q29" s="1538" t="str">
        <f t="shared" si="11"/>
        <v>建筑类型</v>
      </c>
      <c r="R29" s="714" t="s">
        <v>17</v>
      </c>
      <c r="S29" s="715">
        <f t="shared" si="12"/>
        <v>100</v>
      </c>
      <c r="T29" s="714" t="s">
        <v>17</v>
      </c>
      <c r="U29" s="715">
        <f t="shared" si="13"/>
        <v>100</v>
      </c>
      <c r="V29" s="714" t="s">
        <v>17</v>
      </c>
      <c r="W29" s="715">
        <f t="shared" si="14"/>
        <v>100</v>
      </c>
      <c r="X29" s="1541"/>
      <c r="Y29" s="3276"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6"/>
      <c r="Q30" s="716" t="str">
        <f t="shared" si="11"/>
        <v>项目建筑规模</v>
      </c>
      <c r="R30" s="717" t="s">
        <v>17</v>
      </c>
      <c r="S30" s="718" t="e">
        <f t="shared" si="12"/>
        <v>#N/A</v>
      </c>
      <c r="T30" s="717" t="s">
        <v>17</v>
      </c>
      <c r="U30" s="718" t="e">
        <f t="shared" si="13"/>
        <v>#N/A</v>
      </c>
      <c r="V30" s="717" t="s">
        <v>17</v>
      </c>
      <c r="W30" s="718" t="e">
        <f t="shared" si="14"/>
        <v>#N/A</v>
      </c>
      <c r="X30" s="719"/>
      <c r="Y30" s="3276"/>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6"/>
      <c r="Q31" s="1538" t="str">
        <f t="shared" si="11"/>
        <v>建筑结构</v>
      </c>
      <c r="R31" s="714" t="s">
        <v>17</v>
      </c>
      <c r="S31" s="715">
        <f t="shared" si="12"/>
        <v>100</v>
      </c>
      <c r="T31" s="714" t="s">
        <v>17</v>
      </c>
      <c r="U31" s="715">
        <f t="shared" si="13"/>
        <v>100</v>
      </c>
      <c r="V31" s="714" t="s">
        <v>17</v>
      </c>
      <c r="W31" s="715">
        <f t="shared" si="14"/>
        <v>100</v>
      </c>
      <c r="X31" s="1541"/>
      <c r="Y31" s="3276"/>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6"/>
      <c r="Q32" s="1538" t="str">
        <f t="shared" si="11"/>
        <v>公共部分装修</v>
      </c>
      <c r="R32" s="714" t="s">
        <v>17</v>
      </c>
      <c r="S32" s="715">
        <f t="shared" si="12"/>
        <v>100</v>
      </c>
      <c r="T32" s="714" t="s">
        <v>17</v>
      </c>
      <c r="U32" s="715">
        <f t="shared" si="13"/>
        <v>100</v>
      </c>
      <c r="V32" s="714" t="s">
        <v>17</v>
      </c>
      <c r="W32" s="715">
        <f t="shared" si="14"/>
        <v>100</v>
      </c>
      <c r="X32" s="1541"/>
      <c r="Y32" s="3276"/>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6"/>
      <c r="Q33" s="1538" t="str">
        <f t="shared" si="11"/>
        <v>成新度</v>
      </c>
      <c r="R33" s="714" t="s">
        <v>17</v>
      </c>
      <c r="S33" s="715" t="e">
        <f t="shared" si="12"/>
        <v>#N/A</v>
      </c>
      <c r="T33" s="714" t="s">
        <v>17</v>
      </c>
      <c r="U33" s="715" t="e">
        <f t="shared" si="13"/>
        <v>#N/A</v>
      </c>
      <c r="V33" s="714" t="s">
        <v>17</v>
      </c>
      <c r="W33" s="715" t="e">
        <f t="shared" si="14"/>
        <v>#N/A</v>
      </c>
      <c r="X33" s="1541"/>
      <c r="Y33" s="3276"/>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6"/>
      <c r="Q34" s="1529" t="str">
        <f t="shared" si="11"/>
        <v>物业管理</v>
      </c>
      <c r="R34" s="710" t="s">
        <v>17</v>
      </c>
      <c r="S34" s="711">
        <f t="shared" si="12"/>
        <v>100</v>
      </c>
      <c r="T34" s="710" t="s">
        <v>17</v>
      </c>
      <c r="U34" s="711">
        <f t="shared" si="13"/>
        <v>100</v>
      </c>
      <c r="V34" s="710" t="s">
        <v>17</v>
      </c>
      <c r="W34" s="711">
        <f t="shared" si="14"/>
        <v>100</v>
      </c>
      <c r="X34" s="712"/>
      <c r="Y34" s="3276"/>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6" t="s">
        <v>2385</v>
      </c>
      <c r="Q35" s="1538" t="str">
        <f t="shared" si="11"/>
        <v>市政基础设施</v>
      </c>
      <c r="R35" s="714" t="s">
        <v>17</v>
      </c>
      <c r="S35" s="715">
        <f t="shared" si="12"/>
        <v>100</v>
      </c>
      <c r="T35" s="714" t="s">
        <v>17</v>
      </c>
      <c r="U35" s="715">
        <f t="shared" si="13"/>
        <v>100</v>
      </c>
      <c r="V35" s="714" t="s">
        <v>17</v>
      </c>
      <c r="W35" s="715">
        <f t="shared" si="14"/>
        <v>100</v>
      </c>
      <c r="X35" s="1541"/>
      <c r="Y35" s="3276"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6"/>
      <c r="Q36" s="1538" t="str">
        <f t="shared" si="11"/>
        <v>内部装修</v>
      </c>
      <c r="R36" s="714" t="s">
        <v>17</v>
      </c>
      <c r="S36" s="715">
        <f t="shared" si="12"/>
        <v>100</v>
      </c>
      <c r="T36" s="714" t="s">
        <v>17</v>
      </c>
      <c r="U36" s="715">
        <f t="shared" si="13"/>
        <v>100</v>
      </c>
      <c r="V36" s="714" t="s">
        <v>17</v>
      </c>
      <c r="W36" s="715">
        <f t="shared" si="14"/>
        <v>100</v>
      </c>
      <c r="X36" s="1541"/>
      <c r="Y36" s="3276"/>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6"/>
      <c r="Q37" s="1538" t="str">
        <f t="shared" si="11"/>
        <v>内部装修状况</v>
      </c>
      <c r="R37" s="714" t="s">
        <v>17</v>
      </c>
      <c r="S37" s="715">
        <f t="shared" si="12"/>
        <v>100</v>
      </c>
      <c r="T37" s="714" t="s">
        <v>17</v>
      </c>
      <c r="U37" s="715">
        <f t="shared" si="13"/>
        <v>100</v>
      </c>
      <c r="V37" s="714" t="s">
        <v>17</v>
      </c>
      <c r="W37" s="715">
        <f t="shared" si="14"/>
        <v>100</v>
      </c>
      <c r="X37" s="1541"/>
      <c r="Y37" s="3276"/>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6"/>
      <c r="Q38" s="716">
        <f t="shared" si="11"/>
        <v>111</v>
      </c>
      <c r="R38" s="717" t="s">
        <v>17</v>
      </c>
      <c r="S38" s="718">
        <f t="shared" si="12"/>
        <v>100</v>
      </c>
      <c r="T38" s="717" t="s">
        <v>17</v>
      </c>
      <c r="U38" s="718">
        <f t="shared" si="13"/>
        <v>100</v>
      </c>
      <c r="V38" s="717" t="s">
        <v>17</v>
      </c>
      <c r="W38" s="718">
        <f t="shared" si="14"/>
        <v>100</v>
      </c>
      <c r="X38" s="719"/>
      <c r="Y38" s="3276"/>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6"/>
      <c r="Q39" s="1538">
        <f t="shared" si="11"/>
        <v>111</v>
      </c>
      <c r="R39" s="714" t="s">
        <v>17</v>
      </c>
      <c r="S39" s="715">
        <f t="shared" si="12"/>
        <v>100</v>
      </c>
      <c r="T39" s="714" t="s">
        <v>17</v>
      </c>
      <c r="U39" s="715">
        <f t="shared" si="13"/>
        <v>100</v>
      </c>
      <c r="V39" s="714" t="s">
        <v>17</v>
      </c>
      <c r="W39" s="715">
        <f t="shared" si="14"/>
        <v>100</v>
      </c>
      <c r="X39" s="1541"/>
      <c r="Y39" s="3276"/>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0"/>
      <c r="Q40" s="1538">
        <f t="shared" si="11"/>
        <v>111</v>
      </c>
      <c r="R40" s="714" t="s">
        <v>17</v>
      </c>
      <c r="S40" s="715">
        <f t="shared" si="12"/>
        <v>100</v>
      </c>
      <c r="T40" s="714" t="s">
        <v>17</v>
      </c>
      <c r="U40" s="715">
        <f t="shared" si="13"/>
        <v>100</v>
      </c>
      <c r="V40" s="714" t="s">
        <v>17</v>
      </c>
      <c r="W40" s="715">
        <f t="shared" si="14"/>
        <v>100</v>
      </c>
      <c r="X40" s="1541"/>
      <c r="Y40" s="3340"/>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271" t="str">
        <f>A41</f>
        <v>成交单价（元/平方米）</v>
      </c>
      <c r="Q41" s="3271"/>
      <c r="R41" s="3336">
        <f>E41</f>
        <v>0</v>
      </c>
      <c r="S41" s="3336"/>
      <c r="T41" s="3336">
        <f>G41</f>
        <v>0</v>
      </c>
      <c r="U41" s="3336"/>
      <c r="V41" s="3336">
        <f>I41</f>
        <v>0</v>
      </c>
      <c r="W41" s="3336"/>
      <c r="X41" s="699"/>
      <c r="Y41" s="721"/>
      <c r="Z41" s="699"/>
      <c r="AA41" s="699"/>
      <c r="AB41" s="699"/>
      <c r="AC41" s="699"/>
    </row>
    <row r="42" spans="1:29" ht="15.75" thickBot="1">
      <c r="A42" s="445" t="s">
        <v>2489</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71" t="str">
        <f>A42</f>
        <v>比较价值（元/平方米）</v>
      </c>
      <c r="Q42" s="327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65" t="str">
        <f>A43</f>
        <v>估价对象XX用房的比较价值（楼面单价，元/平方米）</v>
      </c>
      <c r="Q43" s="3266"/>
      <c r="R43" s="3335" t="e">
        <f>IF(F1="售价",ROUND(IF(D42="简单平均",AVERAGE(R42:V42),R42*F42+T42*H42+V42*J42),0),ROUND(IF(D42="简单平均",AVERAGE(R42:V42),R42*F42+T42*H42+V42*J42),1))</f>
        <v>#DIV/0!</v>
      </c>
      <c r="S43" s="3335"/>
      <c r="T43" s="3335"/>
      <c r="U43" s="3335"/>
      <c r="V43" s="3335"/>
      <c r="W43" s="3335"/>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2150</v>
      </c>
      <c r="B2" s="1326" t="e">
        <f ca="1">IF(C2="——",IF(B37="元/平方米",ROUND(C39*D3/10000,0),ROUND(F3*C39/10000,0)),IF(B37="元/平方米",ROUND(C39*D3/10000,0),ROUND(F3*C39/10000,0))-D2)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268" t="s">
        <v>2466</v>
      </c>
      <c r="D4" s="3281"/>
      <c r="E4" s="3282" t="s">
        <v>2467</v>
      </c>
      <c r="F4" s="3283"/>
      <c r="G4" s="3268" t="s">
        <v>2468</v>
      </c>
      <c r="H4" s="3281"/>
      <c r="I4" s="3268" t="s">
        <v>2469</v>
      </c>
      <c r="J4" s="3281"/>
      <c r="K4" s="567" t="s">
        <v>2470</v>
      </c>
      <c r="L4" s="2946"/>
      <c r="M4" s="2947"/>
      <c r="N4" s="2947"/>
      <c r="O4" s="2947"/>
      <c r="P4" s="3284" t="s">
        <v>2471</v>
      </c>
      <c r="Q4" s="3285"/>
      <c r="R4" s="3290" t="s">
        <v>2467</v>
      </c>
      <c r="S4" s="3291"/>
      <c r="T4" s="3290" t="s">
        <v>2468</v>
      </c>
      <c r="U4" s="3291"/>
      <c r="V4" s="3277" t="s">
        <v>2469</v>
      </c>
      <c r="W4" s="3277"/>
      <c r="X4" s="1541"/>
      <c r="Y4" s="3290" t="s">
        <v>2471</v>
      </c>
      <c r="Z4" s="3291"/>
      <c r="AA4" s="3278" t="s">
        <v>2467</v>
      </c>
      <c r="AB4" s="3279" t="s">
        <v>2468</v>
      </c>
      <c r="AC4" s="3278" t="s">
        <v>2469</v>
      </c>
    </row>
    <row r="5" spans="1:29" ht="15">
      <c r="A5" s="364"/>
      <c r="B5" s="365"/>
      <c r="C5" s="3298" t="s">
        <v>2362</v>
      </c>
      <c r="D5" s="3299"/>
      <c r="E5" s="3305" t="s">
        <v>2363</v>
      </c>
      <c r="F5" s="3306"/>
      <c r="G5" s="3298" t="s">
        <v>2364</v>
      </c>
      <c r="H5" s="3299"/>
      <c r="I5" s="3298" t="s">
        <v>2365</v>
      </c>
      <c r="J5" s="3299"/>
      <c r="K5" s="567"/>
      <c r="L5" s="2946"/>
      <c r="M5" s="2947"/>
      <c r="N5" s="2947"/>
      <c r="O5" s="2947"/>
      <c r="P5" s="3286"/>
      <c r="Q5" s="3287"/>
      <c r="R5" s="3292"/>
      <c r="S5" s="3293"/>
      <c r="T5" s="3292"/>
      <c r="U5" s="3293"/>
      <c r="V5" s="3277"/>
      <c r="W5" s="3277"/>
      <c r="X5" s="1541"/>
      <c r="Y5" s="3292"/>
      <c r="Z5" s="3293"/>
      <c r="AA5" s="3279"/>
      <c r="AB5" s="3279"/>
      <c r="AC5" s="3279"/>
    </row>
    <row r="6" spans="1:29" ht="15.75" thickBot="1">
      <c r="A6" s="366"/>
      <c r="B6" s="367"/>
      <c r="C6" s="3296" t="s">
        <v>2366</v>
      </c>
      <c r="D6" s="3297"/>
      <c r="E6" s="3303" t="s">
        <v>2366</v>
      </c>
      <c r="F6" s="3304"/>
      <c r="G6" s="3296" t="s">
        <v>2366</v>
      </c>
      <c r="H6" s="3297"/>
      <c r="I6" s="3296" t="s">
        <v>2366</v>
      </c>
      <c r="J6" s="3297"/>
      <c r="K6" s="567" t="s">
        <v>2367</v>
      </c>
      <c r="L6" s="2946"/>
      <c r="M6" s="2947"/>
      <c r="N6" s="2947"/>
      <c r="O6" s="2947"/>
      <c r="P6" s="3288"/>
      <c r="Q6" s="3289"/>
      <c r="R6" s="3292"/>
      <c r="S6" s="3293"/>
      <c r="T6" s="3294"/>
      <c r="U6" s="3295"/>
      <c r="V6" s="3277"/>
      <c r="W6" s="3277"/>
      <c r="X6" s="1541"/>
      <c r="Y6" s="3294"/>
      <c r="Z6" s="3295"/>
      <c r="AA6" s="3280"/>
      <c r="AB6" s="3280"/>
      <c r="AC6" s="3280"/>
    </row>
    <row r="7" spans="1:29" s="113" customFormat="1" ht="15.75" thickBot="1">
      <c r="A7" s="368" t="s">
        <v>2368</v>
      </c>
      <c r="B7" s="369"/>
      <c r="C7" s="370">
        <f>'数据-取费表'!B2</f>
        <v>44187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0" t="s">
        <v>2369</v>
      </c>
      <c r="Q7" s="3302"/>
      <c r="R7" s="710" t="s">
        <v>17</v>
      </c>
      <c r="S7" s="711">
        <f t="shared" ref="S7:S14" si="0">F7</f>
        <v>0</v>
      </c>
      <c r="T7" s="710" t="s">
        <v>17</v>
      </c>
      <c r="U7" s="711">
        <f t="shared" ref="U7:U14" si="1">H7</f>
        <v>0</v>
      </c>
      <c r="V7" s="710" t="s">
        <v>17</v>
      </c>
      <c r="W7" s="711">
        <f t="shared" ref="W7:W14" si="2">J7</f>
        <v>0</v>
      </c>
      <c r="X7" s="712"/>
      <c r="Y7" s="3300" t="s">
        <v>2369</v>
      </c>
      <c r="Z7" s="330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0" t="s">
        <v>2372</v>
      </c>
      <c r="Q8" s="3301"/>
      <c r="R8" s="710" t="s">
        <v>17</v>
      </c>
      <c r="S8" s="711">
        <f t="shared" si="0"/>
        <v>0</v>
      </c>
      <c r="T8" s="710" t="s">
        <v>17</v>
      </c>
      <c r="U8" s="711">
        <f t="shared" si="1"/>
        <v>0</v>
      </c>
      <c r="V8" s="710" t="s">
        <v>17</v>
      </c>
      <c r="W8" s="711">
        <f t="shared" si="2"/>
        <v>0</v>
      </c>
      <c r="X8" s="712"/>
      <c r="Y8" s="3300" t="s">
        <v>2372</v>
      </c>
      <c r="Z8" s="330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71" t="s">
        <v>2375</v>
      </c>
      <c r="Q9" s="1529" t="str">
        <f t="shared" ref="Q9:Q14" si="6">B9</f>
        <v>用途</v>
      </c>
      <c r="R9" s="710" t="s">
        <v>17</v>
      </c>
      <c r="S9" s="711">
        <f t="shared" si="0"/>
        <v>100</v>
      </c>
      <c r="T9" s="710" t="s">
        <v>17</v>
      </c>
      <c r="U9" s="711">
        <f t="shared" si="1"/>
        <v>100</v>
      </c>
      <c r="V9" s="710" t="s">
        <v>17</v>
      </c>
      <c r="W9" s="711">
        <f t="shared" si="2"/>
        <v>100</v>
      </c>
      <c r="X9" s="712"/>
      <c r="Y9" s="316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71"/>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71"/>
      <c r="Q11" s="1529">
        <f t="shared" si="6"/>
        <v>111</v>
      </c>
      <c r="R11" s="710" t="s">
        <v>17</v>
      </c>
      <c r="S11" s="711">
        <f t="shared" si="0"/>
        <v>100</v>
      </c>
      <c r="T11" s="710" t="s">
        <v>17</v>
      </c>
      <c r="U11" s="711">
        <f t="shared" si="1"/>
        <v>100</v>
      </c>
      <c r="V11" s="710" t="s">
        <v>17</v>
      </c>
      <c r="W11" s="711">
        <f t="shared" si="2"/>
        <v>100</v>
      </c>
      <c r="X11" s="712"/>
      <c r="Y11" s="316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71"/>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71"/>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73" t="s">
        <v>2380</v>
      </c>
      <c r="Q14" s="1538" t="str">
        <f t="shared" si="6"/>
        <v>交通便捷度</v>
      </c>
      <c r="R14" s="714" t="s">
        <v>17</v>
      </c>
      <c r="S14" s="715">
        <f t="shared" si="0"/>
        <v>100</v>
      </c>
      <c r="T14" s="714" t="s">
        <v>17</v>
      </c>
      <c r="U14" s="715">
        <f t="shared" si="1"/>
        <v>100</v>
      </c>
      <c r="V14" s="714" t="s">
        <v>17</v>
      </c>
      <c r="W14" s="715">
        <f t="shared" si="2"/>
        <v>100</v>
      </c>
      <c r="X14" s="1541"/>
      <c r="Y14" s="3273"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74"/>
      <c r="Q15" s="1538"/>
      <c r="R15" s="714"/>
      <c r="S15" s="715"/>
      <c r="T15" s="714"/>
      <c r="U15" s="715"/>
      <c r="V15" s="714"/>
      <c r="W15" s="715"/>
      <c r="X15" s="1541"/>
      <c r="Y15" s="3274"/>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74"/>
      <c r="Q16" s="1538" t="str">
        <f>B16</f>
        <v>公共配套设施</v>
      </c>
      <c r="R16" s="714" t="s">
        <v>17</v>
      </c>
      <c r="S16" s="715">
        <f>F16</f>
        <v>100</v>
      </c>
      <c r="T16" s="714" t="s">
        <v>17</v>
      </c>
      <c r="U16" s="715">
        <f>H16</f>
        <v>100</v>
      </c>
      <c r="V16" s="714" t="s">
        <v>17</v>
      </c>
      <c r="W16" s="715">
        <f>J16</f>
        <v>100</v>
      </c>
      <c r="X16" s="1541"/>
      <c r="Y16" s="327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74"/>
      <c r="Q17" s="1538"/>
      <c r="R17" s="714"/>
      <c r="S17" s="715"/>
      <c r="T17" s="714"/>
      <c r="U17" s="715"/>
      <c r="V17" s="714"/>
      <c r="W17" s="715"/>
      <c r="X17" s="1541"/>
      <c r="Y17" s="3274"/>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74"/>
      <c r="Q18" s="1538" t="str">
        <f>B18</f>
        <v>基础设施水平</v>
      </c>
      <c r="R18" s="714" t="s">
        <v>17</v>
      </c>
      <c r="S18" s="715">
        <f>F18</f>
        <v>100</v>
      </c>
      <c r="T18" s="714" t="s">
        <v>17</v>
      </c>
      <c r="U18" s="715">
        <f>H18</f>
        <v>100</v>
      </c>
      <c r="V18" s="714" t="s">
        <v>17</v>
      </c>
      <c r="W18" s="715">
        <f>J18</f>
        <v>100</v>
      </c>
      <c r="X18" s="1541"/>
      <c r="Y18" s="327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74"/>
      <c r="Q19" s="1538"/>
      <c r="R19" s="714"/>
      <c r="S19" s="715"/>
      <c r="T19" s="714"/>
      <c r="U19" s="715"/>
      <c r="V19" s="714"/>
      <c r="W19" s="715"/>
      <c r="X19" s="1541"/>
      <c r="Y19" s="3274"/>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74"/>
      <c r="Q20" s="1538" t="str">
        <f>B20</f>
        <v>自然及人文环境</v>
      </c>
      <c r="R20" s="714" t="s">
        <v>17</v>
      </c>
      <c r="S20" s="715">
        <f>F20</f>
        <v>100</v>
      </c>
      <c r="T20" s="714" t="s">
        <v>17</v>
      </c>
      <c r="U20" s="715">
        <f>H20</f>
        <v>100</v>
      </c>
      <c r="V20" s="714" t="s">
        <v>17</v>
      </c>
      <c r="W20" s="715">
        <f>J20</f>
        <v>100</v>
      </c>
      <c r="X20" s="1541"/>
      <c r="Y20" s="327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74"/>
      <c r="Q21" s="1538"/>
      <c r="R21" s="714"/>
      <c r="S21" s="715"/>
      <c r="T21" s="714"/>
      <c r="U21" s="715"/>
      <c r="V21" s="714"/>
      <c r="W21" s="715"/>
      <c r="X21" s="1541"/>
      <c r="Y21" s="3274"/>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4"/>
      <c r="Q22" s="1538" t="str">
        <f>B22</f>
        <v>楼层</v>
      </c>
      <c r="R22" s="714" t="s">
        <v>17</v>
      </c>
      <c r="S22" s="715">
        <f>F22</f>
        <v>100</v>
      </c>
      <c r="T22" s="714" t="s">
        <v>17</v>
      </c>
      <c r="U22" s="715">
        <f>H22</f>
        <v>100</v>
      </c>
      <c r="V22" s="714" t="s">
        <v>17</v>
      </c>
      <c r="W22" s="715">
        <f>J22</f>
        <v>100</v>
      </c>
      <c r="X22" s="1541"/>
      <c r="Y22" s="327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4"/>
      <c r="Q23" s="1538">
        <f>B23</f>
        <v>111</v>
      </c>
      <c r="R23" s="714" t="s">
        <v>17</v>
      </c>
      <c r="S23" s="715">
        <f>F23</f>
        <v>100</v>
      </c>
      <c r="T23" s="714" t="s">
        <v>17</v>
      </c>
      <c r="U23" s="715">
        <f>H23</f>
        <v>100</v>
      </c>
      <c r="V23" s="714" t="s">
        <v>17</v>
      </c>
      <c r="W23" s="715">
        <f>J23</f>
        <v>100</v>
      </c>
      <c r="X23" s="1541"/>
      <c r="Y23" s="327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4"/>
      <c r="Q24" s="1538">
        <f t="shared" ref="Q24:Q36" si="11">B24</f>
        <v>111</v>
      </c>
      <c r="R24" s="714" t="s">
        <v>17</v>
      </c>
      <c r="S24" s="715">
        <f>F24</f>
        <v>100</v>
      </c>
      <c r="T24" s="714" t="s">
        <v>17</v>
      </c>
      <c r="U24" s="715">
        <f>H24</f>
        <v>100</v>
      </c>
      <c r="V24" s="714" t="s">
        <v>17</v>
      </c>
      <c r="W24" s="715">
        <f>J24</f>
        <v>100</v>
      </c>
      <c r="X24" s="1541"/>
      <c r="Y24" s="327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4"/>
      <c r="Q25" s="1529">
        <f t="shared" si="11"/>
        <v>111</v>
      </c>
      <c r="R25" s="710" t="s">
        <v>17</v>
      </c>
      <c r="S25" s="711">
        <f>F25</f>
        <v>100</v>
      </c>
      <c r="T25" s="710" t="s">
        <v>17</v>
      </c>
      <c r="U25" s="711">
        <f>H25</f>
        <v>100</v>
      </c>
      <c r="V25" s="710" t="s">
        <v>17</v>
      </c>
      <c r="W25" s="711">
        <f>J25</f>
        <v>100</v>
      </c>
      <c r="X25" s="712"/>
      <c r="Y25" s="3274"/>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275"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6"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76"/>
      <c r="Q27" s="716" t="str">
        <f t="shared" si="11"/>
        <v>项目停车位配比</v>
      </c>
      <c r="R27" s="717" t="s">
        <v>17</v>
      </c>
      <c r="S27" s="718">
        <f t="shared" si="12"/>
        <v>100</v>
      </c>
      <c r="T27" s="717" t="s">
        <v>17</v>
      </c>
      <c r="U27" s="718">
        <f t="shared" si="13"/>
        <v>100</v>
      </c>
      <c r="V27" s="717" t="s">
        <v>17</v>
      </c>
      <c r="W27" s="718">
        <f t="shared" si="14"/>
        <v>100</v>
      </c>
      <c r="X27" s="719"/>
      <c r="Y27" s="3276"/>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76"/>
      <c r="Q28" s="1538" t="str">
        <f t="shared" si="11"/>
        <v>公共部分装修</v>
      </c>
      <c r="R28" s="714" t="s">
        <v>17</v>
      </c>
      <c r="S28" s="715">
        <f t="shared" si="12"/>
        <v>100</v>
      </c>
      <c r="T28" s="714" t="s">
        <v>17</v>
      </c>
      <c r="U28" s="715">
        <f t="shared" si="13"/>
        <v>100</v>
      </c>
      <c r="V28" s="714" t="s">
        <v>17</v>
      </c>
      <c r="W28" s="715">
        <f t="shared" si="14"/>
        <v>100</v>
      </c>
      <c r="X28" s="1541"/>
      <c r="Y28" s="3276"/>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76"/>
      <c r="Q29" s="1538" t="str">
        <f t="shared" si="11"/>
        <v>成新率</v>
      </c>
      <c r="R29" s="714" t="s">
        <v>17</v>
      </c>
      <c r="S29" s="715" t="e">
        <f t="shared" si="12"/>
        <v>#N/A</v>
      </c>
      <c r="T29" s="714" t="s">
        <v>17</v>
      </c>
      <c r="U29" s="715" t="e">
        <f t="shared" si="13"/>
        <v>#N/A</v>
      </c>
      <c r="V29" s="714" t="s">
        <v>17</v>
      </c>
      <c r="W29" s="715" t="e">
        <f t="shared" si="14"/>
        <v>#N/A</v>
      </c>
      <c r="X29" s="1541"/>
      <c r="Y29" s="3276"/>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76"/>
      <c r="Q30" s="1538" t="str">
        <f t="shared" si="11"/>
        <v>物业等级</v>
      </c>
      <c r="R30" s="714" t="s">
        <v>17</v>
      </c>
      <c r="S30" s="715">
        <f t="shared" si="12"/>
        <v>100</v>
      </c>
      <c r="T30" s="714" t="s">
        <v>17</v>
      </c>
      <c r="U30" s="715">
        <f t="shared" si="13"/>
        <v>100</v>
      </c>
      <c r="V30" s="714" t="s">
        <v>17</v>
      </c>
      <c r="W30" s="715">
        <f t="shared" si="14"/>
        <v>100</v>
      </c>
      <c r="X30" s="1541"/>
      <c r="Y30" s="3276"/>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76"/>
      <c r="Q31" s="1529" t="str">
        <f t="shared" si="11"/>
        <v>停车位面积</v>
      </c>
      <c r="R31" s="710" t="s">
        <v>17</v>
      </c>
      <c r="S31" s="711" t="e">
        <f t="shared" si="12"/>
        <v>#N/A</v>
      </c>
      <c r="T31" s="710" t="s">
        <v>17</v>
      </c>
      <c r="U31" s="711" t="e">
        <f t="shared" si="13"/>
        <v>#N/A</v>
      </c>
      <c r="V31" s="710" t="s">
        <v>17</v>
      </c>
      <c r="W31" s="711" t="e">
        <f t="shared" si="14"/>
        <v>#N/A</v>
      </c>
      <c r="X31" s="712"/>
      <c r="Y31" s="3276"/>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76" t="s">
        <v>2385</v>
      </c>
      <c r="Q32" s="1538" t="str">
        <f t="shared" si="11"/>
        <v>车位类型</v>
      </c>
      <c r="R32" s="714" t="s">
        <v>17</v>
      </c>
      <c r="S32" s="715">
        <f t="shared" si="12"/>
        <v>100</v>
      </c>
      <c r="T32" s="714" t="s">
        <v>17</v>
      </c>
      <c r="U32" s="715">
        <f t="shared" si="13"/>
        <v>100</v>
      </c>
      <c r="V32" s="714" t="s">
        <v>17</v>
      </c>
      <c r="W32" s="715">
        <f t="shared" si="14"/>
        <v>100</v>
      </c>
      <c r="X32" s="1541"/>
      <c r="Y32" s="3276"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76"/>
      <c r="Q33" s="1538" t="str">
        <f t="shared" si="11"/>
        <v>是否直接入户</v>
      </c>
      <c r="R33" s="714" t="s">
        <v>17</v>
      </c>
      <c r="S33" s="715">
        <f t="shared" si="12"/>
        <v>100</v>
      </c>
      <c r="T33" s="714" t="s">
        <v>17</v>
      </c>
      <c r="U33" s="715">
        <f t="shared" si="13"/>
        <v>100</v>
      </c>
      <c r="V33" s="714" t="s">
        <v>17</v>
      </c>
      <c r="W33" s="715">
        <f t="shared" si="14"/>
        <v>100</v>
      </c>
      <c r="X33" s="1541"/>
      <c r="Y33" s="3276"/>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76"/>
      <c r="Q34" s="1538">
        <f t="shared" si="11"/>
        <v>111</v>
      </c>
      <c r="R34" s="714" t="s">
        <v>17</v>
      </c>
      <c r="S34" s="715">
        <f t="shared" si="12"/>
        <v>100</v>
      </c>
      <c r="T34" s="714" t="s">
        <v>17</v>
      </c>
      <c r="U34" s="715">
        <f t="shared" si="13"/>
        <v>100</v>
      </c>
      <c r="V34" s="714" t="s">
        <v>17</v>
      </c>
      <c r="W34" s="715">
        <f t="shared" si="14"/>
        <v>100</v>
      </c>
      <c r="X34" s="1541"/>
      <c r="Y34" s="3276"/>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76"/>
      <c r="Q35" s="716">
        <f t="shared" si="11"/>
        <v>111</v>
      </c>
      <c r="R35" s="717" t="s">
        <v>17</v>
      </c>
      <c r="S35" s="718">
        <f t="shared" si="12"/>
        <v>100</v>
      </c>
      <c r="T35" s="717" t="s">
        <v>17</v>
      </c>
      <c r="U35" s="718">
        <f t="shared" si="13"/>
        <v>100</v>
      </c>
      <c r="V35" s="717" t="s">
        <v>17</v>
      </c>
      <c r="W35" s="718">
        <f t="shared" si="14"/>
        <v>100</v>
      </c>
      <c r="X35" s="719"/>
      <c r="Y35" s="3276"/>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76"/>
      <c r="Q36" s="1538">
        <f t="shared" si="11"/>
        <v>111</v>
      </c>
      <c r="R36" s="714" t="s">
        <v>17</v>
      </c>
      <c r="S36" s="715">
        <f t="shared" si="12"/>
        <v>100</v>
      </c>
      <c r="T36" s="714" t="s">
        <v>17</v>
      </c>
      <c r="U36" s="715">
        <f t="shared" si="13"/>
        <v>100</v>
      </c>
      <c r="V36" s="714" t="s">
        <v>17</v>
      </c>
      <c r="W36" s="715">
        <f t="shared" si="14"/>
        <v>100</v>
      </c>
      <c r="X36" s="1541"/>
      <c r="Y36" s="3276"/>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271" t="str">
        <f>A37</f>
        <v>成交单价</v>
      </c>
      <c r="Q37" s="3271"/>
      <c r="R37" s="3336">
        <f>E37</f>
        <v>0</v>
      </c>
      <c r="S37" s="3336"/>
      <c r="T37" s="3336">
        <f>G37</f>
        <v>0</v>
      </c>
      <c r="U37" s="3336"/>
      <c r="V37" s="3336">
        <f>I37</f>
        <v>0</v>
      </c>
      <c r="W37" s="3336"/>
      <c r="X37" s="699"/>
      <c r="Y37" s="721"/>
      <c r="Z37" s="699"/>
      <c r="AA37" s="699"/>
      <c r="AB37" s="699"/>
      <c r="AC37" s="699"/>
    </row>
    <row r="38" spans="1:29" ht="15.75" thickBot="1">
      <c r="A38" s="445" t="s">
        <v>2542</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271" t="str">
        <f>A38</f>
        <v>比较价值（元/平方米）</v>
      </c>
      <c r="Q38" s="327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265" t="str">
        <f>A39</f>
        <v>估价对象XX用房的比较价值（楼面单价，元/平方米）</v>
      </c>
      <c r="Q39" s="3266"/>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IF(C2="——",ROUND(C37*D3/10000,0),ROUND(C37*D3/10000,0)-D2)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8" t="s">
        <v>2466</v>
      </c>
      <c r="D4" s="3281"/>
      <c r="E4" s="3282" t="s">
        <v>2467</v>
      </c>
      <c r="F4" s="3283"/>
      <c r="G4" s="3268" t="s">
        <v>2468</v>
      </c>
      <c r="H4" s="3281"/>
      <c r="I4" s="3268" t="s">
        <v>2469</v>
      </c>
      <c r="J4" s="3281"/>
      <c r="K4" s="567" t="s">
        <v>2470</v>
      </c>
      <c r="L4" s="2946"/>
      <c r="M4" s="2947"/>
      <c r="N4" s="2947"/>
      <c r="O4" s="2947"/>
      <c r="P4" s="3284" t="s">
        <v>2471</v>
      </c>
      <c r="Q4" s="3285"/>
      <c r="R4" s="3290" t="s">
        <v>2467</v>
      </c>
      <c r="S4" s="3291"/>
      <c r="T4" s="3290" t="s">
        <v>2468</v>
      </c>
      <c r="U4" s="3291"/>
      <c r="V4" s="3277" t="s">
        <v>2469</v>
      </c>
      <c r="W4" s="3277"/>
      <c r="X4" s="1541"/>
      <c r="Y4" s="3290" t="s">
        <v>2471</v>
      </c>
      <c r="Z4" s="3291"/>
      <c r="AA4" s="3278" t="s">
        <v>2467</v>
      </c>
      <c r="AB4" s="3279" t="s">
        <v>2468</v>
      </c>
      <c r="AC4" s="3278" t="s">
        <v>2469</v>
      </c>
    </row>
    <row r="5" spans="1:29" ht="15">
      <c r="A5" s="364"/>
      <c r="B5" s="365"/>
      <c r="C5" s="3298" t="s">
        <v>2362</v>
      </c>
      <c r="D5" s="3299"/>
      <c r="E5" s="3305" t="s">
        <v>2363</v>
      </c>
      <c r="F5" s="3306"/>
      <c r="G5" s="3298" t="s">
        <v>2364</v>
      </c>
      <c r="H5" s="3299"/>
      <c r="I5" s="3298" t="s">
        <v>2365</v>
      </c>
      <c r="J5" s="3299"/>
      <c r="K5" s="567"/>
      <c r="L5" s="2946"/>
      <c r="M5" s="2947"/>
      <c r="N5" s="2947"/>
      <c r="O5" s="2947"/>
      <c r="P5" s="3286"/>
      <c r="Q5" s="3287"/>
      <c r="R5" s="3292"/>
      <c r="S5" s="3293"/>
      <c r="T5" s="3292"/>
      <c r="U5" s="3293"/>
      <c r="V5" s="3277"/>
      <c r="W5" s="3277"/>
      <c r="X5" s="1541"/>
      <c r="Y5" s="3292"/>
      <c r="Z5" s="3293"/>
      <c r="AA5" s="3279"/>
      <c r="AB5" s="3279"/>
      <c r="AC5" s="3279"/>
    </row>
    <row r="6" spans="1:29" ht="15.75" thickBot="1">
      <c r="A6" s="366"/>
      <c r="B6" s="367"/>
      <c r="C6" s="3296" t="s">
        <v>2366</v>
      </c>
      <c r="D6" s="3297"/>
      <c r="E6" s="3303" t="s">
        <v>2366</v>
      </c>
      <c r="F6" s="3304"/>
      <c r="G6" s="3296" t="s">
        <v>2366</v>
      </c>
      <c r="H6" s="3297"/>
      <c r="I6" s="3296" t="s">
        <v>2366</v>
      </c>
      <c r="J6" s="3297"/>
      <c r="K6" s="567" t="s">
        <v>2367</v>
      </c>
      <c r="L6" s="2946"/>
      <c r="M6" s="2947"/>
      <c r="N6" s="2947"/>
      <c r="O6" s="2947"/>
      <c r="P6" s="3288"/>
      <c r="Q6" s="3289"/>
      <c r="R6" s="3292"/>
      <c r="S6" s="3293"/>
      <c r="T6" s="3294"/>
      <c r="U6" s="3295"/>
      <c r="V6" s="3277"/>
      <c r="W6" s="3277"/>
      <c r="X6" s="1541"/>
      <c r="Y6" s="3294"/>
      <c r="Z6" s="3295"/>
      <c r="AA6" s="3280"/>
      <c r="AB6" s="3280"/>
      <c r="AC6" s="3280"/>
    </row>
    <row r="7" spans="1:29" s="113" customFormat="1" ht="15.75" thickBot="1">
      <c r="A7" s="368" t="s">
        <v>2368</v>
      </c>
      <c r="B7" s="369"/>
      <c r="C7" s="370">
        <f>'数据-取费表'!B2</f>
        <v>44187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0" t="s">
        <v>2369</v>
      </c>
      <c r="Q7" s="3302"/>
      <c r="R7" s="710" t="s">
        <v>17</v>
      </c>
      <c r="S7" s="711">
        <f t="shared" ref="S7:S14" si="0">F7</f>
        <v>0</v>
      </c>
      <c r="T7" s="710" t="s">
        <v>17</v>
      </c>
      <c r="U7" s="711">
        <f t="shared" ref="U7:U14" si="1">H7</f>
        <v>0</v>
      </c>
      <c r="V7" s="710" t="s">
        <v>17</v>
      </c>
      <c r="W7" s="711">
        <f t="shared" ref="W7:W14" si="2">J7</f>
        <v>0</v>
      </c>
      <c r="X7" s="712"/>
      <c r="Y7" s="3300" t="s">
        <v>2369</v>
      </c>
      <c r="Z7" s="3301"/>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0" t="s">
        <v>2372</v>
      </c>
      <c r="Q8" s="3301"/>
      <c r="R8" s="710" t="s">
        <v>17</v>
      </c>
      <c r="S8" s="711">
        <f t="shared" si="0"/>
        <v>0</v>
      </c>
      <c r="T8" s="710" t="s">
        <v>17</v>
      </c>
      <c r="U8" s="711">
        <f t="shared" si="1"/>
        <v>0</v>
      </c>
      <c r="V8" s="710" t="s">
        <v>17</v>
      </c>
      <c r="W8" s="711">
        <f t="shared" si="2"/>
        <v>0</v>
      </c>
      <c r="X8" s="712"/>
      <c r="Y8" s="3300" t="s">
        <v>2372</v>
      </c>
      <c r="Z8" s="3301"/>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71" t="s">
        <v>2375</v>
      </c>
      <c r="Q9" s="1529" t="str">
        <f t="shared" ref="Q9:Q14" si="6">B9</f>
        <v>用途</v>
      </c>
      <c r="R9" s="710" t="s">
        <v>17</v>
      </c>
      <c r="S9" s="711">
        <f t="shared" si="0"/>
        <v>100</v>
      </c>
      <c r="T9" s="710" t="s">
        <v>17</v>
      </c>
      <c r="U9" s="711">
        <f t="shared" si="1"/>
        <v>100</v>
      </c>
      <c r="V9" s="710" t="s">
        <v>17</v>
      </c>
      <c r="W9" s="711">
        <f t="shared" si="2"/>
        <v>100</v>
      </c>
      <c r="X9" s="712"/>
      <c r="Y9" s="316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71"/>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71"/>
      <c r="Q11" s="1529">
        <f t="shared" si="6"/>
        <v>111</v>
      </c>
      <c r="R11" s="710" t="s">
        <v>17</v>
      </c>
      <c r="S11" s="711">
        <f t="shared" si="0"/>
        <v>100</v>
      </c>
      <c r="T11" s="710" t="s">
        <v>17</v>
      </c>
      <c r="U11" s="711">
        <f t="shared" si="1"/>
        <v>100</v>
      </c>
      <c r="V11" s="710" t="s">
        <v>17</v>
      </c>
      <c r="W11" s="711">
        <f t="shared" si="2"/>
        <v>100</v>
      </c>
      <c r="X11" s="712"/>
      <c r="Y11" s="316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71"/>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71"/>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73" t="s">
        <v>2380</v>
      </c>
      <c r="Q14" s="1538" t="str">
        <f t="shared" si="6"/>
        <v>交通便捷度</v>
      </c>
      <c r="R14" s="714" t="s">
        <v>17</v>
      </c>
      <c r="S14" s="715">
        <f t="shared" si="0"/>
        <v>100</v>
      </c>
      <c r="T14" s="714" t="s">
        <v>17</v>
      </c>
      <c r="U14" s="715">
        <f t="shared" si="1"/>
        <v>100</v>
      </c>
      <c r="V14" s="714" t="s">
        <v>17</v>
      </c>
      <c r="W14" s="715">
        <f t="shared" si="2"/>
        <v>100</v>
      </c>
      <c r="X14" s="1541"/>
      <c r="Y14" s="3273"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4"/>
      <c r="Q15" s="1538"/>
      <c r="R15" s="714"/>
      <c r="S15" s="715"/>
      <c r="T15" s="714"/>
      <c r="U15" s="715"/>
      <c r="V15" s="714"/>
      <c r="W15" s="715"/>
      <c r="X15" s="1541"/>
      <c r="Y15" s="3274"/>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4"/>
      <c r="Q16" s="1538" t="str">
        <f>B16</f>
        <v>公共配套设施</v>
      </c>
      <c r="R16" s="714" t="s">
        <v>17</v>
      </c>
      <c r="S16" s="715">
        <f>F16</f>
        <v>100</v>
      </c>
      <c r="T16" s="714" t="s">
        <v>17</v>
      </c>
      <c r="U16" s="715">
        <f>H16</f>
        <v>100</v>
      </c>
      <c r="V16" s="714" t="s">
        <v>17</v>
      </c>
      <c r="W16" s="715">
        <f>J16</f>
        <v>100</v>
      </c>
      <c r="X16" s="1541"/>
      <c r="Y16" s="327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4"/>
      <c r="Q17" s="1538"/>
      <c r="R17" s="714"/>
      <c r="S17" s="715"/>
      <c r="T17" s="714"/>
      <c r="U17" s="715"/>
      <c r="V17" s="714"/>
      <c r="W17" s="715"/>
      <c r="X17" s="1541"/>
      <c r="Y17" s="3274"/>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4"/>
      <c r="Q18" s="1538" t="str">
        <f>B18</f>
        <v>基础设施水平</v>
      </c>
      <c r="R18" s="714" t="s">
        <v>17</v>
      </c>
      <c r="S18" s="715">
        <f>F18</f>
        <v>100</v>
      </c>
      <c r="T18" s="714" t="s">
        <v>17</v>
      </c>
      <c r="U18" s="715">
        <f>H18</f>
        <v>100</v>
      </c>
      <c r="V18" s="714" t="s">
        <v>17</v>
      </c>
      <c r="W18" s="715">
        <f>J18</f>
        <v>100</v>
      </c>
      <c r="X18" s="1541"/>
      <c r="Y18" s="327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4"/>
      <c r="Q19" s="1538"/>
      <c r="R19" s="714"/>
      <c r="S19" s="715"/>
      <c r="T19" s="714"/>
      <c r="U19" s="715"/>
      <c r="V19" s="714"/>
      <c r="W19" s="715"/>
      <c r="X19" s="1541"/>
      <c r="Y19" s="3274"/>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4"/>
      <c r="Q20" s="1538" t="str">
        <f>B20</f>
        <v>自然及人文环境</v>
      </c>
      <c r="R20" s="714" t="s">
        <v>17</v>
      </c>
      <c r="S20" s="715">
        <f>F20</f>
        <v>100</v>
      </c>
      <c r="T20" s="714" t="s">
        <v>17</v>
      </c>
      <c r="U20" s="715">
        <f>H20</f>
        <v>100</v>
      </c>
      <c r="V20" s="714" t="s">
        <v>17</v>
      </c>
      <c r="W20" s="715">
        <f>J20</f>
        <v>100</v>
      </c>
      <c r="X20" s="1541"/>
      <c r="Y20" s="327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4"/>
      <c r="Q21" s="1538"/>
      <c r="R21" s="714"/>
      <c r="S21" s="715"/>
      <c r="T21" s="714"/>
      <c r="U21" s="715"/>
      <c r="V21" s="714"/>
      <c r="W21" s="715"/>
      <c r="X21" s="1541"/>
      <c r="Y21" s="3274"/>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4"/>
      <c r="Q22" s="1538" t="str">
        <f>B22</f>
        <v>楼层</v>
      </c>
      <c r="R22" s="714" t="s">
        <v>17</v>
      </c>
      <c r="S22" s="715">
        <f>F22</f>
        <v>100</v>
      </c>
      <c r="T22" s="714" t="s">
        <v>17</v>
      </c>
      <c r="U22" s="715">
        <f>H22</f>
        <v>100</v>
      </c>
      <c r="V22" s="714" t="s">
        <v>17</v>
      </c>
      <c r="W22" s="715">
        <f>J22</f>
        <v>100</v>
      </c>
      <c r="X22" s="1541"/>
      <c r="Y22" s="327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4"/>
      <c r="Q23" s="1538">
        <f>B23</f>
        <v>111</v>
      </c>
      <c r="R23" s="714" t="s">
        <v>17</v>
      </c>
      <c r="S23" s="715">
        <f>F23</f>
        <v>100</v>
      </c>
      <c r="T23" s="714" t="s">
        <v>17</v>
      </c>
      <c r="U23" s="715">
        <f>H23</f>
        <v>100</v>
      </c>
      <c r="V23" s="714" t="s">
        <v>17</v>
      </c>
      <c r="W23" s="715">
        <f>J23</f>
        <v>100</v>
      </c>
      <c r="X23" s="1541"/>
      <c r="Y23" s="327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4"/>
      <c r="Q24" s="1538">
        <f t="shared" ref="Q24:Q34" si="11">B24</f>
        <v>111</v>
      </c>
      <c r="R24" s="714" t="s">
        <v>17</v>
      </c>
      <c r="S24" s="715">
        <f>F24</f>
        <v>100</v>
      </c>
      <c r="T24" s="714" t="s">
        <v>17</v>
      </c>
      <c r="U24" s="715">
        <f>H24</f>
        <v>100</v>
      </c>
      <c r="V24" s="714" t="s">
        <v>17</v>
      </c>
      <c r="W24" s="715">
        <f>J24</f>
        <v>100</v>
      </c>
      <c r="X24" s="1541"/>
      <c r="Y24" s="327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4"/>
      <c r="Q25" s="1529">
        <f t="shared" si="11"/>
        <v>111</v>
      </c>
      <c r="R25" s="710" t="s">
        <v>17</v>
      </c>
      <c r="S25" s="711">
        <f>F25</f>
        <v>100</v>
      </c>
      <c r="T25" s="710" t="s">
        <v>17</v>
      </c>
      <c r="U25" s="711">
        <f>H25</f>
        <v>100</v>
      </c>
      <c r="V25" s="710" t="s">
        <v>17</v>
      </c>
      <c r="W25" s="711">
        <f>J25</f>
        <v>100</v>
      </c>
      <c r="X25" s="712"/>
      <c r="Y25" s="3274"/>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275"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6"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76"/>
      <c r="Q27" s="716" t="str">
        <f t="shared" si="11"/>
        <v>成新率</v>
      </c>
      <c r="R27" s="717" t="s">
        <v>17</v>
      </c>
      <c r="S27" s="718" t="e">
        <f t="shared" si="12"/>
        <v>#N/A</v>
      </c>
      <c r="T27" s="717" t="s">
        <v>17</v>
      </c>
      <c r="U27" s="718" t="e">
        <f t="shared" si="13"/>
        <v>#N/A</v>
      </c>
      <c r="V27" s="717" t="s">
        <v>17</v>
      </c>
      <c r="W27" s="718" t="e">
        <f t="shared" si="14"/>
        <v>#N/A</v>
      </c>
      <c r="X27" s="719"/>
      <c r="Y27" s="3276"/>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76"/>
      <c r="Q28" s="1538" t="str">
        <f t="shared" si="11"/>
        <v>物业等级</v>
      </c>
      <c r="R28" s="714" t="s">
        <v>17</v>
      </c>
      <c r="S28" s="715">
        <f t="shared" si="12"/>
        <v>100</v>
      </c>
      <c r="T28" s="714" t="s">
        <v>17</v>
      </c>
      <c r="U28" s="715">
        <f t="shared" si="13"/>
        <v>100</v>
      </c>
      <c r="V28" s="714" t="s">
        <v>17</v>
      </c>
      <c r="W28" s="715">
        <f t="shared" si="14"/>
        <v>100</v>
      </c>
      <c r="X28" s="1541"/>
      <c r="Y28" s="3276"/>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76"/>
      <c r="Q29" s="1538" t="str">
        <f t="shared" si="11"/>
        <v>有无电梯</v>
      </c>
      <c r="R29" s="714" t="s">
        <v>17</v>
      </c>
      <c r="S29" s="715">
        <f t="shared" si="12"/>
        <v>100</v>
      </c>
      <c r="T29" s="714" t="s">
        <v>17</v>
      </c>
      <c r="U29" s="715">
        <f t="shared" si="13"/>
        <v>100</v>
      </c>
      <c r="V29" s="714" t="s">
        <v>17</v>
      </c>
      <c r="W29" s="715">
        <f t="shared" si="14"/>
        <v>100</v>
      </c>
      <c r="X29" s="1541"/>
      <c r="Y29" s="3276"/>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76"/>
      <c r="Q30" s="1538" t="str">
        <f t="shared" si="11"/>
        <v>建筑面积</v>
      </c>
      <c r="R30" s="714" t="s">
        <v>17</v>
      </c>
      <c r="S30" s="715" t="e">
        <f t="shared" si="12"/>
        <v>#N/A</v>
      </c>
      <c r="T30" s="714" t="s">
        <v>17</v>
      </c>
      <c r="U30" s="715" t="e">
        <f t="shared" si="13"/>
        <v>#N/A</v>
      </c>
      <c r="V30" s="714" t="s">
        <v>17</v>
      </c>
      <c r="W30" s="715" t="e">
        <f t="shared" si="14"/>
        <v>#N/A</v>
      </c>
      <c r="X30" s="1541"/>
      <c r="Y30" s="3276"/>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76"/>
      <c r="Q31" s="1529" t="str">
        <f t="shared" si="11"/>
        <v>是否封闭</v>
      </c>
      <c r="R31" s="710" t="s">
        <v>17</v>
      </c>
      <c r="S31" s="711">
        <f t="shared" si="12"/>
        <v>100</v>
      </c>
      <c r="T31" s="710" t="s">
        <v>17</v>
      </c>
      <c r="U31" s="711">
        <f t="shared" si="13"/>
        <v>100</v>
      </c>
      <c r="V31" s="710" t="s">
        <v>17</v>
      </c>
      <c r="W31" s="711">
        <f t="shared" si="14"/>
        <v>100</v>
      </c>
      <c r="X31" s="712"/>
      <c r="Y31" s="3276"/>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76" t="s">
        <v>2385</v>
      </c>
      <c r="Q32" s="1538">
        <f t="shared" si="11"/>
        <v>111</v>
      </c>
      <c r="R32" s="714" t="s">
        <v>17</v>
      </c>
      <c r="S32" s="715">
        <f t="shared" si="12"/>
        <v>100</v>
      </c>
      <c r="T32" s="714" t="s">
        <v>17</v>
      </c>
      <c r="U32" s="715">
        <f t="shared" si="13"/>
        <v>100</v>
      </c>
      <c r="V32" s="714" t="s">
        <v>17</v>
      </c>
      <c r="W32" s="715">
        <f t="shared" si="14"/>
        <v>100</v>
      </c>
      <c r="X32" s="1541"/>
      <c r="Y32" s="3276"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76"/>
      <c r="Q33" s="1538">
        <f t="shared" si="11"/>
        <v>111</v>
      </c>
      <c r="R33" s="714" t="s">
        <v>17</v>
      </c>
      <c r="S33" s="715">
        <f t="shared" si="12"/>
        <v>100</v>
      </c>
      <c r="T33" s="714" t="s">
        <v>17</v>
      </c>
      <c r="U33" s="715">
        <f t="shared" si="13"/>
        <v>100</v>
      </c>
      <c r="V33" s="714" t="s">
        <v>17</v>
      </c>
      <c r="W33" s="715">
        <f t="shared" si="14"/>
        <v>100</v>
      </c>
      <c r="X33" s="1541"/>
      <c r="Y33" s="3276"/>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76"/>
      <c r="Q34" s="1538">
        <f t="shared" si="11"/>
        <v>111</v>
      </c>
      <c r="R34" s="714" t="s">
        <v>17</v>
      </c>
      <c r="S34" s="715">
        <f t="shared" si="12"/>
        <v>100</v>
      </c>
      <c r="T34" s="714" t="s">
        <v>17</v>
      </c>
      <c r="U34" s="715">
        <f t="shared" si="13"/>
        <v>100</v>
      </c>
      <c r="V34" s="714" t="s">
        <v>17</v>
      </c>
      <c r="W34" s="715">
        <f t="shared" si="14"/>
        <v>100</v>
      </c>
      <c r="X34" s="1541"/>
      <c r="Y34" s="3276"/>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271" t="str">
        <f>A35</f>
        <v>成交单价（元/平方米）</v>
      </c>
      <c r="Q35" s="3271"/>
      <c r="R35" s="3336">
        <f>E35</f>
        <v>0</v>
      </c>
      <c r="S35" s="3336"/>
      <c r="T35" s="3336">
        <f>G35</f>
        <v>0</v>
      </c>
      <c r="U35" s="3336"/>
      <c r="V35" s="3336">
        <f>I35</f>
        <v>0</v>
      </c>
      <c r="W35" s="3336"/>
      <c r="X35" s="699"/>
      <c r="Y35" s="721"/>
      <c r="Z35" s="699"/>
      <c r="AA35" s="699"/>
      <c r="AB35" s="699"/>
      <c r="AC35" s="699"/>
    </row>
    <row r="36" spans="1:30" ht="15.75" thickBot="1">
      <c r="A36" s="445" t="s">
        <v>2489</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271" t="str">
        <f>A36</f>
        <v>比较价值（元/平方米）</v>
      </c>
      <c r="Q36" s="327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265" t="str">
        <f>A37</f>
        <v>估价对象XX用房的比较价值（楼面单价，元/平方米）</v>
      </c>
      <c r="Q37" s="3266"/>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268" t="s">
        <v>2466</v>
      </c>
      <c r="D4" s="3281"/>
      <c r="E4" s="3282" t="s">
        <v>2467</v>
      </c>
      <c r="F4" s="3283"/>
      <c r="G4" s="3268" t="s">
        <v>2468</v>
      </c>
      <c r="H4" s="3281"/>
      <c r="I4" s="3268" t="s">
        <v>2469</v>
      </c>
      <c r="J4" s="3281"/>
      <c r="K4" s="567" t="s">
        <v>2470</v>
      </c>
      <c r="L4" s="2946"/>
      <c r="M4" s="2947"/>
      <c r="N4" s="2947"/>
      <c r="O4" s="2947"/>
      <c r="P4" s="3284" t="s">
        <v>2471</v>
      </c>
      <c r="Q4" s="3285"/>
      <c r="R4" s="3290" t="s">
        <v>2467</v>
      </c>
      <c r="S4" s="3291"/>
      <c r="T4" s="3290" t="s">
        <v>2468</v>
      </c>
      <c r="U4" s="3291"/>
      <c r="V4" s="3277" t="s">
        <v>2469</v>
      </c>
      <c r="W4" s="3277"/>
      <c r="X4" s="1541"/>
      <c r="Y4" s="3290" t="s">
        <v>2471</v>
      </c>
      <c r="Z4" s="3291"/>
      <c r="AA4" s="3278" t="s">
        <v>2467</v>
      </c>
      <c r="AB4" s="3279" t="s">
        <v>2468</v>
      </c>
      <c r="AC4" s="3278" t="s">
        <v>2469</v>
      </c>
    </row>
    <row r="5" spans="1:29" ht="15">
      <c r="A5" s="364"/>
      <c r="B5" s="365"/>
      <c r="C5" s="3298" t="s">
        <v>2362</v>
      </c>
      <c r="D5" s="3299"/>
      <c r="E5" s="3305" t="s">
        <v>2363</v>
      </c>
      <c r="F5" s="3306"/>
      <c r="G5" s="3298" t="s">
        <v>2364</v>
      </c>
      <c r="H5" s="3299"/>
      <c r="I5" s="3298" t="s">
        <v>2365</v>
      </c>
      <c r="J5" s="3299"/>
      <c r="K5" s="567"/>
      <c r="L5" s="2946"/>
      <c r="M5" s="2947"/>
      <c r="N5" s="2947"/>
      <c r="O5" s="2947"/>
      <c r="P5" s="3286"/>
      <c r="Q5" s="3287"/>
      <c r="R5" s="3292"/>
      <c r="S5" s="3293"/>
      <c r="T5" s="3292"/>
      <c r="U5" s="3293"/>
      <c r="V5" s="3277"/>
      <c r="W5" s="3277"/>
      <c r="X5" s="1541"/>
      <c r="Y5" s="3292"/>
      <c r="Z5" s="3293"/>
      <c r="AA5" s="3279"/>
      <c r="AB5" s="3279"/>
      <c r="AC5" s="3279"/>
    </row>
    <row r="6" spans="1:29" ht="15.75" thickBot="1">
      <c r="A6" s="366"/>
      <c r="B6" s="367"/>
      <c r="C6" s="3359" t="s">
        <v>2617</v>
      </c>
      <c r="D6" s="3360"/>
      <c r="E6" s="3361" t="s">
        <v>2617</v>
      </c>
      <c r="F6" s="3362"/>
      <c r="G6" s="3359" t="s">
        <v>2617</v>
      </c>
      <c r="H6" s="3360"/>
      <c r="I6" s="3359" t="s">
        <v>2617</v>
      </c>
      <c r="J6" s="3360"/>
      <c r="K6" s="567" t="s">
        <v>2367</v>
      </c>
      <c r="L6" s="2946"/>
      <c r="M6" s="2947"/>
      <c r="N6" s="2947"/>
      <c r="O6" s="2947"/>
      <c r="P6" s="3288"/>
      <c r="Q6" s="3289"/>
      <c r="R6" s="3292"/>
      <c r="S6" s="3293"/>
      <c r="T6" s="3294"/>
      <c r="U6" s="3295"/>
      <c r="V6" s="3277"/>
      <c r="W6" s="3277"/>
      <c r="X6" s="1541"/>
      <c r="Y6" s="3294"/>
      <c r="Z6" s="3295"/>
      <c r="AA6" s="3280"/>
      <c r="AB6" s="3280"/>
      <c r="AC6" s="3280"/>
    </row>
    <row r="7" spans="1:29" s="113" customFormat="1" ht="15.75" thickBot="1">
      <c r="A7" s="368" t="s">
        <v>2368</v>
      </c>
      <c r="B7" s="369"/>
      <c r="C7" s="370">
        <f>'数据-取费表'!B2</f>
        <v>44187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0" t="s">
        <v>2369</v>
      </c>
      <c r="Q7" s="3302"/>
      <c r="R7" s="710" t="s">
        <v>17</v>
      </c>
      <c r="S7" s="711">
        <f t="shared" ref="S7:S15" si="0">F7</f>
        <v>0</v>
      </c>
      <c r="T7" s="710" t="s">
        <v>17</v>
      </c>
      <c r="U7" s="711">
        <f t="shared" ref="U7:U15" si="1">H7</f>
        <v>0</v>
      </c>
      <c r="V7" s="710" t="s">
        <v>17</v>
      </c>
      <c r="W7" s="711">
        <f t="shared" ref="W7:W15" si="2">J7</f>
        <v>0</v>
      </c>
      <c r="X7" s="712"/>
      <c r="Y7" s="3300" t="s">
        <v>2369</v>
      </c>
      <c r="Z7" s="330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0" t="s">
        <v>2372</v>
      </c>
      <c r="Q8" s="3301"/>
      <c r="R8" s="710" t="s">
        <v>17</v>
      </c>
      <c r="S8" s="711">
        <f t="shared" si="0"/>
        <v>0</v>
      </c>
      <c r="T8" s="710" t="s">
        <v>17</v>
      </c>
      <c r="U8" s="711">
        <f t="shared" si="1"/>
        <v>0</v>
      </c>
      <c r="V8" s="710" t="s">
        <v>17</v>
      </c>
      <c r="W8" s="711">
        <f t="shared" si="2"/>
        <v>0</v>
      </c>
      <c r="X8" s="712"/>
      <c r="Y8" s="3300" t="s">
        <v>2372</v>
      </c>
      <c r="Z8" s="3301"/>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71" t="s">
        <v>2375</v>
      </c>
      <c r="Q9" s="1529" t="str">
        <f t="shared" ref="Q9:Q15" si="6">B9</f>
        <v>用途</v>
      </c>
      <c r="R9" s="710" t="s">
        <v>17</v>
      </c>
      <c r="S9" s="711">
        <f t="shared" si="0"/>
        <v>100</v>
      </c>
      <c r="T9" s="710" t="s">
        <v>17</v>
      </c>
      <c r="U9" s="711">
        <f t="shared" si="1"/>
        <v>100</v>
      </c>
      <c r="V9" s="710" t="s">
        <v>17</v>
      </c>
      <c r="W9" s="711">
        <f t="shared" si="2"/>
        <v>100</v>
      </c>
      <c r="X9" s="712"/>
      <c r="Y9" s="316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271"/>
      <c r="Q10" s="1529" t="str">
        <f t="shared" si="6"/>
        <v>土地使用年限（年）</v>
      </c>
      <c r="R10" s="710" t="s">
        <v>17</v>
      </c>
      <c r="S10" s="711">
        <f t="shared" si="0"/>
        <v>100</v>
      </c>
      <c r="T10" s="710" t="s">
        <v>17</v>
      </c>
      <c r="U10" s="711">
        <f t="shared" si="1"/>
        <v>100</v>
      </c>
      <c r="V10" s="710" t="s">
        <v>17</v>
      </c>
      <c r="W10" s="711">
        <f t="shared" si="2"/>
        <v>100</v>
      </c>
      <c r="X10" s="712"/>
      <c r="Y10" s="316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71"/>
      <c r="Q11" s="1529" t="str">
        <f t="shared" si="6"/>
        <v>容积率</v>
      </c>
      <c r="R11" s="710" t="s">
        <v>17</v>
      </c>
      <c r="S11" s="711" t="e">
        <f t="shared" si="0"/>
        <v>#N/A</v>
      </c>
      <c r="T11" s="710" t="s">
        <v>17</v>
      </c>
      <c r="U11" s="711" t="e">
        <f t="shared" si="1"/>
        <v>#N/A</v>
      </c>
      <c r="V11" s="710" t="s">
        <v>17</v>
      </c>
      <c r="W11" s="711" t="e">
        <f t="shared" si="2"/>
        <v>#N/A</v>
      </c>
      <c r="X11" s="712"/>
      <c r="Y11" s="316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71"/>
      <c r="Q12" s="1529">
        <f t="shared" si="6"/>
        <v>111</v>
      </c>
      <c r="R12" s="710" t="s">
        <v>17</v>
      </c>
      <c r="S12" s="711">
        <f t="shared" si="0"/>
        <v>100</v>
      </c>
      <c r="T12" s="710" t="s">
        <v>17</v>
      </c>
      <c r="U12" s="711">
        <f t="shared" si="1"/>
        <v>100</v>
      </c>
      <c r="V12" s="710" t="s">
        <v>17</v>
      </c>
      <c r="W12" s="711">
        <f t="shared" si="2"/>
        <v>100</v>
      </c>
      <c r="X12" s="712"/>
      <c r="Y12" s="316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71"/>
      <c r="Q13" s="1529">
        <f t="shared" si="6"/>
        <v>111</v>
      </c>
      <c r="R13" s="710" t="s">
        <v>17</v>
      </c>
      <c r="S13" s="711">
        <f t="shared" si="0"/>
        <v>100</v>
      </c>
      <c r="T13" s="710" t="s">
        <v>17</v>
      </c>
      <c r="U13" s="711">
        <f t="shared" si="1"/>
        <v>100</v>
      </c>
      <c r="V13" s="710" t="s">
        <v>17</v>
      </c>
      <c r="W13" s="711">
        <f t="shared" si="2"/>
        <v>100</v>
      </c>
      <c r="X13" s="712"/>
      <c r="Y13" s="316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71"/>
      <c r="Q14" s="1529">
        <f t="shared" si="6"/>
        <v>111</v>
      </c>
      <c r="R14" s="710" t="s">
        <v>17</v>
      </c>
      <c r="S14" s="711">
        <f t="shared" si="0"/>
        <v>100</v>
      </c>
      <c r="T14" s="710" t="s">
        <v>17</v>
      </c>
      <c r="U14" s="711">
        <f t="shared" si="1"/>
        <v>100</v>
      </c>
      <c r="V14" s="710" t="s">
        <v>17</v>
      </c>
      <c r="W14" s="711">
        <f t="shared" si="2"/>
        <v>100</v>
      </c>
      <c r="X14" s="712"/>
      <c r="Y14" s="3165"/>
      <c r="Z14" s="55">
        <f t="shared" si="7"/>
        <v>111</v>
      </c>
      <c r="AA14" s="713">
        <f t="shared" si="3"/>
        <v>1</v>
      </c>
      <c r="AB14" s="713">
        <f t="shared" si="4"/>
        <v>1</v>
      </c>
      <c r="AC14" s="713">
        <f t="shared" si="5"/>
        <v>1</v>
      </c>
    </row>
    <row r="15" spans="1:29" ht="57">
      <c r="A15" s="399" t="s">
        <v>2379</v>
      </c>
      <c r="B15" s="585" t="s">
        <v>2618</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73" t="s">
        <v>2380</v>
      </c>
      <c r="Q15" s="1538" t="str">
        <f t="shared" si="6"/>
        <v>产业集聚程度</v>
      </c>
      <c r="R15" s="714" t="s">
        <v>17</v>
      </c>
      <c r="S15" s="715">
        <f t="shared" si="0"/>
        <v>100</v>
      </c>
      <c r="T15" s="714" t="s">
        <v>17</v>
      </c>
      <c r="U15" s="715">
        <f t="shared" si="1"/>
        <v>100</v>
      </c>
      <c r="V15" s="714" t="s">
        <v>17</v>
      </c>
      <c r="W15" s="715">
        <f t="shared" si="2"/>
        <v>100</v>
      </c>
      <c r="X15" s="1541"/>
      <c r="Y15" s="3273"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4"/>
      <c r="Q16" s="1538"/>
      <c r="R16" s="714"/>
      <c r="S16" s="715"/>
      <c r="T16" s="714"/>
      <c r="U16" s="715"/>
      <c r="V16" s="714"/>
      <c r="W16" s="715"/>
      <c r="X16" s="1541"/>
      <c r="Y16" s="3274"/>
      <c r="Z16" s="1542"/>
      <c r="AA16" s="1539">
        <v>1</v>
      </c>
      <c r="AB16" s="1539">
        <v>1</v>
      </c>
      <c r="AC16" s="1539">
        <v>1</v>
      </c>
    </row>
    <row r="17" spans="1:29" ht="85.5">
      <c r="A17" s="387"/>
      <c r="B17" s="587" t="s">
        <v>2529</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4"/>
      <c r="Q17" s="1538" t="str">
        <f>B17</f>
        <v>交通便捷度</v>
      </c>
      <c r="R17" s="714" t="s">
        <v>17</v>
      </c>
      <c r="S17" s="715">
        <f>F17</f>
        <v>100</v>
      </c>
      <c r="T17" s="714" t="s">
        <v>17</v>
      </c>
      <c r="U17" s="715">
        <f>H17</f>
        <v>100</v>
      </c>
      <c r="V17" s="714" t="s">
        <v>17</v>
      </c>
      <c r="W17" s="715">
        <f>J17</f>
        <v>100</v>
      </c>
      <c r="X17" s="1541"/>
      <c r="Y17" s="327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4"/>
      <c r="Q18" s="1538"/>
      <c r="R18" s="714"/>
      <c r="S18" s="715"/>
      <c r="T18" s="714"/>
      <c r="U18" s="715"/>
      <c r="V18" s="714"/>
      <c r="W18" s="715"/>
      <c r="X18" s="1541"/>
      <c r="Y18" s="3274"/>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4"/>
      <c r="Q19" s="1538" t="str">
        <f t="shared" ref="Q19:Q33" si="8">B19</f>
        <v>区域土地利用方向</v>
      </c>
      <c r="R19" s="714" t="s">
        <v>17</v>
      </c>
      <c r="S19" s="715">
        <f>F19</f>
        <v>100</v>
      </c>
      <c r="T19" s="714" t="s">
        <v>17</v>
      </c>
      <c r="U19" s="715">
        <f>H19</f>
        <v>100</v>
      </c>
      <c r="V19" s="714" t="s">
        <v>17</v>
      </c>
      <c r="W19" s="715">
        <f>J19</f>
        <v>100</v>
      </c>
      <c r="X19" s="1541"/>
      <c r="Y19" s="327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4"/>
      <c r="Q20" s="1538"/>
      <c r="R20" s="714"/>
      <c r="S20" s="715"/>
      <c r="T20" s="714"/>
      <c r="U20" s="715"/>
      <c r="V20" s="714"/>
      <c r="W20" s="715"/>
      <c r="X20" s="1541"/>
      <c r="Y20" s="3274"/>
      <c r="Z20" s="1542"/>
      <c r="AA20" s="1539"/>
      <c r="AB20" s="1539"/>
      <c r="AC20" s="1539"/>
    </row>
    <row r="21" spans="1:29" ht="71.25">
      <c r="A21" s="364"/>
      <c r="B21" s="587" t="s">
        <v>2619</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4"/>
      <c r="Q21" s="1538" t="str">
        <f t="shared" si="8"/>
        <v>环境状况</v>
      </c>
      <c r="R21" s="714" t="s">
        <v>17</v>
      </c>
      <c r="S21" s="715">
        <f>F21</f>
        <v>100</v>
      </c>
      <c r="T21" s="714" t="s">
        <v>17</v>
      </c>
      <c r="U21" s="715">
        <f>H21</f>
        <v>100</v>
      </c>
      <c r="V21" s="714" t="s">
        <v>17</v>
      </c>
      <c r="W21" s="715">
        <f>J21</f>
        <v>100</v>
      </c>
      <c r="X21" s="1541"/>
      <c r="Y21" s="327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4"/>
      <c r="Q22" s="1538"/>
      <c r="R22" s="714"/>
      <c r="S22" s="715"/>
      <c r="T22" s="714"/>
      <c r="U22" s="715"/>
      <c r="V22" s="714"/>
      <c r="W22" s="715"/>
      <c r="X22" s="1541"/>
      <c r="Y22" s="3274"/>
      <c r="Z22" s="1542"/>
      <c r="AA22" s="1539">
        <v>1</v>
      </c>
      <c r="AB22" s="1539">
        <v>1</v>
      </c>
      <c r="AC22" s="1539">
        <v>1</v>
      </c>
    </row>
    <row r="23" spans="1:29" s="113" customFormat="1" ht="42.75">
      <c r="A23" s="605"/>
      <c r="B23" s="589" t="s">
        <v>2474</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4"/>
      <c r="Q23" s="1529" t="str">
        <f t="shared" si="8"/>
        <v>公共配套设施</v>
      </c>
      <c r="R23" s="710" t="s">
        <v>17</v>
      </c>
      <c r="S23" s="711">
        <f>F23</f>
        <v>100</v>
      </c>
      <c r="T23" s="710" t="s">
        <v>17</v>
      </c>
      <c r="U23" s="711">
        <f>H23</f>
        <v>100</v>
      </c>
      <c r="V23" s="710" t="s">
        <v>17</v>
      </c>
      <c r="W23" s="711">
        <f>J23</f>
        <v>100</v>
      </c>
      <c r="X23" s="712"/>
      <c r="Y23" s="327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4"/>
      <c r="Q24" s="1529"/>
      <c r="R24" s="710"/>
      <c r="S24" s="711"/>
      <c r="T24" s="710"/>
      <c r="U24" s="711"/>
      <c r="V24" s="710"/>
      <c r="W24" s="711"/>
      <c r="X24" s="712"/>
      <c r="Y24" s="3274"/>
      <c r="Z24" s="55"/>
      <c r="AA24" s="713">
        <v>1</v>
      </c>
      <c r="AB24" s="713">
        <v>1</v>
      </c>
      <c r="AC24" s="713">
        <v>1</v>
      </c>
    </row>
    <row r="25" spans="1:29" s="113" customFormat="1" ht="28.5">
      <c r="A25" s="605"/>
      <c r="B25" s="589" t="s">
        <v>2475</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4"/>
      <c r="Q25" s="1529" t="str">
        <f t="shared" ref="Q25" si="9">B25</f>
        <v>基础设施水平</v>
      </c>
      <c r="R25" s="710" t="s">
        <v>17</v>
      </c>
      <c r="S25" s="711">
        <f>F25</f>
        <v>100</v>
      </c>
      <c r="T25" s="710" t="s">
        <v>17</v>
      </c>
      <c r="U25" s="711">
        <f>H25</f>
        <v>100</v>
      </c>
      <c r="V25" s="710" t="s">
        <v>17</v>
      </c>
      <c r="W25" s="711">
        <f>J25</f>
        <v>100</v>
      </c>
      <c r="X25" s="712"/>
      <c r="Y25" s="327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4"/>
      <c r="Q26" s="1529"/>
      <c r="R26" s="710"/>
      <c r="S26" s="711"/>
      <c r="T26" s="710"/>
      <c r="U26" s="711"/>
      <c r="V26" s="710"/>
      <c r="W26" s="711"/>
      <c r="X26" s="712"/>
      <c r="Y26" s="3274"/>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4"/>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4"/>
      <c r="Q28" s="1538" t="str">
        <f t="shared" si="8"/>
        <v>毗邻道路的类型与等级</v>
      </c>
      <c r="R28" s="714" t="s">
        <v>17</v>
      </c>
      <c r="S28" s="715">
        <f t="shared" si="10"/>
        <v>100</v>
      </c>
      <c r="T28" s="714" t="s">
        <v>17</v>
      </c>
      <c r="U28" s="715">
        <f t="shared" si="11"/>
        <v>100</v>
      </c>
      <c r="V28" s="714" t="s">
        <v>17</v>
      </c>
      <c r="W28" s="715">
        <f t="shared" si="12"/>
        <v>100</v>
      </c>
      <c r="X28" s="1541"/>
      <c r="Y28" s="327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4"/>
      <c r="Q29" s="1538"/>
      <c r="R29" s="714"/>
      <c r="S29" s="715"/>
      <c r="T29" s="714"/>
      <c r="U29" s="715"/>
      <c r="V29" s="714"/>
      <c r="W29" s="715"/>
      <c r="X29" s="1541"/>
      <c r="Y29" s="3274"/>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4"/>
      <c r="Q30" s="1538" t="str">
        <f t="shared" si="8"/>
        <v>土地级别</v>
      </c>
      <c r="R30" s="714" t="s">
        <v>17</v>
      </c>
      <c r="S30" s="715">
        <f t="shared" si="10"/>
        <v>100</v>
      </c>
      <c r="T30" s="714" t="s">
        <v>17</v>
      </c>
      <c r="U30" s="715">
        <f t="shared" si="11"/>
        <v>100</v>
      </c>
      <c r="V30" s="714" t="s">
        <v>17</v>
      </c>
      <c r="W30" s="715">
        <f t="shared" si="12"/>
        <v>100</v>
      </c>
      <c r="X30" s="1541"/>
      <c r="Y30" s="327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4"/>
      <c r="Q31" s="1538">
        <f t="shared" si="8"/>
        <v>111</v>
      </c>
      <c r="R31" s="714" t="s">
        <v>17</v>
      </c>
      <c r="S31" s="715">
        <f t="shared" si="10"/>
        <v>100</v>
      </c>
      <c r="T31" s="714" t="s">
        <v>17</v>
      </c>
      <c r="U31" s="715">
        <f t="shared" si="11"/>
        <v>100</v>
      </c>
      <c r="V31" s="714" t="s">
        <v>17</v>
      </c>
      <c r="W31" s="715">
        <f t="shared" si="12"/>
        <v>100</v>
      </c>
      <c r="X31" s="1541"/>
      <c r="Y31" s="327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275" t="s">
        <v>2385</v>
      </c>
      <c r="Q32" s="1538">
        <f t="shared" si="8"/>
        <v>111</v>
      </c>
      <c r="R32" s="714" t="s">
        <v>17</v>
      </c>
      <c r="S32" s="715">
        <f t="shared" si="10"/>
        <v>100</v>
      </c>
      <c r="T32" s="714" t="s">
        <v>17</v>
      </c>
      <c r="U32" s="715">
        <f t="shared" si="11"/>
        <v>100</v>
      </c>
      <c r="V32" s="714" t="s">
        <v>17</v>
      </c>
      <c r="W32" s="715">
        <f t="shared" si="12"/>
        <v>100</v>
      </c>
      <c r="X32" s="1541"/>
      <c r="Y32" s="3276"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76"/>
      <c r="Q33" s="1538">
        <f t="shared" si="8"/>
        <v>111</v>
      </c>
      <c r="R33" s="717" t="s">
        <v>17</v>
      </c>
      <c r="S33" s="718">
        <f t="shared" si="10"/>
        <v>100</v>
      </c>
      <c r="T33" s="717" t="s">
        <v>17</v>
      </c>
      <c r="U33" s="718">
        <f t="shared" si="11"/>
        <v>100</v>
      </c>
      <c r="V33" s="717" t="s">
        <v>17</v>
      </c>
      <c r="W33" s="718">
        <f t="shared" si="12"/>
        <v>100</v>
      </c>
      <c r="X33" s="719"/>
      <c r="Y33" s="3276"/>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76"/>
      <c r="Q34" s="1538" t="str">
        <f>B34</f>
        <v>宗地面积</v>
      </c>
      <c r="R34" s="714" t="s">
        <v>17</v>
      </c>
      <c r="S34" s="715" t="e">
        <f t="shared" si="10"/>
        <v>#N/A</v>
      </c>
      <c r="T34" s="714" t="s">
        <v>17</v>
      </c>
      <c r="U34" s="715" t="e">
        <f t="shared" si="11"/>
        <v>#N/A</v>
      </c>
      <c r="V34" s="714" t="s">
        <v>17</v>
      </c>
      <c r="W34" s="715" t="e">
        <f t="shared" si="12"/>
        <v>#N/A</v>
      </c>
      <c r="X34" s="1541"/>
      <c r="Y34" s="3276"/>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76"/>
      <c r="Q35" s="1538" t="str">
        <f t="shared" ref="Q35:Q40" si="14">B35</f>
        <v>宗地形状</v>
      </c>
      <c r="R35" s="714" t="s">
        <v>17</v>
      </c>
      <c r="S35" s="715">
        <f t="shared" si="10"/>
        <v>100</v>
      </c>
      <c r="T35" s="714" t="s">
        <v>17</v>
      </c>
      <c r="U35" s="715">
        <f t="shared" si="11"/>
        <v>100</v>
      </c>
      <c r="V35" s="714" t="s">
        <v>17</v>
      </c>
      <c r="W35" s="715">
        <f t="shared" si="12"/>
        <v>100</v>
      </c>
      <c r="X35" s="1541"/>
      <c r="Y35" s="3276"/>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76"/>
      <c r="Q36" s="1538" t="str">
        <f t="shared" si="14"/>
        <v>宗地开发程度</v>
      </c>
      <c r="R36" s="710" t="s">
        <v>17</v>
      </c>
      <c r="S36" s="711">
        <f t="shared" si="10"/>
        <v>100</v>
      </c>
      <c r="T36" s="710" t="s">
        <v>17</v>
      </c>
      <c r="U36" s="711">
        <f t="shared" si="11"/>
        <v>100</v>
      </c>
      <c r="V36" s="710" t="s">
        <v>17</v>
      </c>
      <c r="W36" s="711">
        <f t="shared" si="12"/>
        <v>100</v>
      </c>
      <c r="X36" s="712"/>
      <c r="Y36" s="3276"/>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76" t="s">
        <v>2385</v>
      </c>
      <c r="Q37" s="1538" t="str">
        <f t="shared" si="14"/>
        <v>工程地质条件</v>
      </c>
      <c r="R37" s="714" t="s">
        <v>17</v>
      </c>
      <c r="S37" s="715">
        <f t="shared" si="10"/>
        <v>100</v>
      </c>
      <c r="T37" s="714" t="s">
        <v>17</v>
      </c>
      <c r="U37" s="715">
        <f t="shared" si="11"/>
        <v>100</v>
      </c>
      <c r="V37" s="714" t="s">
        <v>17</v>
      </c>
      <c r="W37" s="715">
        <f t="shared" si="12"/>
        <v>100</v>
      </c>
      <c r="X37" s="1541"/>
      <c r="Y37" s="3276"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76"/>
      <c r="Q38" s="1538">
        <f t="shared" si="14"/>
        <v>111</v>
      </c>
      <c r="R38" s="714" t="s">
        <v>17</v>
      </c>
      <c r="S38" s="715">
        <f t="shared" si="10"/>
        <v>100</v>
      </c>
      <c r="T38" s="714" t="s">
        <v>17</v>
      </c>
      <c r="U38" s="715">
        <f t="shared" si="11"/>
        <v>100</v>
      </c>
      <c r="V38" s="714" t="s">
        <v>17</v>
      </c>
      <c r="W38" s="715">
        <f t="shared" si="12"/>
        <v>100</v>
      </c>
      <c r="X38" s="1541"/>
      <c r="Y38" s="3276"/>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76"/>
      <c r="Q39" s="1538">
        <f t="shared" si="14"/>
        <v>111</v>
      </c>
      <c r="R39" s="714" t="s">
        <v>17</v>
      </c>
      <c r="S39" s="715">
        <f t="shared" si="10"/>
        <v>100</v>
      </c>
      <c r="T39" s="714" t="s">
        <v>17</v>
      </c>
      <c r="U39" s="715">
        <f t="shared" si="11"/>
        <v>100</v>
      </c>
      <c r="V39" s="714" t="s">
        <v>17</v>
      </c>
      <c r="W39" s="715">
        <f t="shared" si="12"/>
        <v>100</v>
      </c>
      <c r="X39" s="1541"/>
      <c r="Y39" s="3276"/>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76"/>
      <c r="Q40" s="1538">
        <f t="shared" si="14"/>
        <v>111</v>
      </c>
      <c r="R40" s="717" t="s">
        <v>17</v>
      </c>
      <c r="S40" s="718">
        <f t="shared" si="10"/>
        <v>100</v>
      </c>
      <c r="T40" s="717" t="s">
        <v>17</v>
      </c>
      <c r="U40" s="718">
        <f t="shared" si="11"/>
        <v>100</v>
      </c>
      <c r="V40" s="717" t="s">
        <v>17</v>
      </c>
      <c r="W40" s="718">
        <f t="shared" si="12"/>
        <v>100</v>
      </c>
      <c r="X40" s="719"/>
      <c r="Y40" s="3276"/>
      <c r="Z40" s="720">
        <f t="shared" si="13"/>
        <v>111</v>
      </c>
      <c r="AA40" s="1539">
        <f t="shared" si="3"/>
        <v>1</v>
      </c>
      <c r="AB40" s="1539">
        <f t="shared" si="4"/>
        <v>1</v>
      </c>
      <c r="AC40" s="1539">
        <f t="shared" si="5"/>
        <v>1</v>
      </c>
    </row>
    <row r="41" spans="1:31" ht="15">
      <c r="A41" s="438" t="s">
        <v>2540</v>
      </c>
      <c r="B41" s="2170" t="s">
        <v>2620</v>
      </c>
      <c r="C41" s="638" t="s">
        <v>1</v>
      </c>
      <c r="D41" s="440"/>
      <c r="E41" s="441"/>
      <c r="F41" s="442"/>
      <c r="G41" s="443"/>
      <c r="H41" s="444"/>
      <c r="I41" s="441"/>
      <c r="J41" s="444"/>
      <c r="K41" s="723"/>
      <c r="L41" s="2955"/>
      <c r="M41" s="2947"/>
      <c r="N41" s="2947"/>
      <c r="O41" s="2956"/>
      <c r="P41" s="3271" t="str">
        <f>A41</f>
        <v>成交单价</v>
      </c>
      <c r="Q41" s="3271"/>
      <c r="R41" s="3277">
        <f>E41</f>
        <v>0</v>
      </c>
      <c r="S41" s="3277"/>
      <c r="T41" s="3277">
        <f>G41</f>
        <v>0</v>
      </c>
      <c r="U41" s="3277"/>
      <c r="V41" s="3277">
        <f>I41</f>
        <v>0</v>
      </c>
      <c r="W41" s="3277"/>
      <c r="X41" s="699"/>
      <c r="Y41" s="721"/>
      <c r="Z41" s="699"/>
      <c r="AA41" s="699"/>
      <c r="AB41" s="699"/>
      <c r="AC41" s="699"/>
    </row>
    <row r="42" spans="1:31" ht="15.75" thickBot="1">
      <c r="A42" s="445" t="s">
        <v>2489</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271" t="str">
        <f>A42</f>
        <v>比较价值（元/平方米）</v>
      </c>
      <c r="Q42" s="3271"/>
      <c r="R42" s="3264" t="e">
        <f>ROUND(PRODUCT(R41,AA7:AA40),0)</f>
        <v>#DIV/0!</v>
      </c>
      <c r="S42" s="3264"/>
      <c r="T42" s="3264" t="e">
        <f>ROUND(PRODUCT(T41,AB7:AB40),0)</f>
        <v>#DIV/0!</v>
      </c>
      <c r="U42" s="3264"/>
      <c r="V42" s="3264" t="e">
        <f>ROUND(PRODUCT(V41,AC7:AC40),0)</f>
        <v>#DIV/0!</v>
      </c>
      <c r="W42" s="3264"/>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5"/>
      <c r="M43" s="2947"/>
      <c r="N43" s="2947"/>
      <c r="O43" s="2956"/>
      <c r="P43" s="3265" t="str">
        <f>A43</f>
        <v>估价对象XX用房的比较价值（楼面单价，元/平方米）</v>
      </c>
      <c r="Q43" s="3266"/>
      <c r="R43" s="3267" t="e">
        <f>ROUND(IF(D42="简单平均",AVERAGE(R42:W42),R42*F42+T42*H42+V42*J42),0)</f>
        <v>#DIV/0!</v>
      </c>
      <c r="S43" s="3267"/>
      <c r="T43" s="3267"/>
      <c r="U43" s="3267"/>
      <c r="V43" s="3267"/>
      <c r="W43" s="3267"/>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2578</v>
      </c>
      <c r="B50" s="641" t="s">
        <v>2579</v>
      </c>
      <c r="C50" s="2171" t="s">
        <v>2580</v>
      </c>
      <c r="D50" s="2172" t="s">
        <v>2581</v>
      </c>
      <c r="E50" s="642" t="s">
        <v>2582</v>
      </c>
      <c r="F50" s="643" t="s">
        <v>2583</v>
      </c>
      <c r="G50" s="3268" t="s">
        <v>2584</v>
      </c>
      <c r="H50" s="3269"/>
      <c r="I50" s="1542" t="s">
        <v>2621</v>
      </c>
      <c r="J50" s="1542">
        <f>项目基本情况!F35</f>
        <v>0</v>
      </c>
      <c r="K50" s="2174" t="s">
        <v>2586</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2587</v>
      </c>
      <c r="B51" s="645" t="e">
        <f>C43</f>
        <v>#DIV/0!</v>
      </c>
      <c r="C51" s="646">
        <v>1</v>
      </c>
      <c r="D51" s="1075">
        <v>1</v>
      </c>
      <c r="E51" s="646">
        <f>'数据-汇总表'!E8+'数据-汇总表'!E9</f>
        <v>13829.859999999995</v>
      </c>
      <c r="F51" s="647" t="e">
        <f t="shared" ref="F51:F60" si="15">ROUND(B51*E51/10000,0)</f>
        <v>#DIV/0!</v>
      </c>
      <c r="G51" s="3270"/>
      <c r="H51" s="327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2588</v>
      </c>
      <c r="B52" s="224" t="e">
        <f>ROUND($C$43*C52*D52,0)</f>
        <v>#DIV/0!</v>
      </c>
      <c r="C52" s="176">
        <f t="shared" ref="C52:C60" si="16">IF($C$50="北京市系数",I52,J52)</f>
        <v>0</v>
      </c>
      <c r="D52" s="1076">
        <v>0.25</v>
      </c>
      <c r="E52" s="650"/>
      <c r="F52" s="647" t="e">
        <f t="shared" si="15"/>
        <v>#DIV/0!</v>
      </c>
      <c r="G52" s="3272" t="s">
        <v>2589</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2590</v>
      </c>
      <c r="B53" s="224" t="e">
        <f t="shared" ref="B53:B60" si="17">ROUND($C$43*C53*D53,0)</f>
        <v>#DIV/0!</v>
      </c>
      <c r="C53" s="176">
        <f t="shared" si="16"/>
        <v>0</v>
      </c>
      <c r="D53" s="1076">
        <v>0.25</v>
      </c>
      <c r="E53" s="650"/>
      <c r="F53" s="647" t="e">
        <f t="shared" si="15"/>
        <v>#DIV/0!</v>
      </c>
      <c r="G53" s="327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2591</v>
      </c>
      <c r="B54" s="224" t="e">
        <f t="shared" si="17"/>
        <v>#DIV/0!</v>
      </c>
      <c r="C54" s="176">
        <f t="shared" si="16"/>
        <v>0</v>
      </c>
      <c r="D54" s="1076">
        <v>0.25</v>
      </c>
      <c r="E54" s="650"/>
      <c r="F54" s="647" t="e">
        <f t="shared" si="15"/>
        <v>#DIV/0!</v>
      </c>
      <c r="G54" s="327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2592</v>
      </c>
      <c r="B55" s="224" t="e">
        <f t="shared" si="17"/>
        <v>#DIV/0!</v>
      </c>
      <c r="C55" s="176">
        <f t="shared" si="16"/>
        <v>0</v>
      </c>
      <c r="D55" s="1076">
        <v>0.25</v>
      </c>
      <c r="E55" s="650"/>
      <c r="F55" s="647" t="e">
        <f t="shared" si="15"/>
        <v>#DIV/0!</v>
      </c>
      <c r="G55" s="327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2593</v>
      </c>
      <c r="B56" s="224" t="e">
        <f t="shared" si="17"/>
        <v>#DIV/0!</v>
      </c>
      <c r="C56" s="176">
        <f t="shared" si="16"/>
        <v>0</v>
      </c>
      <c r="D56" s="1076">
        <v>0.25</v>
      </c>
      <c r="E56" s="223">
        <f>'数据-汇总表'!E11</f>
        <v>0</v>
      </c>
      <c r="F56" s="647" t="e">
        <f t="shared" si="15"/>
        <v>#DIV/0!</v>
      </c>
      <c r="G56" s="2175" t="s">
        <v>2594</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2599</v>
      </c>
      <c r="B59" s="224" t="e">
        <f t="shared" si="17"/>
        <v>#DIV/0!</v>
      </c>
      <c r="C59" s="176">
        <f t="shared" si="16"/>
        <v>0</v>
      </c>
      <c r="D59" s="1076">
        <v>0.25</v>
      </c>
      <c r="E59" s="223">
        <f>'数据-汇总表'!E14</f>
        <v>0</v>
      </c>
      <c r="F59" s="647" t="e">
        <f t="shared" si="15"/>
        <v>#DIV/0!</v>
      </c>
      <c r="G59" s="2175" t="s">
        <v>2589</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2600</v>
      </c>
      <c r="B60" s="224" t="e">
        <f t="shared" si="17"/>
        <v>#DIV/0!</v>
      </c>
      <c r="C60" s="176">
        <f t="shared" si="16"/>
        <v>0</v>
      </c>
      <c r="D60" s="1076">
        <v>0.25</v>
      </c>
      <c r="E60" s="223">
        <f>'数据-汇总表'!E15</f>
        <v>0</v>
      </c>
      <c r="F60" s="647" t="e">
        <f t="shared" si="15"/>
        <v>#DIV/0!</v>
      </c>
      <c r="G60" s="2176" t="s">
        <v>2594</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2601</v>
      </c>
      <c r="B61" s="652" t="s">
        <v>28</v>
      </c>
      <c r="C61" s="652" t="s">
        <v>29</v>
      </c>
      <c r="D61" s="652" t="s">
        <v>997</v>
      </c>
      <c r="E61" s="652">
        <f>IF(B41="楼面地价",SUM(E51:E60),'数据-汇总表'!D3)</f>
        <v>22306.23</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2602</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2612</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2614</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2615</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2624</v>
      </c>
      <c r="B1" s="203"/>
      <c r="C1" s="207" t="s">
        <v>2625</v>
      </c>
      <c r="D1" s="348">
        <f>SUM(D29:D30,D33:D39)</f>
        <v>0</v>
      </c>
      <c r="E1" s="2183"/>
      <c r="F1" s="2183"/>
      <c r="G1" s="2183"/>
      <c r="H1" s="2183"/>
      <c r="I1" s="2183"/>
      <c r="J1" s="2183"/>
      <c r="K1" s="1280"/>
      <c r="L1" s="2184" t="s">
        <v>2626</v>
      </c>
      <c r="M1" s="994">
        <f>SUMPRODUCT((区片价!B5:B9=I2)*(区片价!C3:F3=E2)*(区片价!C5:F9))</f>
        <v>0</v>
      </c>
      <c r="N1" s="997">
        <f>SUMPRODUCT((因素修正幅度!B5:B9=I2)*(因素修正幅度!C3:F3=E2)*(因素修正幅度!C5:F9))</f>
        <v>0</v>
      </c>
      <c r="O1" s="2185"/>
      <c r="P1" s="2185"/>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7" t="s">
        <v>2633</v>
      </c>
      <c r="D2" s="2188" t="s">
        <v>2634</v>
      </c>
      <c r="E2" s="2189"/>
      <c r="F2" s="2188" t="s">
        <v>2635</v>
      </c>
      <c r="G2" s="2190">
        <f>IF(E2="商业",项目基本情况!B37,IF(E2="办公",项目基本情况!C37,IF(E2="住宅",项目基本情况!D37,项目基本情况!E37)))</f>
        <v>0</v>
      </c>
      <c r="H2" s="2188" t="s">
        <v>2636</v>
      </c>
      <c r="I2" s="2190">
        <f>IF(E2="商业",项目基本情况!B38,IF(E2="办公",项目基本情况!C38,IF(E2="住宅",项目基本情况!D38,项目基本情况!E38)))</f>
        <v>0</v>
      </c>
      <c r="J2" s="2191"/>
      <c r="K2" s="1280"/>
      <c r="L2" s="2192"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7" t="s">
        <v>2639</v>
      </c>
      <c r="D3" s="2188" t="s">
        <v>2640</v>
      </c>
      <c r="E3" s="2193"/>
      <c r="F3" s="2194" t="s">
        <v>2641</v>
      </c>
      <c r="G3" s="855">
        <f>IF(F3="宗地容积率",'数据-汇总表'!I4,IF(F3="估价对象容积率",'数据-汇总表'!I6,'数据-汇总表'!I7))</f>
        <v>0.62</v>
      </c>
      <c r="H3" s="175" t="s">
        <v>2642</v>
      </c>
      <c r="I3" s="881"/>
      <c r="J3" s="2191" t="s">
        <v>2643</v>
      </c>
      <c r="K3" s="1280"/>
      <c r="L3" s="2192"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6"/>
      <c r="B4" s="3367"/>
      <c r="C4" s="3367"/>
      <c r="D4" s="3368"/>
      <c r="E4" s="3368"/>
      <c r="F4" s="3368"/>
      <c r="G4" s="3368"/>
      <c r="H4" s="3368"/>
      <c r="I4" s="3368"/>
      <c r="J4" s="3369"/>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t="e">
        <f>ROUND(IF(E2="商业",C6*C7+C16,(IF(E2="住宅",C6*C12+C16,C6+C16))),0)</f>
        <v>#DIV/0!</v>
      </c>
      <c r="D5" s="1525" t="e">
        <f>ROUND(C6+C16,0)</f>
        <v>#DIV/0!</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70" t="str">
        <f>IF(E2="商业",IF(C8="不临58条商业街","",2),"")</f>
        <v/>
      </c>
      <c r="B7" s="2211" t="s">
        <v>2652</v>
      </c>
      <c r="C7" s="858" t="e">
        <f>IF(C8="不临58条商业街",1,ROUND(1+(1.6*E8+1.2*E9+0.8*E10+0.4*E11)*C9,4))</f>
        <v>#DIV/0!</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2655</v>
      </c>
      <c r="X7" s="1376">
        <f>G2</f>
        <v>0</v>
      </c>
      <c r="Y7" s="1376" t="s">
        <v>2656</v>
      </c>
      <c r="Z7" s="1377">
        <f>G3</f>
        <v>0.62</v>
      </c>
      <c r="AA7" s="1378"/>
      <c r="AB7" s="1378"/>
      <c r="AC7" s="1379"/>
      <c r="AD7" s="1380"/>
      <c r="AE7" s="1380"/>
      <c r="AF7" s="1380"/>
      <c r="AG7" s="1380"/>
      <c r="AH7" s="1380"/>
      <c r="AI7" s="1380"/>
      <c r="AJ7" s="1381"/>
    </row>
    <row r="8" spans="1:36" ht="15">
      <c r="A8" s="3371"/>
      <c r="B8" s="175" t="s">
        <v>2657</v>
      </c>
      <c r="C8" s="2216"/>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3" t="s">
        <v>2660</v>
      </c>
      <c r="X8" s="336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1"/>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5"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1"/>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1"/>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5" t="s">
        <v>2684</v>
      </c>
      <c r="X11" s="1386" t="s">
        <v>2685</v>
      </c>
      <c r="Y11" s="1387">
        <f>$G$3</f>
        <v>0.62</v>
      </c>
      <c r="Z11" s="1387">
        <f t="shared" ref="Z11:AJ11" si="3">$G$3</f>
        <v>0.62</v>
      </c>
      <c r="AA11" s="1387">
        <f t="shared" si="3"/>
        <v>0.62</v>
      </c>
      <c r="AB11" s="1387">
        <f t="shared" si="3"/>
        <v>0.62</v>
      </c>
      <c r="AC11" s="1387">
        <f t="shared" si="3"/>
        <v>0.62</v>
      </c>
      <c r="AD11" s="1387">
        <f t="shared" si="3"/>
        <v>0.62</v>
      </c>
      <c r="AE11" s="1387">
        <f t="shared" si="3"/>
        <v>0.62</v>
      </c>
      <c r="AF11" s="1387">
        <f t="shared" si="3"/>
        <v>0.62</v>
      </c>
      <c r="AG11" s="1387">
        <f t="shared" si="3"/>
        <v>0.62</v>
      </c>
      <c r="AH11" s="1387">
        <f t="shared" si="3"/>
        <v>0.62</v>
      </c>
      <c r="AI11" s="1387">
        <f t="shared" si="3"/>
        <v>0.62</v>
      </c>
      <c r="AJ11" s="1387">
        <f t="shared" si="3"/>
        <v>0.62</v>
      </c>
    </row>
    <row r="12" spans="1:36" ht="25.5" thickBot="1">
      <c r="A12" s="3370"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2"/>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t="e">
        <f t="shared" si="0"/>
        <v>#DIV/0!</v>
      </c>
      <c r="U13" s="1375"/>
      <c r="V13" s="1374" t="e">
        <f t="shared" si="1"/>
        <v>#DIV/0!</v>
      </c>
      <c r="W13" s="3365"/>
      <c r="X13" s="1388"/>
      <c r="Y13" s="1385">
        <f>(-0.163*(Y12^2)-0.59*Y12+7617)*(10^(-4))/Y11</f>
        <v>1.2285483870967742</v>
      </c>
      <c r="Z13" s="1385">
        <f t="shared" ref="Z13:AJ13" si="5">(-0.163*(Z12^2)-0.59*Z12+7617)*(10^(-4))/Z11</f>
        <v>1.2285483870967742</v>
      </c>
      <c r="AA13" s="1385">
        <f t="shared" si="5"/>
        <v>1.2285483870967742</v>
      </c>
      <c r="AB13" s="1385">
        <f t="shared" si="5"/>
        <v>1.2285483870967742</v>
      </c>
      <c r="AC13" s="1385">
        <f t="shared" si="5"/>
        <v>1.2285483870967742</v>
      </c>
      <c r="AD13" s="1385">
        <f t="shared" si="5"/>
        <v>1.2285483870967742</v>
      </c>
      <c r="AE13" s="1385">
        <f t="shared" si="5"/>
        <v>1.2285483870967742</v>
      </c>
      <c r="AF13" s="1385">
        <f t="shared" si="5"/>
        <v>1.2285483870967742</v>
      </c>
      <c r="AG13" s="1385">
        <f t="shared" si="5"/>
        <v>1.2285483870967742</v>
      </c>
      <c r="AH13" s="1385">
        <f t="shared" si="5"/>
        <v>1.2285483870967742</v>
      </c>
      <c r="AI13" s="1385">
        <f t="shared" si="5"/>
        <v>1.2285483870967742</v>
      </c>
      <c r="AJ13" s="1385">
        <f t="shared" si="5"/>
        <v>1.2285483870967742</v>
      </c>
    </row>
    <row r="14" spans="1:36" ht="15">
      <c r="A14" s="3372"/>
      <c r="B14" s="2234"/>
      <c r="C14" s="2235"/>
      <c r="D14" s="2236"/>
      <c r="E14" s="2236"/>
      <c r="F14" s="2237"/>
      <c r="G14" s="2238" t="s">
        <v>2697</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3"/>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70" t="s">
        <v>2703</v>
      </c>
      <c r="B16" s="2211" t="s">
        <v>2704</v>
      </c>
      <c r="C16" s="2373" t="e">
        <f>ROUND(IF(F17="与级别开发程度一致",0,(G17-E17)/C17),0)</f>
        <v>#DIV/0!</v>
      </c>
      <c r="D16" s="3386" t="s">
        <v>2708</v>
      </c>
      <c r="E16" s="3387"/>
      <c r="F16" s="3386" t="s">
        <v>2705</v>
      </c>
      <c r="G16" s="3387"/>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74"/>
      <c r="B17" s="2384" t="s">
        <v>2707</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2711</v>
      </c>
      <c r="C19" s="863" t="e">
        <f>ROUND(IF(H19="按公示增长率计算",SUMPRODUCT((地价!A3:A32=YEAR(G19)&amp;"-"&amp;ROUNDUP(MONTH(G19)/3,0))*(地价!X2:AB2=E2)*(地价!X3:AB32)),IF(H19="地价指数",M20/M19,(1+I19)^O19)),4)</f>
        <v>#VALUE!</v>
      </c>
      <c r="D19" s="2253" t="s">
        <v>2712</v>
      </c>
      <c r="E19" s="864">
        <v>41640</v>
      </c>
      <c r="F19" s="2253" t="s">
        <v>2713</v>
      </c>
      <c r="G19" s="865">
        <f>'数据-取费表'!B2</f>
        <v>44187</v>
      </c>
      <c r="H19" s="2254"/>
      <c r="I19" s="866" t="str">
        <f>IF(H19="季度增幅（自定义）",SUMIF(N21:N24,E2,O21:O24),"")</f>
        <v/>
      </c>
      <c r="J19" s="2251"/>
      <c r="K19" s="1287"/>
      <c r="L19" s="2255" t="s">
        <v>2714</v>
      </c>
      <c r="M19" s="1498">
        <f>ROUND(SUMIF(地价!B2:F2,E2,地价!B32:F32),0)</f>
        <v>0</v>
      </c>
      <c r="N19" s="2256"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2716</v>
      </c>
      <c r="C20" s="868" t="e">
        <f>ROUND(POWER(1+G20,J20-I20)*(POWER(1+G20,I20)-1)/(POWER(1+G20,J20)-1),4)</f>
        <v>#DIV/0!</v>
      </c>
      <c r="D20" s="2260" t="s">
        <v>2717</v>
      </c>
      <c r="E20" s="1507">
        <f ca="1">存贷款利率!D4/100</f>
        <v>4.3499999999999997E-2</v>
      </c>
      <c r="F20" s="2260" t="s">
        <v>2709</v>
      </c>
      <c r="G20" s="873">
        <f>SUMIF(M26:P26,E2,M28:P28)</f>
        <v>0</v>
      </c>
      <c r="H20" s="2260" t="s">
        <v>2718</v>
      </c>
      <c r="I20" s="874" t="e">
        <f>SUMIF('数据-取费表'!C6:C15,E2,'数据-取费表'!F6:F15)/COUNTIF('数据-取费表'!C6:C15,E2)</f>
        <v>#DIV/0!</v>
      </c>
      <c r="J20" s="875">
        <f>IF(E2="住宅",70,IF(E2="商业",40,50))</f>
        <v>50</v>
      </c>
      <c r="K20" s="1287"/>
      <c r="L20" s="2261" t="s">
        <v>2719</v>
      </c>
      <c r="M20" s="1499">
        <f>ROUND(SUMPRODUCT((地价!A4:A32=YEAR(G19)&amp;"-"&amp;ROUNDUP(MONTH(G19)/3,0))*(地价!B2:F2=E2)*(地价!B4:F32)),0)</f>
        <v>0</v>
      </c>
      <c r="N20" s="2262" t="s">
        <v>2720</v>
      </c>
      <c r="O20" s="2263" t="s">
        <v>2721</v>
      </c>
      <c r="P20" s="2264" t="s">
        <v>2722</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2723</v>
      </c>
      <c r="C21" s="876">
        <f>IF(B21="容积率修正",IF(G3&lt;=10,D22,J22),C23)</f>
        <v>0</v>
      </c>
      <c r="D21" s="2267"/>
      <c r="E21" s="2267"/>
      <c r="F21" s="2267"/>
      <c r="G21" s="2267"/>
      <c r="H21" s="2267"/>
      <c r="I21" s="2267"/>
      <c r="J21" s="2268"/>
      <c r="K21" s="1287"/>
      <c r="L21" s="3021"/>
      <c r="M21" s="3021"/>
      <c r="N21" s="2269" t="s">
        <v>2724</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0</v>
      </c>
      <c r="E22" s="855">
        <f>ROUNDDOWN(G3,1)</f>
        <v>0.6</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2728</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0</v>
      </c>
      <c r="D24" s="2250"/>
      <c r="E24" s="2277"/>
      <c r="F24" s="2277"/>
      <c r="G24" s="2277"/>
      <c r="H24" s="2277"/>
      <c r="I24" s="2277"/>
      <c r="J24" s="2278"/>
      <c r="K24" s="1287"/>
      <c r="L24" s="3021"/>
      <c r="M24" s="3021"/>
      <c r="N24" s="2279" t="s">
        <v>2733</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t="e">
        <f>IF(B21="容积率修正",E29+SUM(E33:E39),SUM(V2:V16)+SUM(E33:E39))</f>
        <v>#DIV/0!</v>
      </c>
      <c r="D26" s="2283"/>
      <c r="E26" s="2239"/>
      <c r="F26" s="2284"/>
      <c r="G26" s="2239"/>
      <c r="H26" s="2239"/>
      <c r="I26" s="2239"/>
      <c r="J26" s="2285"/>
      <c r="K26" s="1280"/>
      <c r="L26" s="3019" t="s">
        <v>2634</v>
      </c>
      <c r="M26" s="2212" t="s">
        <v>2699</v>
      </c>
      <c r="N26" s="2212" t="s">
        <v>2700</v>
      </c>
      <c r="O26" s="2212" t="s">
        <v>2701</v>
      </c>
      <c r="P26" s="3020"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t="e">
        <f>E30+SUM(I33:I39)</f>
        <v>#DIV/0!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t="e">
        <f>ROUND(C5*C18*C19*C20*C21*C24,0)</f>
        <v>#DIV/0!</v>
      </c>
      <c r="D29" s="2298"/>
      <c r="E29" s="879" t="e">
        <f>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t="e">
        <f>ROUND(IF(E2="工业",C29*M39,C29*M38),0)</f>
        <v>#DIV/0!</v>
      </c>
      <c r="D30" s="2304"/>
      <c r="E30" s="879" t="e">
        <f>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83"/>
      <c r="B33" s="2314" t="s">
        <v>2750</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88"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84"/>
      <c r="B34" s="2231" t="s">
        <v>2751</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84"/>
      <c r="B35" s="2231" t="s">
        <v>2752</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8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85"/>
      <c r="B36" s="2231" t="s">
        <v>2753</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85"/>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t="e">
        <f>ROUND(POWER(1+E41,H41-G41)*(POWER(1+E41,G41)-1)/(POWER(1+E41,H41)-1),4)</f>
        <v>#DIV/0!</v>
      </c>
      <c r="D41" s="176" t="s">
        <v>2709</v>
      </c>
      <c r="E41" s="2371">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2417</v>
      </c>
      <c r="K80" s="560" t="s">
        <v>2418</v>
      </c>
      <c r="L80" s="560" t="s">
        <v>2419</v>
      </c>
      <c r="M80" s="560" t="s">
        <v>2420</v>
      </c>
      <c r="N80" s="560" t="s">
        <v>2421</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2777</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2778</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75" t="s">
        <v>2791</v>
      </c>
      <c r="B90" s="3375"/>
      <c r="C90" s="3375"/>
      <c r="D90" s="3375"/>
      <c r="E90" s="3375"/>
      <c r="F90" s="3375"/>
      <c r="G90" s="3375"/>
      <c r="H90" s="3375"/>
      <c r="I90" s="3375"/>
      <c r="J90" s="3375"/>
      <c r="K90" s="2345"/>
      <c r="L90" s="2345"/>
      <c r="M90" s="2345"/>
      <c r="N90" s="2345"/>
    </row>
    <row r="91" spans="1:37">
      <c r="A91" s="3377" t="s">
        <v>2792</v>
      </c>
      <c r="B91" s="3377" t="s">
        <v>2793</v>
      </c>
      <c r="C91" s="2299" t="s">
        <v>2794</v>
      </c>
      <c r="D91" s="2300"/>
      <c r="E91" s="2300"/>
      <c r="F91" s="2300"/>
      <c r="G91" s="2300"/>
      <c r="H91" s="2300"/>
      <c r="I91" s="2300"/>
      <c r="J91" s="2346"/>
      <c r="K91" s="2347"/>
      <c r="L91" s="2347"/>
      <c r="M91" s="2347"/>
      <c r="N91" s="2347"/>
    </row>
    <row r="92" spans="1:37">
      <c r="A92" s="3377"/>
      <c r="B92" s="337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8"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79"/>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79"/>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79"/>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79"/>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79"/>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79"/>
      <c r="B99" s="2348" t="s">
        <v>2677</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80"/>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78" t="s">
        <v>2796</v>
      </c>
      <c r="B101" s="2352" t="s">
        <v>2797</v>
      </c>
      <c r="C101" s="2353">
        <f>$G$3</f>
        <v>0.62</v>
      </c>
      <c r="D101" s="2353">
        <f t="shared" ref="D101:N101" si="31">$G$3</f>
        <v>0.62</v>
      </c>
      <c r="E101" s="2353">
        <f t="shared" si="31"/>
        <v>0.62</v>
      </c>
      <c r="F101" s="2353">
        <f t="shared" si="31"/>
        <v>0.62</v>
      </c>
      <c r="G101" s="2353">
        <f t="shared" si="31"/>
        <v>0.62</v>
      </c>
      <c r="H101" s="2353">
        <f t="shared" si="31"/>
        <v>0.62</v>
      </c>
      <c r="I101" s="2353">
        <f t="shared" si="31"/>
        <v>0.62</v>
      </c>
      <c r="J101" s="2353">
        <f t="shared" si="31"/>
        <v>0.62</v>
      </c>
      <c r="K101" s="2353">
        <f t="shared" si="31"/>
        <v>0.62</v>
      </c>
      <c r="L101" s="2353">
        <f t="shared" si="31"/>
        <v>0.62</v>
      </c>
      <c r="M101" s="2353">
        <f t="shared" si="31"/>
        <v>0.62</v>
      </c>
      <c r="N101" s="2353">
        <f t="shared" si="31"/>
        <v>0.62</v>
      </c>
    </row>
    <row r="102" spans="1:14">
      <c r="A102" s="3379"/>
      <c r="B102" s="2348">
        <v>1</v>
      </c>
      <c r="C102" s="2349">
        <f>1.9362/C101</f>
        <v>3.1229032258064513</v>
      </c>
      <c r="D102" s="2349">
        <f>1.9362/D101</f>
        <v>3.1229032258064513</v>
      </c>
      <c r="E102" s="2349">
        <f>1.8629/E101</f>
        <v>3.0046774193548389</v>
      </c>
      <c r="F102" s="2349">
        <f>1.8629/F101</f>
        <v>3.0046774193548389</v>
      </c>
      <c r="G102" s="2349">
        <f>1.8629/G101</f>
        <v>3.0046774193548389</v>
      </c>
      <c r="H102" s="2349">
        <f>1.8629/H101</f>
        <v>3.0046774193548389</v>
      </c>
      <c r="I102" s="2349">
        <f>1.8629/I101</f>
        <v>3.0046774193548389</v>
      </c>
      <c r="J102" s="2349">
        <f>1.942/J101</f>
        <v>3.1322580645161291</v>
      </c>
      <c r="K102" s="2349">
        <f>1.942/K101</f>
        <v>3.1322580645161291</v>
      </c>
      <c r="L102" s="2349">
        <f>1.942/L101</f>
        <v>3.1322580645161291</v>
      </c>
      <c r="M102" s="2349">
        <f>1.942/M101</f>
        <v>3.1322580645161291</v>
      </c>
      <c r="N102" s="2349">
        <f>1.942/N101</f>
        <v>3.1322580645161291</v>
      </c>
    </row>
    <row r="103" spans="1:14">
      <c r="A103" s="3379"/>
      <c r="B103" s="2348">
        <v>2</v>
      </c>
      <c r="C103" s="2349">
        <f>1.4198/C101</f>
        <v>2.29</v>
      </c>
      <c r="D103" s="2349">
        <f>1.4198/D101</f>
        <v>2.29</v>
      </c>
      <c r="E103" s="2349">
        <f>1.3372/E101</f>
        <v>2.1567741935483871</v>
      </c>
      <c r="F103" s="2349">
        <f>1.3372/F101</f>
        <v>2.1567741935483871</v>
      </c>
      <c r="G103" s="2349">
        <f>1.3372/G101</f>
        <v>2.1567741935483871</v>
      </c>
      <c r="H103" s="2349">
        <f>1.3372/H101</f>
        <v>2.1567741935483871</v>
      </c>
      <c r="I103" s="2349">
        <f>1.3372/I101</f>
        <v>2.1567741935483871</v>
      </c>
      <c r="J103" s="2349">
        <f>1.2799/J101</f>
        <v>2.0643548387096775</v>
      </c>
      <c r="K103" s="2349">
        <f>1.2799/K101</f>
        <v>2.0643548387096775</v>
      </c>
      <c r="L103" s="2349">
        <f>1.2799/L101</f>
        <v>2.0643548387096775</v>
      </c>
      <c r="M103" s="2349">
        <f>1.2799/M101</f>
        <v>2.0643548387096775</v>
      </c>
      <c r="N103" s="2349">
        <f>1.2799/N101</f>
        <v>2.0643548387096775</v>
      </c>
    </row>
    <row r="104" spans="1:14">
      <c r="A104" s="3379"/>
      <c r="B104" s="2348">
        <v>3</v>
      </c>
      <c r="C104" s="2349">
        <f>1.1594/C101</f>
        <v>1.8699999999999999</v>
      </c>
      <c r="D104" s="2349">
        <f>1.1594/D101</f>
        <v>1.8699999999999999</v>
      </c>
      <c r="E104" s="2349">
        <f>1.0788/E101</f>
        <v>1.74</v>
      </c>
      <c r="F104" s="2349">
        <f>1.0788/F101</f>
        <v>1.74</v>
      </c>
      <c r="G104" s="2349">
        <f>1.0788/G101</f>
        <v>1.74</v>
      </c>
      <c r="H104" s="2349">
        <f>1.0788/H101</f>
        <v>1.74</v>
      </c>
      <c r="I104" s="2349">
        <f>1.0788/I101</f>
        <v>1.74</v>
      </c>
      <c r="J104" s="2349">
        <f>1.0072/J101</f>
        <v>1.6245161290322583</v>
      </c>
      <c r="K104" s="2349">
        <f>1.0072/K101</f>
        <v>1.6245161290322583</v>
      </c>
      <c r="L104" s="2349">
        <f>1.0072/L101</f>
        <v>1.6245161290322583</v>
      </c>
      <c r="M104" s="2349">
        <f>1.0072/M101</f>
        <v>1.6245161290322583</v>
      </c>
      <c r="N104" s="2349">
        <f>1.0072/N101</f>
        <v>1.6245161290322583</v>
      </c>
    </row>
    <row r="105" spans="1:14">
      <c r="A105" s="3379"/>
      <c r="B105" s="2348">
        <v>4</v>
      </c>
      <c r="C105" s="2349">
        <f>0.9622/C101</f>
        <v>1.5519354838709678</v>
      </c>
      <c r="D105" s="2349">
        <f>0.9622/D101</f>
        <v>1.5519354838709678</v>
      </c>
      <c r="E105" s="2349">
        <f>0.8656/E101</f>
        <v>1.3961290322580646</v>
      </c>
      <c r="F105" s="2349">
        <f>0.8656/F101</f>
        <v>1.3961290322580646</v>
      </c>
      <c r="G105" s="2349">
        <f>0.8656/G101</f>
        <v>1.3961290322580646</v>
      </c>
      <c r="H105" s="2349">
        <f>0.8656/H101</f>
        <v>1.3961290322580646</v>
      </c>
      <c r="I105" s="2349">
        <f>0.8656/I101</f>
        <v>1.3961290322580646</v>
      </c>
      <c r="J105" s="2349">
        <f>0.7525/J101</f>
        <v>1.2137096774193548</v>
      </c>
      <c r="K105" s="2349">
        <f>0.7525/K101</f>
        <v>1.2137096774193548</v>
      </c>
      <c r="L105" s="2349">
        <f>0.7525/L101</f>
        <v>1.2137096774193548</v>
      </c>
      <c r="M105" s="2349">
        <f>0.7525/M101</f>
        <v>1.2137096774193548</v>
      </c>
      <c r="N105" s="2349">
        <f>0.7525/N101</f>
        <v>1.2137096774193548</v>
      </c>
    </row>
    <row r="106" spans="1:14">
      <c r="A106" s="3379"/>
      <c r="B106" s="2348">
        <v>5</v>
      </c>
      <c r="C106" s="2349">
        <f>0.8417/C101</f>
        <v>1.3575806451612904</v>
      </c>
      <c r="D106" s="2349">
        <f>0.8417/D101</f>
        <v>1.3575806451612904</v>
      </c>
      <c r="E106" s="2349">
        <f>0.7371/E101</f>
        <v>1.1888709677419353</v>
      </c>
      <c r="F106" s="2349">
        <f>0.7371/F101</f>
        <v>1.1888709677419353</v>
      </c>
      <c r="G106" s="2349">
        <f>0.7371/G101</f>
        <v>1.1888709677419353</v>
      </c>
      <c r="H106" s="2349">
        <f>0.7371/H101</f>
        <v>1.1888709677419353</v>
      </c>
      <c r="I106" s="2349">
        <f>0.7371/I101</f>
        <v>1.1888709677419353</v>
      </c>
      <c r="J106" s="2349">
        <f>0.5659/J101</f>
        <v>0.91274193548387095</v>
      </c>
      <c r="K106" s="2349">
        <f>0.5659/K101</f>
        <v>0.91274193548387095</v>
      </c>
      <c r="L106" s="2349">
        <f>0.5659/L101</f>
        <v>0.91274193548387095</v>
      </c>
      <c r="M106" s="2349">
        <f>0.5659/M101</f>
        <v>0.91274193548387095</v>
      </c>
      <c r="N106" s="2349">
        <f>0.5659/N101</f>
        <v>0.91274193548387095</v>
      </c>
    </row>
    <row r="107" spans="1:14">
      <c r="A107" s="3379"/>
      <c r="B107" s="2348">
        <v>6</v>
      </c>
      <c r="C107" s="2349">
        <f>0.7608/C101</f>
        <v>1.2270967741935483</v>
      </c>
      <c r="D107" s="2349">
        <f>0.7608/D101</f>
        <v>1.2270967741935483</v>
      </c>
      <c r="E107" s="2349">
        <f>0.6482/E101</f>
        <v>1.0454838709677419</v>
      </c>
      <c r="F107" s="2349">
        <f>0.6482/F101</f>
        <v>1.0454838709677419</v>
      </c>
      <c r="G107" s="2349">
        <f>0.6482/G101</f>
        <v>1.0454838709677419</v>
      </c>
      <c r="H107" s="2349">
        <f>0.6482/H101</f>
        <v>1.0454838709677419</v>
      </c>
      <c r="I107" s="2349">
        <f>0.6482/I101</f>
        <v>1.0454838709677419</v>
      </c>
      <c r="J107" s="2349">
        <f>0.4525/J101</f>
        <v>0.72983870967741937</v>
      </c>
      <c r="K107" s="2349">
        <f>0.4525/K101</f>
        <v>0.72983870967741937</v>
      </c>
      <c r="L107" s="2349">
        <f>0.4525/L101</f>
        <v>0.72983870967741937</v>
      </c>
      <c r="M107" s="2349">
        <f>0.4525/M101</f>
        <v>0.72983870967741937</v>
      </c>
      <c r="N107" s="2349">
        <f>0.4525/N101</f>
        <v>0.72983870967741937</v>
      </c>
    </row>
    <row r="108" spans="1:14">
      <c r="A108" s="3379"/>
      <c r="B108" s="3381" t="s">
        <v>2798</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80"/>
      <c r="B109" s="3382"/>
      <c r="C109" s="2351">
        <f>(-0.163*(C108^2)-0.59*C108+7617)*(10^(-4))/C101</f>
        <v>1.2285483870967742</v>
      </c>
      <c r="D109" s="2351">
        <f>(-0.163*(D108^2)-0.59*D108+7617)*(10^(-4))/D101</f>
        <v>1.2285483870967742</v>
      </c>
      <c r="E109" s="2351">
        <f>(-0.161*(E108^2)-7.509*E108+6533)*(10^(-4))/E101</f>
        <v>1.0537096774193548</v>
      </c>
      <c r="F109" s="2351">
        <f>(-0.161*(F108^2)-7.509*F108+6533)*(10^(-4))/F101</f>
        <v>1.0537096774193548</v>
      </c>
      <c r="G109" s="2351">
        <f>(-0.161*(G108^2)-7.509*G108+6533)*(10^(-4))/G101</f>
        <v>1.0537096774193548</v>
      </c>
      <c r="H109" s="2351">
        <f>(-0.161*(H108^2)-7.509*H108+6533)*(10^(-4))/H101</f>
        <v>1.0537096774193548</v>
      </c>
      <c r="I109" s="2351">
        <f>(-0.161*(I108^2)-7.509*I108+6533)*(10^(-4))/I101</f>
        <v>1.0537096774193548</v>
      </c>
      <c r="J109" s="2351">
        <f>(-0.214*(J108^2)-21.991*J108+4665)*(10^(-4))/J101</f>
        <v>0.7524193548387097</v>
      </c>
      <c r="K109" s="2351">
        <f>(-0.214*(K108^2)-21.991*K108+4665)*(10^(-4))/K101</f>
        <v>0.7524193548387097</v>
      </c>
      <c r="L109" s="2351">
        <f>(-0.214*(L108^2)-21.991*L108+4665)*(10^(-4))/L101</f>
        <v>0.7524193548387097</v>
      </c>
      <c r="M109" s="2351">
        <f>(-0.214*(M108^2)-21.991*M108+4665)*(10^(-4))/M101</f>
        <v>0.7524193548387097</v>
      </c>
      <c r="N109" s="2351">
        <f>(-0.214*(N108^2)-21.991*N108+4665)*(10^(-4))/N101</f>
        <v>0.7524193548387097</v>
      </c>
    </row>
    <row r="110" spans="1:14">
      <c r="A110" s="3376" t="s">
        <v>2799</v>
      </c>
      <c r="B110" s="3376"/>
      <c r="C110" s="3376"/>
      <c r="D110" s="3376"/>
      <c r="E110" s="3376"/>
      <c r="F110" s="3376"/>
      <c r="G110" s="3376"/>
      <c r="H110" s="3376"/>
      <c r="I110" s="3376"/>
      <c r="J110" s="3376"/>
      <c r="K110" s="2354"/>
      <c r="L110" s="2354"/>
      <c r="M110" s="2354"/>
      <c r="N110" s="2354"/>
    </row>
    <row r="112" spans="1:14" ht="13.5" thickBot="1"/>
    <row r="113" spans="1:13" ht="25.5" thickBot="1">
      <c r="A113" s="842" t="s">
        <v>2800</v>
      </c>
      <c r="B113" s="1197">
        <f>G3</f>
        <v>0.62</v>
      </c>
      <c r="C113" s="843" t="s">
        <v>2801</v>
      </c>
      <c r="D113" s="844">
        <f>SUMPRODUCT((A115:A118=F113)*(B114:M114=H113)*B115:M118)</f>
        <v>0</v>
      </c>
      <c r="E113" s="2190" t="s">
        <v>2634</v>
      </c>
      <c r="F113" s="2356">
        <f>E2</f>
        <v>0</v>
      </c>
      <c r="G113" s="2190" t="s">
        <v>2635</v>
      </c>
      <c r="H113" s="2356">
        <f>G2</f>
        <v>0</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2699</v>
      </c>
      <c r="B115" s="849">
        <f>ROUND(0.9335-0.0094*B113,4)</f>
        <v>0.92769999999999997</v>
      </c>
      <c r="C115" s="849">
        <f>B115</f>
        <v>0.92769999999999997</v>
      </c>
      <c r="D115" s="849">
        <f>ROUND(0.8331-0.0109*B113,4)</f>
        <v>0.82630000000000003</v>
      </c>
      <c r="E115" s="849">
        <f>D115</f>
        <v>0.82630000000000003</v>
      </c>
      <c r="F115" s="849">
        <f>E115</f>
        <v>0.82630000000000003</v>
      </c>
      <c r="G115" s="849">
        <f>F115</f>
        <v>0.82630000000000003</v>
      </c>
      <c r="H115" s="849">
        <f>G115</f>
        <v>0.82630000000000003</v>
      </c>
      <c r="I115" s="849">
        <f>ROUND(0.689-0.0155*B113,4)</f>
        <v>0.6794</v>
      </c>
      <c r="J115" s="849">
        <f t="shared" ref="J115:M118" si="33">I115</f>
        <v>0.6794</v>
      </c>
      <c r="K115" s="849">
        <f t="shared" si="33"/>
        <v>0.6794</v>
      </c>
      <c r="L115" s="849">
        <f t="shared" si="33"/>
        <v>0.6794</v>
      </c>
      <c r="M115" s="850">
        <f t="shared" si="33"/>
        <v>0.6794</v>
      </c>
    </row>
    <row r="116" spans="1:13">
      <c r="A116" s="848" t="s">
        <v>2700</v>
      </c>
      <c r="B116" s="849">
        <f>ROUND(0.949-0.012*B113,4)</f>
        <v>0.94159999999999999</v>
      </c>
      <c r="C116" s="849">
        <f>B116</f>
        <v>0.94159999999999999</v>
      </c>
      <c r="D116" s="849">
        <f>ROUND(0.8567-0.013*B113,4)</f>
        <v>0.84860000000000002</v>
      </c>
      <c r="E116" s="849">
        <f t="shared" ref="E116:H117" si="34">D116</f>
        <v>0.84860000000000002</v>
      </c>
      <c r="F116" s="849">
        <f t="shared" si="34"/>
        <v>0.84860000000000002</v>
      </c>
      <c r="G116" s="849">
        <f t="shared" si="34"/>
        <v>0.84860000000000002</v>
      </c>
      <c r="H116" s="849">
        <f t="shared" si="34"/>
        <v>0.84860000000000002</v>
      </c>
      <c r="I116" s="849">
        <f>ROUND(0.7694-0.014*B113,4)</f>
        <v>0.76070000000000004</v>
      </c>
      <c r="J116" s="849">
        <f t="shared" si="33"/>
        <v>0.76070000000000004</v>
      </c>
      <c r="K116" s="849">
        <f t="shared" si="33"/>
        <v>0.76070000000000004</v>
      </c>
      <c r="L116" s="849">
        <f t="shared" si="33"/>
        <v>0.76070000000000004</v>
      </c>
      <c r="M116" s="850">
        <f t="shared" si="33"/>
        <v>0.76070000000000004</v>
      </c>
    </row>
    <row r="117" spans="1:13">
      <c r="A117" s="848" t="s">
        <v>2701</v>
      </c>
      <c r="B117" s="849">
        <f>ROUND(0.8808-0.006*B113,4)</f>
        <v>0.87709999999999999</v>
      </c>
      <c r="C117" s="849">
        <f>B117</f>
        <v>0.87709999999999999</v>
      </c>
      <c r="D117" s="849">
        <f>ROUND(0.8748-0.008*B113,4)</f>
        <v>0.86980000000000002</v>
      </c>
      <c r="E117" s="849">
        <f t="shared" si="34"/>
        <v>0.86980000000000002</v>
      </c>
      <c r="F117" s="849">
        <f t="shared" si="34"/>
        <v>0.86980000000000002</v>
      </c>
      <c r="G117" s="849">
        <f t="shared" si="34"/>
        <v>0.86980000000000002</v>
      </c>
      <c r="H117" s="849">
        <f t="shared" si="34"/>
        <v>0.86980000000000002</v>
      </c>
      <c r="I117" s="849">
        <f>ROUND(0.7412-0.0095*B113,4)</f>
        <v>0.73529999999999995</v>
      </c>
      <c r="J117" s="849">
        <f t="shared" si="33"/>
        <v>0.73529999999999995</v>
      </c>
      <c r="K117" s="849">
        <f t="shared" si="33"/>
        <v>0.73529999999999995</v>
      </c>
      <c r="L117" s="849">
        <f t="shared" si="33"/>
        <v>0.73529999999999995</v>
      </c>
      <c r="M117" s="850">
        <f t="shared" si="33"/>
        <v>0.73529999999999995</v>
      </c>
    </row>
    <row r="118" spans="1:13" ht="13.5" thickBot="1">
      <c r="A118" s="670" t="s">
        <v>2702</v>
      </c>
      <c r="B118" s="851">
        <f>ROUND(0.7275-0.01*B113,4)</f>
        <v>0.72130000000000005</v>
      </c>
      <c r="C118" s="851">
        <f>B118</f>
        <v>0.72130000000000005</v>
      </c>
      <c r="D118" s="851">
        <f>ROUND(0.7043-0.012*B113,4)</f>
        <v>0.69689999999999996</v>
      </c>
      <c r="E118" s="851">
        <f>D118</f>
        <v>0.69689999999999996</v>
      </c>
      <c r="F118" s="851">
        <f>E118</f>
        <v>0.69689999999999996</v>
      </c>
      <c r="G118" s="851">
        <f>ROUND(0.6299-0.0122*B113,4)</f>
        <v>0.62229999999999996</v>
      </c>
      <c r="H118" s="851">
        <f>G118</f>
        <v>0.62229999999999996</v>
      </c>
      <c r="I118" s="851">
        <f>ROUND(0.5667-0.0136*B113,4)</f>
        <v>0.55830000000000002</v>
      </c>
      <c r="J118" s="851">
        <f t="shared" si="33"/>
        <v>0.55830000000000002</v>
      </c>
      <c r="K118" s="851">
        <f t="shared" si="33"/>
        <v>0.55830000000000002</v>
      </c>
      <c r="L118" s="851">
        <f t="shared" si="33"/>
        <v>0.55830000000000002</v>
      </c>
      <c r="M118" s="852">
        <f t="shared" si="33"/>
        <v>0.55830000000000002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9" t="s">
        <v>183</v>
      </c>
      <c r="B18" s="821" t="s">
        <v>560</v>
      </c>
      <c r="C18" s="822" t="s">
        <v>561</v>
      </c>
      <c r="D18" s="823"/>
      <c r="E18" s="821">
        <v>1</v>
      </c>
      <c r="F18" s="824" t="s">
        <v>562</v>
      </c>
      <c r="G18" s="825"/>
      <c r="H18" s="817"/>
      <c r="I18" s="817"/>
    </row>
    <row r="19" spans="1:9" s="826" customFormat="1" ht="19.5" customHeight="1">
      <c r="A19" s="3389"/>
      <c r="B19" s="3389" t="s">
        <v>563</v>
      </c>
      <c r="C19" s="822" t="s">
        <v>564</v>
      </c>
      <c r="D19" s="823"/>
      <c r="E19" s="821">
        <v>0.9</v>
      </c>
      <c r="F19" s="824" t="s">
        <v>565</v>
      </c>
      <c r="G19" s="825"/>
      <c r="H19" s="817"/>
      <c r="I19" s="817"/>
    </row>
    <row r="20" spans="1:9" s="826" customFormat="1" ht="19.5" customHeight="1">
      <c r="A20" s="3389"/>
      <c r="B20" s="3389"/>
      <c r="C20" s="822" t="s">
        <v>566</v>
      </c>
      <c r="D20" s="823"/>
      <c r="E20" s="821">
        <v>1.1000000000000001</v>
      </c>
      <c r="F20" s="824" t="s">
        <v>567</v>
      </c>
      <c r="G20" s="825"/>
      <c r="H20" s="817"/>
      <c r="I20" s="817"/>
    </row>
    <row r="21" spans="1:9" s="826" customFormat="1" ht="19.5" customHeight="1">
      <c r="A21" s="3389"/>
      <c r="B21" s="3389"/>
      <c r="C21" s="822" t="s">
        <v>568</v>
      </c>
      <c r="D21" s="823"/>
      <c r="E21" s="821">
        <v>0.8</v>
      </c>
      <c r="F21" s="824" t="s">
        <v>569</v>
      </c>
      <c r="G21" s="825"/>
      <c r="H21" s="817"/>
      <c r="I21" s="817"/>
    </row>
    <row r="22" spans="1:9" s="826" customFormat="1" ht="19.5" customHeight="1">
      <c r="A22" s="3389"/>
      <c r="B22" s="3389"/>
      <c r="C22" s="822" t="s">
        <v>570</v>
      </c>
      <c r="D22" s="823"/>
      <c r="E22" s="821">
        <v>0.5</v>
      </c>
      <c r="F22" s="824"/>
      <c r="G22" s="825"/>
      <c r="H22" s="817"/>
      <c r="I22" s="817"/>
    </row>
    <row r="23" spans="1:9" s="826" customFormat="1" ht="19.5" customHeight="1">
      <c r="A23" s="3389" t="s">
        <v>184</v>
      </c>
      <c r="B23" s="821" t="s">
        <v>560</v>
      </c>
      <c r="C23" s="822" t="s">
        <v>571</v>
      </c>
      <c r="D23" s="823"/>
      <c r="E23" s="821">
        <v>1</v>
      </c>
      <c r="F23" s="824" t="s">
        <v>572</v>
      </c>
      <c r="G23" s="825"/>
      <c r="H23" s="817"/>
      <c r="I23" s="817"/>
    </row>
    <row r="24" spans="1:9" s="826" customFormat="1" ht="19.5" customHeight="1">
      <c r="A24" s="3389"/>
      <c r="B24" s="3389" t="s">
        <v>563</v>
      </c>
      <c r="C24" s="822" t="s">
        <v>573</v>
      </c>
      <c r="D24" s="823"/>
      <c r="E24" s="821">
        <v>0.5</v>
      </c>
      <c r="F24" s="824"/>
      <c r="G24" s="825"/>
      <c r="H24" s="817"/>
      <c r="I24" s="817"/>
    </row>
    <row r="25" spans="1:9" s="826" customFormat="1" ht="19.5" customHeight="1">
      <c r="A25" s="3389"/>
      <c r="B25" s="3389"/>
      <c r="C25" s="822" t="s">
        <v>574</v>
      </c>
      <c r="D25" s="823"/>
      <c r="E25" s="821">
        <v>1.1000000000000001</v>
      </c>
      <c r="F25" s="824"/>
      <c r="G25" s="825"/>
      <c r="H25" s="817"/>
      <c r="I25" s="817"/>
    </row>
    <row r="26" spans="1:9" s="826" customFormat="1" ht="19.5" customHeight="1">
      <c r="A26" s="3389"/>
      <c r="B26" s="3389"/>
      <c r="C26" s="822" t="s">
        <v>575</v>
      </c>
      <c r="D26" s="823"/>
      <c r="E26" s="821">
        <v>1.1000000000000001</v>
      </c>
      <c r="F26" s="824"/>
      <c r="G26" s="825"/>
      <c r="H26" s="817"/>
      <c r="I26" s="817"/>
    </row>
    <row r="27" spans="1:9" s="826" customFormat="1" ht="19.5" customHeight="1">
      <c r="A27" s="3389"/>
      <c r="B27" s="3389"/>
      <c r="C27" s="822" t="s">
        <v>576</v>
      </c>
      <c r="D27" s="823"/>
      <c r="E27" s="821">
        <v>0.9</v>
      </c>
      <c r="F27" s="824" t="s">
        <v>577</v>
      </c>
      <c r="G27" s="825"/>
      <c r="H27" s="817"/>
      <c r="I27" s="817"/>
    </row>
    <row r="28" spans="1:9" s="826" customFormat="1" ht="19.5" customHeight="1">
      <c r="A28" s="3389"/>
      <c r="B28" s="3389"/>
      <c r="C28" s="822" t="s">
        <v>578</v>
      </c>
      <c r="D28" s="823"/>
      <c r="E28" s="821">
        <v>0.9</v>
      </c>
      <c r="F28" s="824" t="s">
        <v>579</v>
      </c>
      <c r="G28" s="825"/>
      <c r="H28" s="817"/>
      <c r="I28" s="817"/>
    </row>
    <row r="29" spans="1:9" s="826" customFormat="1" ht="19.5" customHeight="1">
      <c r="A29" s="3389"/>
      <c r="B29" s="3389"/>
      <c r="C29" s="822" t="s">
        <v>580</v>
      </c>
      <c r="D29" s="823"/>
      <c r="E29" s="821">
        <v>0.9</v>
      </c>
      <c r="F29" s="824" t="s">
        <v>581</v>
      </c>
      <c r="G29" s="825"/>
      <c r="H29" s="817"/>
      <c r="I29" s="817"/>
    </row>
    <row r="30" spans="1:9" s="826" customFormat="1" ht="19.5" customHeight="1">
      <c r="A30" s="3389"/>
      <c r="B30" s="3389"/>
      <c r="C30" s="822" t="s">
        <v>582</v>
      </c>
      <c r="D30" s="823"/>
      <c r="E30" s="821">
        <v>0.9</v>
      </c>
      <c r="F30" s="824" t="s">
        <v>583</v>
      </c>
      <c r="G30" s="825"/>
      <c r="H30" s="817"/>
      <c r="I30" s="817"/>
    </row>
    <row r="31" spans="1:9" s="826" customFormat="1" ht="19.5" customHeight="1">
      <c r="A31" s="3389"/>
      <c r="B31" s="3389"/>
      <c r="C31" s="822" t="s">
        <v>584</v>
      </c>
      <c r="D31" s="823"/>
      <c r="E31" s="821">
        <v>0.8</v>
      </c>
      <c r="F31" s="824" t="s">
        <v>585</v>
      </c>
      <c r="G31" s="825"/>
      <c r="H31" s="817"/>
      <c r="I31" s="817"/>
    </row>
    <row r="32" spans="1:9" s="826" customFormat="1" ht="19.5" customHeight="1">
      <c r="A32" s="3389"/>
      <c r="B32" s="3389"/>
      <c r="C32" s="822" t="s">
        <v>586</v>
      </c>
      <c r="D32" s="823"/>
      <c r="E32" s="821">
        <v>0.8</v>
      </c>
      <c r="F32" s="824" t="s">
        <v>587</v>
      </c>
      <c r="G32" s="825"/>
      <c r="H32" s="817"/>
      <c r="I32" s="817"/>
    </row>
    <row r="33" spans="1:9" s="826" customFormat="1" ht="19.5" customHeight="1">
      <c r="A33" s="3389" t="s">
        <v>185</v>
      </c>
      <c r="B33" s="821" t="s">
        <v>560</v>
      </c>
      <c r="C33" s="822" t="s">
        <v>588</v>
      </c>
      <c r="D33" s="823"/>
      <c r="E33" s="821">
        <v>1</v>
      </c>
      <c r="F33" s="824" t="s">
        <v>589</v>
      </c>
      <c r="G33" s="825"/>
      <c r="H33" s="817"/>
      <c r="I33" s="817"/>
    </row>
    <row r="34" spans="1:9" s="826" customFormat="1" ht="19.5" customHeight="1">
      <c r="A34" s="3389"/>
      <c r="B34" s="821" t="s">
        <v>563</v>
      </c>
      <c r="C34" s="822" t="s">
        <v>590</v>
      </c>
      <c r="D34" s="823"/>
      <c r="E34" s="821">
        <v>1.5</v>
      </c>
      <c r="F34" s="824" t="s">
        <v>591</v>
      </c>
      <c r="G34" s="825"/>
      <c r="H34" s="817"/>
      <c r="I34" s="817"/>
    </row>
    <row r="35" spans="1:9" s="826" customFormat="1" ht="19.5" customHeight="1">
      <c r="A35" s="3389" t="s">
        <v>186</v>
      </c>
      <c r="B35" s="821" t="s">
        <v>560</v>
      </c>
      <c r="C35" s="822" t="s">
        <v>592</v>
      </c>
      <c r="D35" s="823"/>
      <c r="E35" s="821">
        <v>1</v>
      </c>
      <c r="F35" s="824" t="s">
        <v>593</v>
      </c>
      <c r="G35" s="825"/>
      <c r="H35" s="817"/>
      <c r="I35" s="817"/>
    </row>
    <row r="36" spans="1:9" s="826" customFormat="1" ht="19.5" customHeight="1">
      <c r="A36" s="3389"/>
      <c r="B36" s="3389" t="s">
        <v>563</v>
      </c>
      <c r="C36" s="822" t="s">
        <v>594</v>
      </c>
      <c r="D36" s="823"/>
      <c r="E36" s="821">
        <v>1</v>
      </c>
      <c r="F36" s="824" t="s">
        <v>595</v>
      </c>
      <c r="G36" s="825"/>
      <c r="H36" s="817"/>
      <c r="I36" s="817"/>
    </row>
    <row r="37" spans="1:9" s="826" customFormat="1" ht="19.5" customHeight="1">
      <c r="A37" s="3389"/>
      <c r="B37" s="3389"/>
      <c r="C37" s="822" t="s">
        <v>596</v>
      </c>
      <c r="D37" s="823"/>
      <c r="E37" s="821">
        <v>1.5</v>
      </c>
      <c r="F37" s="824" t="s">
        <v>597</v>
      </c>
      <c r="G37" s="825"/>
      <c r="H37" s="817"/>
      <c r="I37" s="817"/>
    </row>
    <row r="38" spans="1:9" s="826" customFormat="1" ht="19.5" customHeight="1">
      <c r="A38" s="3389"/>
      <c r="B38" s="3389"/>
      <c r="C38" s="822" t="s">
        <v>598</v>
      </c>
      <c r="D38" s="823"/>
      <c r="E38" s="821">
        <v>1</v>
      </c>
      <c r="F38" s="824" t="s">
        <v>599</v>
      </c>
      <c r="G38" s="825"/>
      <c r="H38" s="817"/>
      <c r="I38" s="817"/>
    </row>
    <row r="39" spans="1:9" s="826" customFormat="1" ht="19.5" customHeight="1">
      <c r="A39" s="3389"/>
      <c r="B39" s="338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9" t="s">
        <v>614</v>
      </c>
      <c r="C61" s="757" t="s">
        <v>615</v>
      </c>
      <c r="D61" s="757" t="s">
        <v>616</v>
      </c>
      <c r="E61" s="834">
        <v>0.5</v>
      </c>
      <c r="F61" s="821">
        <v>80</v>
      </c>
    </row>
    <row r="62" spans="1:8" s="817" customFormat="1" ht="24">
      <c r="A62" s="821">
        <v>2</v>
      </c>
      <c r="B62" s="3389"/>
      <c r="C62" s="757" t="s">
        <v>617</v>
      </c>
      <c r="D62" s="757" t="s">
        <v>618</v>
      </c>
      <c r="E62" s="834">
        <v>0.5</v>
      </c>
      <c r="F62" s="821">
        <v>80</v>
      </c>
    </row>
    <row r="63" spans="1:8" s="817" customFormat="1" ht="36">
      <c r="A63" s="821">
        <v>3</v>
      </c>
      <c r="B63" s="3389"/>
      <c r="C63" s="757" t="s">
        <v>619</v>
      </c>
      <c r="D63" s="757" t="s">
        <v>620</v>
      </c>
      <c r="E63" s="834">
        <v>0.5</v>
      </c>
      <c r="F63" s="821">
        <v>80</v>
      </c>
    </row>
    <row r="64" spans="1:8" s="817" customFormat="1" ht="36">
      <c r="A64" s="821">
        <v>4</v>
      </c>
      <c r="B64" s="3389"/>
      <c r="C64" s="757" t="s">
        <v>621</v>
      </c>
      <c r="D64" s="757" t="s">
        <v>622</v>
      </c>
      <c r="E64" s="834">
        <v>0.4</v>
      </c>
      <c r="F64" s="821">
        <v>60</v>
      </c>
    </row>
    <row r="65" spans="1:6" s="817" customFormat="1" ht="36">
      <c r="A65" s="821">
        <v>5</v>
      </c>
      <c r="B65" s="3389"/>
      <c r="C65" s="757" t="s">
        <v>623</v>
      </c>
      <c r="D65" s="757" t="s">
        <v>624</v>
      </c>
      <c r="E65" s="834">
        <v>0.2</v>
      </c>
      <c r="F65" s="821">
        <v>30</v>
      </c>
    </row>
    <row r="66" spans="1:6" s="817" customFormat="1" ht="36">
      <c r="A66" s="821">
        <v>6</v>
      </c>
      <c r="B66" s="3389"/>
      <c r="C66" s="757" t="s">
        <v>625</v>
      </c>
      <c r="D66" s="757" t="s">
        <v>626</v>
      </c>
      <c r="E66" s="834">
        <v>0.3</v>
      </c>
      <c r="F66" s="821">
        <v>50</v>
      </c>
    </row>
    <row r="67" spans="1:6" s="817" customFormat="1" ht="36">
      <c r="A67" s="821">
        <v>7</v>
      </c>
      <c r="B67" s="3389"/>
      <c r="C67" s="757" t="s">
        <v>627</v>
      </c>
      <c r="D67" s="757" t="s">
        <v>628</v>
      </c>
      <c r="E67" s="834">
        <v>0.2</v>
      </c>
      <c r="F67" s="821">
        <v>30</v>
      </c>
    </row>
    <row r="68" spans="1:6" s="817" customFormat="1" ht="36">
      <c r="A68" s="821">
        <v>8</v>
      </c>
      <c r="B68" s="3389"/>
      <c r="C68" s="757" t="s">
        <v>629</v>
      </c>
      <c r="D68" s="757" t="s">
        <v>630</v>
      </c>
      <c r="E68" s="834">
        <v>0.2</v>
      </c>
      <c r="F68" s="821">
        <v>30</v>
      </c>
    </row>
    <row r="69" spans="1:6" s="817" customFormat="1" ht="36">
      <c r="A69" s="821">
        <v>9</v>
      </c>
      <c r="B69" s="3389"/>
      <c r="C69" s="757" t="s">
        <v>631</v>
      </c>
      <c r="D69" s="757" t="s">
        <v>632</v>
      </c>
      <c r="E69" s="834">
        <v>0.2</v>
      </c>
      <c r="F69" s="821">
        <v>30</v>
      </c>
    </row>
    <row r="70" spans="1:6" s="817" customFormat="1" ht="48">
      <c r="A70" s="821">
        <v>10</v>
      </c>
      <c r="B70" s="3389"/>
      <c r="C70" s="757" t="s">
        <v>633</v>
      </c>
      <c r="D70" s="757" t="s">
        <v>634</v>
      </c>
      <c r="E70" s="834">
        <v>0.2</v>
      </c>
      <c r="F70" s="821">
        <v>30</v>
      </c>
    </row>
    <row r="71" spans="1:6" s="817" customFormat="1" ht="48">
      <c r="A71" s="821">
        <v>11</v>
      </c>
      <c r="B71" s="3389"/>
      <c r="C71" s="757" t="s">
        <v>635</v>
      </c>
      <c r="D71" s="757" t="s">
        <v>636</v>
      </c>
      <c r="E71" s="834">
        <v>0.2</v>
      </c>
      <c r="F71" s="821">
        <v>30</v>
      </c>
    </row>
    <row r="72" spans="1:6" s="817" customFormat="1" ht="36">
      <c r="A72" s="821">
        <v>12</v>
      </c>
      <c r="B72" s="3389"/>
      <c r="C72" s="757" t="s">
        <v>637</v>
      </c>
      <c r="D72" s="757" t="s">
        <v>638</v>
      </c>
      <c r="E72" s="834">
        <v>0.5</v>
      </c>
      <c r="F72" s="821">
        <v>80</v>
      </c>
    </row>
    <row r="73" spans="1:6" s="817" customFormat="1" ht="24">
      <c r="A73" s="821">
        <v>13</v>
      </c>
      <c r="B73" s="3389"/>
      <c r="C73" s="757" t="s">
        <v>639</v>
      </c>
      <c r="D73" s="757" t="s">
        <v>640</v>
      </c>
      <c r="E73" s="834">
        <v>0.4</v>
      </c>
      <c r="F73" s="821">
        <v>60</v>
      </c>
    </row>
    <row r="74" spans="1:6" s="817" customFormat="1" ht="24">
      <c r="A74" s="821">
        <v>14</v>
      </c>
      <c r="B74" s="3389"/>
      <c r="C74" s="757" t="s">
        <v>641</v>
      </c>
      <c r="D74" s="757" t="s">
        <v>642</v>
      </c>
      <c r="E74" s="834">
        <v>0.2</v>
      </c>
      <c r="F74" s="821">
        <v>30</v>
      </c>
    </row>
    <row r="75" spans="1:6" s="817" customFormat="1" ht="24">
      <c r="A75" s="821">
        <v>15</v>
      </c>
      <c r="B75" s="3389"/>
      <c r="C75" s="757" t="s">
        <v>643</v>
      </c>
      <c r="D75" s="757" t="s">
        <v>644</v>
      </c>
      <c r="E75" s="834">
        <v>0.2</v>
      </c>
      <c r="F75" s="821">
        <v>30</v>
      </c>
    </row>
    <row r="76" spans="1:6" s="817" customFormat="1" ht="24">
      <c r="A76" s="821">
        <v>16</v>
      </c>
      <c r="B76" s="3389" t="s">
        <v>645</v>
      </c>
      <c r="C76" s="757" t="s">
        <v>646</v>
      </c>
      <c r="D76" s="757" t="s">
        <v>647</v>
      </c>
      <c r="E76" s="834">
        <v>0.5</v>
      </c>
      <c r="F76" s="821">
        <v>80</v>
      </c>
    </row>
    <row r="77" spans="1:6" s="817" customFormat="1" ht="24">
      <c r="A77" s="821">
        <v>17</v>
      </c>
      <c r="B77" s="3389"/>
      <c r="C77" s="757" t="s">
        <v>648</v>
      </c>
      <c r="D77" s="757" t="s">
        <v>649</v>
      </c>
      <c r="E77" s="834">
        <v>0.5</v>
      </c>
      <c r="F77" s="821">
        <v>80</v>
      </c>
    </row>
    <row r="78" spans="1:6" s="817" customFormat="1" ht="24">
      <c r="A78" s="821">
        <v>18</v>
      </c>
      <c r="B78" s="3389"/>
      <c r="C78" s="757" t="s">
        <v>650</v>
      </c>
      <c r="D78" s="757" t="s">
        <v>651</v>
      </c>
      <c r="E78" s="834">
        <v>0.2</v>
      </c>
      <c r="F78" s="821">
        <v>30</v>
      </c>
    </row>
    <row r="79" spans="1:6" s="817" customFormat="1" ht="24">
      <c r="A79" s="821">
        <v>19</v>
      </c>
      <c r="B79" s="3389"/>
      <c r="C79" s="757" t="s">
        <v>652</v>
      </c>
      <c r="D79" s="757" t="s">
        <v>653</v>
      </c>
      <c r="E79" s="834">
        <v>0.5</v>
      </c>
      <c r="F79" s="821">
        <v>80</v>
      </c>
    </row>
    <row r="80" spans="1:6" s="817" customFormat="1" ht="36">
      <c r="A80" s="821">
        <v>20</v>
      </c>
      <c r="B80" s="3389"/>
      <c r="C80" s="757" t="s">
        <v>654</v>
      </c>
      <c r="D80" s="757" t="s">
        <v>655</v>
      </c>
      <c r="E80" s="834">
        <v>0.2</v>
      </c>
      <c r="F80" s="821">
        <v>30</v>
      </c>
    </row>
    <row r="81" spans="1:6" s="817" customFormat="1" ht="36">
      <c r="A81" s="821">
        <v>21</v>
      </c>
      <c r="B81" s="3389"/>
      <c r="C81" s="757" t="s">
        <v>656</v>
      </c>
      <c r="D81" s="757" t="s">
        <v>657</v>
      </c>
      <c r="E81" s="834">
        <v>0.2</v>
      </c>
      <c r="F81" s="821">
        <v>30</v>
      </c>
    </row>
    <row r="82" spans="1:6" s="817" customFormat="1" ht="48">
      <c r="A82" s="821">
        <v>22</v>
      </c>
      <c r="B82" s="3389"/>
      <c r="C82" s="757" t="s">
        <v>658</v>
      </c>
      <c r="D82" s="757" t="s">
        <v>659</v>
      </c>
      <c r="E82" s="834">
        <v>0.2</v>
      </c>
      <c r="F82" s="821">
        <v>30</v>
      </c>
    </row>
    <row r="83" spans="1:6" s="817" customFormat="1" ht="48">
      <c r="A83" s="821">
        <v>23</v>
      </c>
      <c r="B83" s="3389"/>
      <c r="C83" s="757" t="s">
        <v>660</v>
      </c>
      <c r="D83" s="757" t="s">
        <v>661</v>
      </c>
      <c r="E83" s="834">
        <v>0.2</v>
      </c>
      <c r="F83" s="821">
        <v>30</v>
      </c>
    </row>
    <row r="84" spans="1:6" s="817" customFormat="1" ht="36">
      <c r="A84" s="821">
        <v>24</v>
      </c>
      <c r="B84" s="3389"/>
      <c r="C84" s="757" t="s">
        <v>662</v>
      </c>
      <c r="D84" s="757" t="s">
        <v>663</v>
      </c>
      <c r="E84" s="834">
        <v>0.2</v>
      </c>
      <c r="F84" s="821">
        <v>30</v>
      </c>
    </row>
    <row r="85" spans="1:6" s="817" customFormat="1" ht="36">
      <c r="A85" s="821">
        <v>25</v>
      </c>
      <c r="B85" s="3389"/>
      <c r="C85" s="757" t="s">
        <v>664</v>
      </c>
      <c r="D85" s="757" t="s">
        <v>665</v>
      </c>
      <c r="E85" s="834">
        <v>0.5</v>
      </c>
      <c r="F85" s="821">
        <v>80</v>
      </c>
    </row>
    <row r="86" spans="1:6" s="817" customFormat="1" ht="36">
      <c r="A86" s="821">
        <v>26</v>
      </c>
      <c r="B86" s="3389"/>
      <c r="C86" s="757" t="s">
        <v>666</v>
      </c>
      <c r="D86" s="757" t="s">
        <v>667</v>
      </c>
      <c r="E86" s="834">
        <v>0.2</v>
      </c>
      <c r="F86" s="821">
        <v>30</v>
      </c>
    </row>
    <row r="87" spans="1:6" s="817" customFormat="1" ht="36">
      <c r="A87" s="821">
        <v>27</v>
      </c>
      <c r="B87" s="3389"/>
      <c r="C87" s="757" t="s">
        <v>668</v>
      </c>
      <c r="D87" s="757" t="s">
        <v>669</v>
      </c>
      <c r="E87" s="834">
        <v>0.2</v>
      </c>
      <c r="F87" s="821">
        <v>30</v>
      </c>
    </row>
    <row r="88" spans="1:6" s="817" customFormat="1" ht="36">
      <c r="A88" s="821">
        <v>28</v>
      </c>
      <c r="B88" s="3389"/>
      <c r="C88" s="757" t="s">
        <v>670</v>
      </c>
      <c r="D88" s="757" t="s">
        <v>671</v>
      </c>
      <c r="E88" s="834">
        <v>0.2</v>
      </c>
      <c r="F88" s="821">
        <v>30</v>
      </c>
    </row>
    <row r="89" spans="1:6" s="817" customFormat="1" ht="24">
      <c r="A89" s="821">
        <v>29</v>
      </c>
      <c r="B89" s="3389"/>
      <c r="C89" s="757" t="s">
        <v>672</v>
      </c>
      <c r="D89" s="757" t="s">
        <v>673</v>
      </c>
      <c r="E89" s="834">
        <v>0.2</v>
      </c>
      <c r="F89" s="821">
        <v>30</v>
      </c>
    </row>
    <row r="90" spans="1:6" s="817" customFormat="1" ht="24">
      <c r="A90" s="821">
        <v>30</v>
      </c>
      <c r="B90" s="3389"/>
      <c r="C90" s="757" t="s">
        <v>674</v>
      </c>
      <c r="D90" s="757" t="s">
        <v>675</v>
      </c>
      <c r="E90" s="834">
        <v>0.2</v>
      </c>
      <c r="F90" s="821">
        <v>30</v>
      </c>
    </row>
    <row r="91" spans="1:6" s="817" customFormat="1" ht="36">
      <c r="A91" s="821">
        <v>31</v>
      </c>
      <c r="B91" s="3389"/>
      <c r="C91" s="757" t="s">
        <v>676</v>
      </c>
      <c r="D91" s="757" t="s">
        <v>677</v>
      </c>
      <c r="E91" s="834">
        <v>0.2</v>
      </c>
      <c r="F91" s="821">
        <v>30</v>
      </c>
    </row>
    <row r="92" spans="1:6" s="817" customFormat="1" ht="24">
      <c r="A92" s="821">
        <v>32</v>
      </c>
      <c r="B92" s="3389" t="s">
        <v>678</v>
      </c>
      <c r="C92" s="821" t="s">
        <v>679</v>
      </c>
      <c r="D92" s="757" t="s">
        <v>680</v>
      </c>
      <c r="E92" s="834">
        <v>0.2</v>
      </c>
      <c r="F92" s="821">
        <v>30</v>
      </c>
    </row>
    <row r="93" spans="1:6" s="817" customFormat="1" ht="36">
      <c r="A93" s="821">
        <v>33</v>
      </c>
      <c r="B93" s="3389"/>
      <c r="C93" s="821" t="s">
        <v>681</v>
      </c>
      <c r="D93" s="757" t="s">
        <v>682</v>
      </c>
      <c r="E93" s="834">
        <v>0.2</v>
      </c>
      <c r="F93" s="821">
        <v>30</v>
      </c>
    </row>
    <row r="94" spans="1:6" s="817" customFormat="1" ht="48">
      <c r="A94" s="821">
        <v>34</v>
      </c>
      <c r="B94" s="3389"/>
      <c r="C94" s="821" t="s">
        <v>683</v>
      </c>
      <c r="D94" s="757" t="s">
        <v>684</v>
      </c>
      <c r="E94" s="834">
        <v>0.2</v>
      </c>
      <c r="F94" s="821">
        <v>30</v>
      </c>
    </row>
    <row r="95" spans="1:6" s="817" customFormat="1" ht="36">
      <c r="A95" s="821">
        <v>35</v>
      </c>
      <c r="B95" s="3389"/>
      <c r="C95" s="821" t="s">
        <v>685</v>
      </c>
      <c r="D95" s="757" t="s">
        <v>686</v>
      </c>
      <c r="E95" s="834">
        <v>0.2</v>
      </c>
      <c r="F95" s="821">
        <v>30</v>
      </c>
    </row>
    <row r="96" spans="1:6" s="817" customFormat="1" ht="48">
      <c r="A96" s="821">
        <v>36</v>
      </c>
      <c r="B96" s="3389"/>
      <c r="C96" s="757" t="s">
        <v>687</v>
      </c>
      <c r="D96" s="757" t="s">
        <v>688</v>
      </c>
      <c r="E96" s="834">
        <v>0.2</v>
      </c>
      <c r="F96" s="821">
        <v>30</v>
      </c>
    </row>
    <row r="97" spans="1:6" s="817" customFormat="1" ht="36">
      <c r="A97" s="821">
        <v>37</v>
      </c>
      <c r="B97" s="3389"/>
      <c r="C97" s="821" t="s">
        <v>689</v>
      </c>
      <c r="D97" s="757" t="s">
        <v>690</v>
      </c>
      <c r="E97" s="834">
        <v>0.2</v>
      </c>
      <c r="F97" s="821">
        <v>30</v>
      </c>
    </row>
    <row r="98" spans="1:6" s="817" customFormat="1" ht="36">
      <c r="A98" s="821">
        <v>38</v>
      </c>
      <c r="B98" s="3389"/>
      <c r="C98" s="821" t="s">
        <v>691</v>
      </c>
      <c r="D98" s="757" t="s">
        <v>692</v>
      </c>
      <c r="E98" s="834">
        <v>0.2</v>
      </c>
      <c r="F98" s="821">
        <v>30</v>
      </c>
    </row>
    <row r="99" spans="1:6" s="817" customFormat="1" ht="36">
      <c r="A99" s="821">
        <v>39</v>
      </c>
      <c r="B99" s="3389" t="s">
        <v>693</v>
      </c>
      <c r="C99" s="821" t="s">
        <v>694</v>
      </c>
      <c r="D99" s="757" t="s">
        <v>695</v>
      </c>
      <c r="E99" s="834">
        <v>0.3</v>
      </c>
      <c r="F99" s="821">
        <v>50</v>
      </c>
    </row>
    <row r="100" spans="1:6" s="817" customFormat="1" ht="24">
      <c r="A100" s="821">
        <v>40</v>
      </c>
      <c r="B100" s="3389"/>
      <c r="C100" s="821" t="s">
        <v>696</v>
      </c>
      <c r="D100" s="757" t="s">
        <v>697</v>
      </c>
      <c r="E100" s="834">
        <v>0.2</v>
      </c>
      <c r="F100" s="821">
        <v>30</v>
      </c>
    </row>
    <row r="101" spans="1:6" s="817" customFormat="1" ht="36">
      <c r="A101" s="821">
        <v>41</v>
      </c>
      <c r="B101" s="338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9" t="s">
        <v>708</v>
      </c>
      <c r="C105" s="821" t="s">
        <v>709</v>
      </c>
      <c r="D105" s="757" t="s">
        <v>710</v>
      </c>
      <c r="E105" s="834">
        <v>0.2</v>
      </c>
      <c r="F105" s="821">
        <v>30</v>
      </c>
    </row>
    <row r="106" spans="1:6" s="817" customFormat="1" ht="36">
      <c r="A106" s="821">
        <v>46</v>
      </c>
      <c r="B106" s="3389"/>
      <c r="C106" s="821" t="s">
        <v>711</v>
      </c>
      <c r="D106" s="757" t="s">
        <v>712</v>
      </c>
      <c r="E106" s="834">
        <v>0.2</v>
      </c>
      <c r="F106" s="821">
        <v>30</v>
      </c>
    </row>
    <row r="107" spans="1:6" s="817" customFormat="1" ht="36">
      <c r="A107" s="821">
        <v>47</v>
      </c>
      <c r="B107" s="3389" t="s">
        <v>713</v>
      </c>
      <c r="C107" s="821" t="s">
        <v>714</v>
      </c>
      <c r="D107" s="757" t="s">
        <v>715</v>
      </c>
      <c r="E107" s="834">
        <v>0.3</v>
      </c>
      <c r="F107" s="821">
        <v>50</v>
      </c>
    </row>
    <row r="108" spans="1:6" s="817" customFormat="1" ht="36">
      <c r="A108" s="821">
        <v>48</v>
      </c>
      <c r="B108" s="338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9" t="s">
        <v>724</v>
      </c>
      <c r="C111" s="821" t="s">
        <v>725</v>
      </c>
      <c r="D111" s="757" t="s">
        <v>726</v>
      </c>
      <c r="E111" s="834">
        <v>0.2</v>
      </c>
      <c r="F111" s="821">
        <v>30</v>
      </c>
    </row>
    <row r="112" spans="1:6" s="817" customFormat="1" ht="24">
      <c r="A112" s="821">
        <v>52</v>
      </c>
      <c r="B112" s="3389"/>
      <c r="C112" s="821" t="s">
        <v>727</v>
      </c>
      <c r="D112" s="757" t="s">
        <v>728</v>
      </c>
      <c r="E112" s="834">
        <v>0.2</v>
      </c>
      <c r="F112" s="821">
        <v>30</v>
      </c>
    </row>
    <row r="113" spans="1:6" s="817" customFormat="1" ht="24">
      <c r="A113" s="821">
        <v>53</v>
      </c>
      <c r="B113" s="338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9" t="s">
        <v>737</v>
      </c>
      <c r="C116" s="821" t="s">
        <v>738</v>
      </c>
      <c r="D116" s="757" t="s">
        <v>739</v>
      </c>
      <c r="E116" s="834">
        <v>0.2</v>
      </c>
      <c r="F116" s="821">
        <v>30</v>
      </c>
    </row>
    <row r="117" spans="1:6" ht="36">
      <c r="A117" s="821">
        <v>57</v>
      </c>
      <c r="B117" s="338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680"/>
      <c r="B4" s="3066" t="s">
        <v>1595</v>
      </c>
      <c r="C4" s="3066"/>
      <c r="D4" s="3066"/>
      <c r="E4" s="1680"/>
    </row>
    <row r="5" spans="1:5" ht="16.5" thickTop="1">
      <c r="A5" s="1678"/>
      <c r="B5" s="3064" t="s">
        <v>1587</v>
      </c>
      <c r="C5" s="1681" t="s">
        <v>1588</v>
      </c>
      <c r="D5" s="959">
        <f ca="1">结果表!H101</f>
        <v>12320</v>
      </c>
      <c r="E5" s="1678"/>
    </row>
    <row r="6" spans="1:5" ht="15.75">
      <c r="A6" s="1678"/>
      <c r="B6" s="3064"/>
      <c r="C6" s="1681" t="s">
        <v>1589</v>
      </c>
      <c r="D6" s="959" t="str">
        <f ca="1">NUMBERSTRING(INT(D5*10000),2)&amp;"元整"</f>
        <v>壹亿贰仟叁佰贰拾万元整</v>
      </c>
      <c r="E6" s="1678"/>
    </row>
    <row r="7" spans="1:5" ht="15.75">
      <c r="A7" s="1678"/>
      <c r="B7" s="3069"/>
      <c r="C7" s="1682" t="s">
        <v>1590</v>
      </c>
      <c r="D7" s="960">
        <f ca="1">结果表!H102</f>
        <v>8908</v>
      </c>
      <c r="E7" s="1678"/>
    </row>
    <row r="8" spans="1:5" ht="15.75">
      <c r="A8" s="1678"/>
      <c r="B8" s="3070" t="str">
        <f>结果表!E103</f>
        <v>2.估价师知悉的法定优先受偿款</v>
      </c>
      <c r="C8" s="1683" t="s">
        <v>1591</v>
      </c>
      <c r="D8" s="960">
        <f>结果表!H103</f>
        <v>0</v>
      </c>
      <c r="E8" s="1678"/>
    </row>
    <row r="9" spans="1:5" ht="15.75">
      <c r="A9" s="1678"/>
      <c r="B9" s="3072"/>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3" t="str">
        <f>结果表!E107</f>
        <v>3.房地产抵押价值</v>
      </c>
      <c r="C13" s="1686" t="s">
        <v>1588</v>
      </c>
      <c r="D13" s="962">
        <f ca="1">结果表!H107</f>
        <v>12320</v>
      </c>
      <c r="E13" s="1678"/>
    </row>
    <row r="14" spans="1:5" ht="15.75">
      <c r="A14" s="1678"/>
      <c r="B14" s="3064"/>
      <c r="C14" s="1681" t="s">
        <v>1589</v>
      </c>
      <c r="D14" s="959" t="str">
        <f ca="1">NUMBERSTRING(INT(D13*10000),2)&amp;"元整"</f>
        <v>壹亿贰仟叁佰贰拾万元整</v>
      </c>
      <c r="E14" s="1678"/>
    </row>
    <row r="15" spans="1:5" ht="15">
      <c r="A15" s="1678"/>
      <c r="B15" s="3069"/>
      <c r="C15" s="1682" t="s">
        <v>1599</v>
      </c>
      <c r="D15" s="968">
        <f ca="1">结果表!H108</f>
        <v>8908</v>
      </c>
      <c r="E15" s="1678"/>
    </row>
    <row r="16" spans="1:5" ht="15">
      <c r="A16" s="1678"/>
      <c r="B16" s="3070" t="str">
        <f>结果表!E109</f>
        <v>——</v>
      </c>
      <c r="C16" s="1686" t="s">
        <v>1600</v>
      </c>
      <c r="D16" s="1687" t="str">
        <f>结果表!H109</f>
        <v>——</v>
      </c>
      <c r="E16" s="1678"/>
    </row>
    <row r="17" spans="1:5" ht="15.75">
      <c r="A17" s="1678"/>
      <c r="B17" s="3071"/>
      <c r="C17" s="1681" t="s">
        <v>1601</v>
      </c>
      <c r="D17" s="959" t="e">
        <f>NUMBERSTRING(INT(D16*10000),2)&amp;"元整"</f>
        <v>#VALUE!</v>
      </c>
      <c r="E17" s="1678"/>
    </row>
    <row r="18" spans="1:5" ht="15">
      <c r="A18" s="1678"/>
      <c r="B18" s="3072"/>
      <c r="C18" s="1682" t="s">
        <v>1590</v>
      </c>
      <c r="D18" s="968" t="str">
        <f>结果表!H110</f>
        <v>——</v>
      </c>
      <c r="E18" s="1678"/>
    </row>
    <row r="19" spans="1:5" ht="15.75">
      <c r="A19" s="1678"/>
      <c r="B19" s="3063" t="str">
        <f>结果表!E111</f>
        <v>——</v>
      </c>
      <c r="C19" s="1686" t="s">
        <v>1588</v>
      </c>
      <c r="D19" s="960" t="str">
        <f>结果表!H111</f>
        <v>——</v>
      </c>
      <c r="E19" s="1678"/>
    </row>
    <row r="20" spans="1:5" ht="15.75">
      <c r="A20" s="1678"/>
      <c r="B20" s="3064"/>
      <c r="C20" s="1681" t="s">
        <v>1601</v>
      </c>
      <c r="D20" s="959" t="e">
        <f>NUMBERSTRING(INT(D19*10000),2)&amp;"元整"</f>
        <v>#VALUE!</v>
      </c>
      <c r="E20" s="1678"/>
    </row>
    <row r="21" spans="1:5" ht="15.75" thickBot="1">
      <c r="A21" s="1678"/>
      <c r="B21" s="3065"/>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t="e">
        <f ca="1">SUMIF(B6:B13,"&lt;&gt;#ref!",B6:B13)</f>
        <v>#DIV/0!</v>
      </c>
      <c r="C2" s="2363" t="s">
        <v>2815</v>
      </c>
      <c r="D2" s="2363" t="s">
        <v>2816</v>
      </c>
      <c r="E2" s="2840">
        <f ca="1">SUMIF(E6:E13,"&lt;&gt;#ref!",E6:E13)</f>
        <v>0</v>
      </c>
      <c r="F2" s="3026"/>
      <c r="G2" s="3026"/>
      <c r="H2" s="3026"/>
      <c r="I2" s="3026"/>
      <c r="J2" s="3026"/>
      <c r="K2" s="3026"/>
      <c r="L2" s="3026"/>
      <c r="M2" s="3026"/>
      <c r="N2" s="3026"/>
      <c r="O2" s="3026"/>
      <c r="P2" s="3026"/>
    </row>
    <row r="3" spans="1:16" ht="15.75">
      <c r="A3" s="2363" t="s">
        <v>2817</v>
      </c>
      <c r="B3" s="2830" t="e">
        <f ca="1">ROUND(B2*10000/E2,0)</f>
        <v>#DIV/0!</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t="e">
        <f ca="1">SUMIF(INDIRECT("'"&amp;A6&amp;"'"&amp;"!A:A"),"总价",INDIRECT("'"&amp;A6&amp;"'"&amp;"!B:B"))</f>
        <v>#DIV/0!</v>
      </c>
      <c r="C6" s="2363" t="s">
        <v>2815</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K38" sqref="K38"/>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95" t="s">
        <v>1117</v>
      </c>
      <c r="C1" s="3395"/>
      <c r="D1" s="3395"/>
      <c r="E1" s="3395"/>
      <c r="F1" s="3395"/>
      <c r="G1" s="3394" t="s">
        <v>1118</v>
      </c>
      <c r="H1" s="3394"/>
      <c r="I1" s="3394"/>
      <c r="J1" s="3394"/>
      <c r="K1" s="3394"/>
      <c r="L1" s="3394"/>
      <c r="N1" s="3394" t="s">
        <v>1119</v>
      </c>
      <c r="O1" s="3394"/>
      <c r="P1" s="3394"/>
      <c r="Q1" s="3394"/>
      <c r="S1" s="3394" t="s">
        <v>1120</v>
      </c>
      <c r="T1" s="3394"/>
      <c r="U1" s="3394"/>
      <c r="V1" s="3394"/>
      <c r="X1" s="3393" t="s">
        <v>1121</v>
      </c>
      <c r="Y1" s="3394"/>
      <c r="Z1" s="3394"/>
      <c r="AA1" s="3394"/>
      <c r="AB1" s="3394"/>
      <c r="AD1" s="3393" t="s">
        <v>1122</v>
      </c>
      <c r="AE1" s="3394"/>
      <c r="AF1" s="3394"/>
      <c r="AG1" s="3394"/>
      <c r="AH1" s="339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3058</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91">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91"/>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91"/>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400"/>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396">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91"/>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91"/>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400"/>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96">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91"/>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91"/>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92"/>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90">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91"/>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91"/>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92"/>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90">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91"/>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91"/>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92"/>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97">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98"/>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98"/>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99"/>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90">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91"/>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91"/>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92"/>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90">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91">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91">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92">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90">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91">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91">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92">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90">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91">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91">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92">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90">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91">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91">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92">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90">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91">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91">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92">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90">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91">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91">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92">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90">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91">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91">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92">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90">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91">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91">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92">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90">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91">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91">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92">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90">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91">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91">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92">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4" t="s">
        <v>2825</v>
      </c>
      <c r="D1" s="3405"/>
      <c r="E1" s="3405"/>
      <c r="F1" s="3405"/>
      <c r="G1" s="3405"/>
      <c r="H1" s="3405"/>
      <c r="I1" s="3405"/>
      <c r="J1" s="3405"/>
      <c r="K1" s="3405"/>
      <c r="L1" s="3405"/>
      <c r="M1" s="3405"/>
      <c r="N1" s="3405"/>
      <c r="O1" s="3405"/>
      <c r="P1" s="3405"/>
      <c r="Q1" s="3405"/>
      <c r="R1" s="3405"/>
      <c r="S1" s="3406"/>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1" t="s">
        <v>33</v>
      </c>
      <c r="D22" s="3402"/>
      <c r="E22" s="3402"/>
      <c r="F22" s="3402"/>
      <c r="G22" s="3402"/>
      <c r="H22" s="3402"/>
      <c r="I22" s="3402"/>
      <c r="J22" s="3402"/>
      <c r="K22" s="3402"/>
      <c r="L22" s="3402"/>
      <c r="M22" s="3402"/>
      <c r="N22" s="3402"/>
      <c r="O22" s="3402"/>
      <c r="P22" s="3402"/>
      <c r="Q22" s="3403"/>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31981</v>
      </c>
      <c r="C2" s="2" t="s">
        <v>133</v>
      </c>
      <c r="D2" s="205"/>
      <c r="E2" s="205"/>
      <c r="F2" s="205"/>
      <c r="G2" s="205"/>
    </row>
    <row r="3" spans="1:7" s="206" customFormat="1" ht="18" customHeight="1" thickBot="1">
      <c r="A3" s="209" t="s">
        <v>85</v>
      </c>
      <c r="B3" s="210">
        <f ca="1">ROUND(B2*10000/'数据-汇总表'!E3,0)</f>
        <v>23125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220</v>
      </c>
      <c r="F9" s="227"/>
      <c r="G9" s="232"/>
    </row>
    <row r="10" spans="1:7" s="220" customFormat="1" ht="13.5" customHeight="1">
      <c r="A10" s="887" t="s">
        <v>801</v>
      </c>
      <c r="B10" s="230" t="s">
        <v>94</v>
      </c>
      <c r="C10" s="231">
        <f>ROUND(D10*E10/10000,0)</f>
        <v>304</v>
      </c>
      <c r="D10" s="954">
        <f>'数据-汇总表'!E6</f>
        <v>13829.859999999995</v>
      </c>
      <c r="E10" s="231">
        <f>'数据-取费表'!B28</f>
        <v>220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13829.859999999995</v>
      </c>
      <c r="E19" s="217">
        <f>'数据-取费表'!B31</f>
        <v>200</v>
      </c>
      <c r="F19" s="237"/>
      <c r="G19" s="1" t="s">
        <v>1042</v>
      </c>
    </row>
    <row r="20" spans="1:7" s="220" customFormat="1" ht="13.5" customHeight="1">
      <c r="A20" s="885" t="s">
        <v>1025</v>
      </c>
      <c r="B20" s="216" t="s">
        <v>104</v>
      </c>
      <c r="C20" s="238">
        <f>ROUND((C5+C19)*F20,0)</f>
        <v>422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1220</v>
      </c>
      <c r="D22" s="241">
        <f ca="1">C26</f>
        <v>5.9999999999999995E-4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1192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65">
        <f ca="1">ROUND(IF('数据-取费表'!B22&lt;=1,C20*F22*'数据-取费表'!B23/2,C20*(POWER((1+F22),'数据-取费表'!B23/2)-1)),0)</f>
        <v>12</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1936</v>
      </c>
      <c r="D27" s="241">
        <f>C29</f>
        <v>1.8E-3</v>
      </c>
      <c r="E27" s="242" t="s">
        <v>126</v>
      </c>
      <c r="F27" s="252">
        <f>'数据-取费表'!Q16</f>
        <v>0.15</v>
      </c>
      <c r="G27" s="253" t="s">
        <v>1037</v>
      </c>
    </row>
    <row r="28" spans="1:7" s="220" customFormat="1" ht="13.5" customHeight="1">
      <c r="A28" s="888" t="s">
        <v>794</v>
      </c>
      <c r="B28" s="254" t="s">
        <v>1030</v>
      </c>
      <c r="C28" s="255">
        <f>ROUND((C5+C19+C20)*F27*'数据-取费表'!B21/'数据-取费表'!B20,0)</f>
        <v>1936</v>
      </c>
      <c r="D28" s="241"/>
      <c r="E28" s="242"/>
      <c r="F28" s="252"/>
      <c r="G28" s="253"/>
    </row>
    <row r="29" spans="1:7" s="220" customFormat="1" ht="13.5" customHeight="1">
      <c r="A29" s="888" t="s">
        <v>792</v>
      </c>
      <c r="B29" s="254" t="s">
        <v>1031</v>
      </c>
      <c r="C29" s="244">
        <f>ROUND(C21*F27*'数据-取费表'!B21/'数据-取费表'!B20,4)</f>
        <v>1.8E-3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26686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3734</v>
      </c>
      <c r="D34" s="223"/>
      <c r="E34" s="226"/>
      <c r="F34" s="263">
        <f>IF('数据-取费表'!B24=0,1,'数据-取费表'!N16)</f>
        <v>0.6</v>
      </c>
      <c r="G34" s="225" t="s">
        <v>116</v>
      </c>
    </row>
    <row r="35" spans="1:7" ht="13.5" customHeight="1">
      <c r="A35" s="888" t="s">
        <v>796</v>
      </c>
      <c r="B35" s="221" t="s">
        <v>60</v>
      </c>
      <c r="C35" s="226">
        <f>ROUND(C34*F35,0)</f>
        <v>112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166</v>
      </c>
      <c r="D37" s="223">
        <f>'数据-汇总表'!E3</f>
        <v>13829.859999999995</v>
      </c>
      <c r="E37" s="255">
        <f>'数据-取费表'!B35</f>
        <v>200</v>
      </c>
      <c r="F37" s="265"/>
      <c r="G37" s="267" t="s">
        <v>119</v>
      </c>
    </row>
    <row r="38" spans="1:7" ht="13.5" customHeight="1">
      <c r="A38" s="888" t="s">
        <v>799</v>
      </c>
      <c r="B38" s="221" t="s">
        <v>63</v>
      </c>
      <c r="C38" s="226">
        <f>ROUND(C34*F38,0)</f>
        <v>56</v>
      </c>
      <c r="D38" s="226"/>
      <c r="E38" s="226"/>
      <c r="F38" s="265">
        <f>'数据-取费表'!B36</f>
        <v>1.4999999999999999E-2</v>
      </c>
      <c r="G38" s="225" t="s">
        <v>117</v>
      </c>
    </row>
    <row r="39" spans="1:7" s="220" customFormat="1" ht="13.5" customHeight="1">
      <c r="A39" s="885" t="s">
        <v>783</v>
      </c>
      <c r="B39" s="216" t="s">
        <v>104</v>
      </c>
      <c r="C39" s="238">
        <f>ROUND(C33*F20,0)</f>
        <v>81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117</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115</v>
      </c>
      <c r="D42" s="244"/>
      <c r="E42" s="244"/>
      <c r="F42" s="245"/>
      <c r="G42" s="3261" t="s">
        <v>121</v>
      </c>
    </row>
    <row r="43" spans="1:7" ht="13.5" customHeight="1">
      <c r="A43" s="888" t="s">
        <v>792</v>
      </c>
      <c r="B43" s="221" t="s">
        <v>1032</v>
      </c>
      <c r="C43" s="244">
        <f ca="1">ROUND(IF('数据-取费表'!B22&lt;=1,C39*F22*'数据-取费表'!B21/2,C39*(POWER((1+F22),'数据-取费表'!B21/2)-1)),0)</f>
        <v>2</v>
      </c>
      <c r="D43" s="244"/>
      <c r="E43" s="244"/>
      <c r="F43" s="245"/>
      <c r="G43" s="3262"/>
    </row>
    <row r="44" spans="1:7" ht="13.5" customHeight="1">
      <c r="A44" s="888" t="s">
        <v>793</v>
      </c>
      <c r="B44" s="221" t="s">
        <v>1034</v>
      </c>
      <c r="C44" s="244">
        <f ca="1">ROUND(IF('数据-取费表'!B22&lt;=1,C40*F22*'数据-取费表'!B21/2,C40*(POWER((1+F22),'数据-取费表'!B21/2)-1)),4)</f>
        <v>5.9999999999999995E-4</v>
      </c>
      <c r="D44" s="244"/>
      <c r="E44" s="244"/>
      <c r="F44" s="245"/>
      <c r="G44" s="3263"/>
    </row>
    <row r="45" spans="1:7" s="220" customFormat="1" ht="13.5" customHeight="1">
      <c r="A45" s="885" t="s">
        <v>786</v>
      </c>
      <c r="B45" s="250" t="s">
        <v>112</v>
      </c>
      <c r="C45" s="251">
        <f>C46</f>
        <v>622</v>
      </c>
      <c r="D45" s="241">
        <f>C47</f>
        <v>3.0000000000000001E-3</v>
      </c>
      <c r="E45" s="242" t="s">
        <v>129</v>
      </c>
      <c r="F45" s="252"/>
      <c r="G45" s="253" t="s">
        <v>1040</v>
      </c>
    </row>
    <row r="46" spans="1:7" s="220" customFormat="1" ht="13.5" customHeight="1">
      <c r="A46" s="888" t="s">
        <v>794</v>
      </c>
      <c r="B46" s="254" t="s">
        <v>1033</v>
      </c>
      <c r="C46" s="255">
        <f>ROUND((C33+C39)*F27,0)</f>
        <v>622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5295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5295</v>
      </c>
      <c r="D51" s="238"/>
      <c r="E51" s="238"/>
      <c r="F51" s="270"/>
      <c r="G51" s="240" t="s">
        <v>64</v>
      </c>
    </row>
    <row r="52" spans="1:7" s="214" customFormat="1" ht="16.5" thickBot="1">
      <c r="A52" s="271" t="s">
        <v>65</v>
      </c>
      <c r="B52" s="272"/>
      <c r="C52" s="273">
        <f ca="1">C31+C51</f>
        <v>31981</v>
      </c>
      <c r="D52" s="272"/>
      <c r="E52" s="272"/>
      <c r="F52" s="272"/>
      <c r="G52" s="274"/>
    </row>
    <row r="55" spans="1:7" ht="15">
      <c r="B55" s="276" t="s">
        <v>66</v>
      </c>
      <c r="C55" s="277"/>
    </row>
    <row r="56" spans="1:7">
      <c r="B56" s="279" t="s">
        <v>67</v>
      </c>
      <c r="C56" s="280">
        <f ca="1">ROUND(C51/C52,3)</f>
        <v>0.16600000000000001</v>
      </c>
    </row>
    <row r="57" spans="1:7">
      <c r="B57" s="279" t="s">
        <v>68</v>
      </c>
      <c r="C57" s="281">
        <f ca="1">1-C56</f>
        <v>0.83399999999999996</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44187</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963" t="s">
        <v>1603</v>
      </c>
      <c r="E3" s="963" t="s">
        <v>1609</v>
      </c>
      <c r="F3" s="963" t="s">
        <v>1603</v>
      </c>
      <c r="G3" s="963" t="s">
        <v>1604</v>
      </c>
      <c r="H3" s="963" t="s">
        <v>1603</v>
      </c>
      <c r="I3" s="963" t="s">
        <v>1604</v>
      </c>
    </row>
    <row r="4" spans="1:9" ht="15">
      <c r="A4" s="1692" t="str">
        <f>项目基本情况!S2</f>
        <v>房地产</v>
      </c>
      <c r="B4" s="963">
        <f>项目基本情况!C17</f>
        <v>13829.859999999995</v>
      </c>
      <c r="C4" s="963">
        <f>项目基本情况!C18</f>
        <v>22306.23</v>
      </c>
      <c r="D4" s="963">
        <f ca="1">结果表!D118</f>
        <v>7909</v>
      </c>
      <c r="E4" s="963">
        <f ca="1">结果表!E118</f>
        <v>5719</v>
      </c>
      <c r="F4" s="963">
        <f ca="1">结果表!F118</f>
        <v>4411</v>
      </c>
      <c r="G4" s="963">
        <f ca="1">结果表!G118</f>
        <v>3189</v>
      </c>
      <c r="H4" s="963">
        <f ca="1">结果表!H118</f>
        <v>12320</v>
      </c>
      <c r="I4" s="963">
        <f ca="1">结果表!I118</f>
        <v>8908</v>
      </c>
    </row>
    <row r="5" spans="1:9" ht="30" customHeight="1">
      <c r="A5" s="3077" t="s">
        <v>1605</v>
      </c>
      <c r="B5" s="3077"/>
      <c r="C5" s="3077"/>
      <c r="D5" s="3078" t="str">
        <f ca="1">结果表!D119</f>
        <v>柒仟玖佰零玖万元整</v>
      </c>
      <c r="E5" s="3078"/>
      <c r="F5" s="3078" t="str">
        <f ca="1">结果表!F119</f>
        <v>肆仟肆佰壹拾壹万元整</v>
      </c>
      <c r="G5" s="3078"/>
      <c r="H5" s="3078" t="str">
        <f ca="1">结果表!H119</f>
        <v>壹亿贰仟叁佰贰拾万元整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1605</v>
      </c>
      <c r="B7" s="3077"/>
      <c r="C7" s="3077"/>
      <c r="D7" s="3079" t="str">
        <f>结果表!D121</f>
        <v>零元整</v>
      </c>
      <c r="E7" s="3080"/>
      <c r="F7" s="3080"/>
      <c r="G7" s="3080"/>
      <c r="H7" s="3080"/>
      <c r="I7" s="3081"/>
    </row>
    <row r="8" spans="1:9" ht="15.75">
      <c r="A8" s="3076" t="str">
        <f>结果表!A122</f>
        <v>房地产抵押价值</v>
      </c>
      <c r="B8" s="3076"/>
      <c r="C8" s="3076"/>
      <c r="D8" s="3076">
        <f ca="1">结果表!D122</f>
        <v>12320</v>
      </c>
      <c r="E8" s="3076"/>
      <c r="F8" s="3076"/>
      <c r="G8" s="3076"/>
      <c r="H8" s="3076"/>
      <c r="I8" s="3076"/>
    </row>
    <row r="9" spans="1:9" ht="15">
      <c r="A9" s="3077" t="s">
        <v>1605</v>
      </c>
      <c r="B9" s="3077"/>
      <c r="C9" s="3077"/>
      <c r="D9" s="3078" t="str">
        <f ca="1">结果表!D123</f>
        <v>壹亿贰仟叁佰贰拾万元整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1605</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1605</v>
      </c>
      <c r="B13" s="3073"/>
      <c r="C13" s="3073"/>
      <c r="D13" s="3074" t="e">
        <f>结果表!D127</f>
        <v>#VALUE!</v>
      </c>
      <c r="E13" s="3074"/>
      <c r="F13" s="3074"/>
      <c r="G13" s="3074"/>
      <c r="H13" s="3074"/>
      <c r="I13" s="3074"/>
    </row>
    <row r="14" spans="1:9" ht="15" thickTop="1">
      <c r="A14" s="3075" t="s">
        <v>1610</v>
      </c>
      <c r="B14" s="3075"/>
      <c r="C14" s="3075"/>
      <c r="D14" s="3075"/>
      <c r="E14" s="3075"/>
      <c r="F14" s="3075"/>
      <c r="G14" s="3075"/>
      <c r="H14" s="3075"/>
      <c r="I14" s="307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0" t="s">
        <v>1627</v>
      </c>
      <c r="B1" s="3090"/>
      <c r="C1" s="3090"/>
      <c r="D1" s="3090"/>
    </row>
    <row r="2" spans="1:4" ht="18">
      <c r="A2" s="3091" t="s">
        <v>1611</v>
      </c>
      <c r="B2" s="3091"/>
      <c r="C2" s="3091"/>
      <c r="D2" s="3091"/>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1" t="s">
        <v>1617</v>
      </c>
      <c r="B6" s="3091"/>
      <c r="C6" s="3091"/>
      <c r="D6" s="309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2" t="s">
        <v>1620</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9"/>
      <c r="C12" s="3089"/>
      <c r="D12" s="3089"/>
    </row>
    <row r="13" spans="1:4" ht="30" customHeight="1">
      <c r="A13" s="3084" t="str">
        <f>IF(项目基本情况!B8="抵押","3.抵押双方在办理抵押登记手续时，应使用本公司出具的正式《房地产评估报告》，特提醒报告使用者注意。","——")</f>
        <v>——</v>
      </c>
      <c r="B13" s="3089"/>
      <c r="C13" s="3089"/>
      <c r="D13" s="3089"/>
    </row>
    <row r="14" spans="1:4" ht="15.75" customHeight="1">
      <c r="A14" s="3084" t="str">
        <f>IF(项目基本情况!B8="抵押","4.本次评估估价师所知悉的法定优先受偿款情况说明如下：","——")</f>
        <v>——</v>
      </c>
      <c r="B14" s="3089"/>
      <c r="C14" s="3089"/>
      <c r="D14" s="3089"/>
    </row>
    <row r="15" spans="1:4" ht="42" customHeight="1">
      <c r="A15" s="3084" t="str">
        <f>IF(项目基本情况!B8="抵押","（1）"&amp;CONCATENATE(项目基本情况!L20,项目基本情况!L21,项目基本情况!L22),"——")</f>
        <v>——</v>
      </c>
      <c r="B15" s="3084"/>
      <c r="C15" s="3084"/>
      <c r="D15" s="3084"/>
    </row>
    <row r="16" spans="1:4" ht="30" customHeight="1">
      <c r="A16" s="3086" t="s">
        <v>1621</v>
      </c>
      <c r="B16" s="3086"/>
      <c r="C16" s="3086"/>
      <c r="D16" s="3086"/>
    </row>
    <row r="17" spans="1:4" ht="144" customHeight="1">
      <c r="A17" s="3086" t="s">
        <v>1622</v>
      </c>
      <c r="B17" s="3086"/>
      <c r="C17" s="3086"/>
      <c r="D17" s="3086"/>
    </row>
    <row r="18" spans="1:4" ht="15.75" customHeight="1">
      <c r="A18" s="3084" t="str">
        <f>IF(项目基本情况!B8="抵押",结果表!K120,"——")</f>
        <v>——</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1623</v>
      </c>
      <c r="B22" s="3088"/>
      <c r="C22" s="3088"/>
      <c r="D22" s="308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8" t="s">
        <v>1634</v>
      </c>
      <c r="B15" s="3093" t="s">
        <v>136</v>
      </c>
      <c r="C15" s="3094"/>
    </row>
    <row r="16" spans="1:7" ht="13.5">
      <c r="A16" s="3099"/>
      <c r="B16" s="3093" t="s">
        <v>69</v>
      </c>
      <c r="C16" s="3094"/>
    </row>
    <row r="17" spans="1:3" ht="13.5">
      <c r="A17" s="3099"/>
      <c r="B17" s="3096" t="s">
        <v>1635</v>
      </c>
      <c r="C17" s="1719" t="s">
        <v>1634</v>
      </c>
    </row>
    <row r="18" spans="1:3" ht="13.5">
      <c r="A18" s="3099"/>
      <c r="B18" s="3096"/>
      <c r="C18" s="1719" t="s">
        <v>1636</v>
      </c>
    </row>
    <row r="19" spans="1:3" ht="13.5">
      <c r="A19" s="3099"/>
      <c r="B19" s="3096"/>
      <c r="C19" s="1719" t="s">
        <v>1637</v>
      </c>
    </row>
    <row r="20" spans="1:3" ht="13.5">
      <c r="A20" s="3100"/>
      <c r="B20" s="3095" t="s">
        <v>1638</v>
      </c>
      <c r="C20" s="3094"/>
    </row>
    <row r="21" spans="1:3" ht="13.5">
      <c r="A21" s="1720" t="s">
        <v>1639</v>
      </c>
      <c r="B21" s="1721"/>
      <c r="C21" s="1722"/>
    </row>
    <row r="22" spans="1:3" ht="13.5">
      <c r="A22" s="3097" t="s">
        <v>1640</v>
      </c>
      <c r="B22" s="3095" t="s">
        <v>1641</v>
      </c>
      <c r="C22" s="3094"/>
    </row>
    <row r="23" spans="1:3" ht="13.5">
      <c r="A23" s="3097"/>
      <c r="B23" s="3095" t="s">
        <v>1642</v>
      </c>
      <c r="C23" s="3094"/>
    </row>
    <row r="24" spans="1:3" ht="13.5">
      <c r="A24" s="3097"/>
      <c r="B24" s="3095" t="s">
        <v>1643</v>
      </c>
      <c r="C24" s="3094"/>
    </row>
    <row r="25" spans="1:3" ht="13.5">
      <c r="A25" s="3097"/>
      <c r="B25" s="3096" t="s">
        <v>1644</v>
      </c>
      <c r="C25" s="1719" t="s">
        <v>1645</v>
      </c>
    </row>
    <row r="26" spans="1:3" ht="13.5">
      <c r="A26" s="3097"/>
      <c r="B26" s="3096"/>
      <c r="C26" s="1719" t="s">
        <v>1646</v>
      </c>
    </row>
    <row r="27" spans="1:3" ht="13.5">
      <c r="A27" s="3097"/>
      <c r="B27" s="3096"/>
      <c r="C27" s="1719" t="s">
        <v>1647</v>
      </c>
    </row>
    <row r="28" spans="1:3" ht="13.5">
      <c r="A28" s="3097"/>
      <c r="B28" s="3096"/>
      <c r="C28" s="1719" t="s">
        <v>1648</v>
      </c>
    </row>
    <row r="29" spans="1:3" ht="13.5">
      <c r="A29" s="3097"/>
      <c r="B29" s="3096"/>
      <c r="C29" s="1719" t="s">
        <v>1649</v>
      </c>
    </row>
    <row r="30" spans="1:3" ht="13.5">
      <c r="A30" s="3097"/>
      <c r="B30" s="3096"/>
      <c r="C30" s="1719" t="s">
        <v>1650</v>
      </c>
    </row>
    <row r="31" spans="1:3" ht="13.5">
      <c r="A31" s="3097"/>
      <c r="B31" s="3096"/>
      <c r="C31" s="1719" t="s">
        <v>1651</v>
      </c>
    </row>
    <row r="32" spans="1:3" ht="13.5">
      <c r="A32" s="3097"/>
      <c r="B32" s="3096"/>
      <c r="C32" s="1719" t="s">
        <v>1652</v>
      </c>
    </row>
    <row r="33" spans="1:3" ht="13.5">
      <c r="A33" s="3097"/>
      <c r="B33" s="3096"/>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44188</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1" t="s">
        <v>2902</v>
      </c>
      <c r="B17" s="3101"/>
      <c r="C17" s="3101"/>
      <c r="D17" s="3101"/>
      <c r="E17" s="3101"/>
      <c r="F17" s="3101"/>
      <c r="G17" s="3101"/>
      <c r="H17" s="3101"/>
    </row>
    <row r="18" spans="1:8" ht="24" customHeight="1">
      <c r="A18" s="3102" t="s">
        <v>2903</v>
      </c>
      <c r="B18" s="3102"/>
      <c r="C18" s="3102"/>
      <c r="D18" s="2568"/>
      <c r="E18" s="3103" t="s">
        <v>2904</v>
      </c>
      <c r="F18" s="3102"/>
      <c r="G18" s="3102"/>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11期具体面积表</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2020-12-23T08:13:26Z</dcterms:modified>
</cp:coreProperties>
</file>