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D:\桌面\海口询价\"/>
    </mc:Choice>
  </mc:AlternateContent>
  <xr:revisionPtr revIDLastSave="0" documentId="13_ncr:1_{51162533-0B7E-4B24-AAE3-E3CB6F9FEC8C}" xr6:coauthVersionLast="45" xr6:coauthVersionMax="45" xr10:uidLastSave="{00000000-0000-0000-0000-000000000000}"/>
  <bookViews>
    <workbookView xWindow="-120" yWindow="-120" windowWidth="19440" windowHeight="15000" tabRatio="875" firstSheet="8" activeTab="1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 sheetId="68"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商业" sheetId="70" r:id="rId32"/>
    <sheet name="不动产收益法-办公" sheetId="71" r:id="rId33"/>
    <sheet name="不动产收益法-车库" sheetId="1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'不动产收益法-办公'!$A$1:$F$43,'不动产收益法-办公'!$H$3:$M$29,'不动产收益法-办公'!$I$46:$M$60</definedName>
    <definedName name="_xlnm.Print_Area" localSheetId="33">'不动产收益法-车库'!$A$1:$F$43,'不动产收益法-车库'!$H$3:$M$29,'不动产收益法-车库'!$I$46:$M$60</definedName>
    <definedName name="_xlnm.Print_Area" localSheetId="31">'不动产收益法-商业'!$A$1:$F$43,'不动产收益法-商业'!$H$3:$M$29,'不动产收益法-商业'!$I$46:$M$60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'数据-汇总表'!$A$1:$J$32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7" i="1" l="1"/>
  <c r="I48" i="39"/>
  <c r="G48" i="39"/>
  <c r="E48" i="39"/>
  <c r="I9" i="39" l="1"/>
  <c r="G9" i="39"/>
  <c r="E9" i="39"/>
  <c r="M9" i="12" l="1"/>
  <c r="M8" i="12"/>
  <c r="AH9" i="1" l="1"/>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G1" i="71"/>
  <c r="Q73" i="70"/>
  <c r="F61" i="70"/>
  <c r="Q60" i="70"/>
  <c r="D60" i="70"/>
  <c r="Q59" i="70"/>
  <c r="K59" i="70"/>
  <c r="F59" i="70"/>
  <c r="F58" i="70"/>
  <c r="Q52" i="70"/>
  <c r="J50" i="70"/>
  <c r="J51" i="70" s="1"/>
  <c r="M47" i="70"/>
  <c r="F34" i="70"/>
  <c r="F33" i="70"/>
  <c r="F60" i="70" s="1"/>
  <c r="F32" i="70"/>
  <c r="F31" i="70"/>
  <c r="F28" i="70"/>
  <c r="C28" i="70" s="1"/>
  <c r="F23" i="70"/>
  <c r="F21" i="70"/>
  <c r="M20" i="70"/>
  <c r="F20" i="70"/>
  <c r="M19" i="70"/>
  <c r="M18" i="70"/>
  <c r="F18" i="70"/>
  <c r="M17" i="70"/>
  <c r="F17" i="70"/>
  <c r="F15" i="70"/>
  <c r="G1" i="70"/>
  <c r="Q7" i="1"/>
  <c r="Q8" i="1"/>
  <c r="L14" i="1"/>
  <c r="G22" i="6"/>
  <c r="D27" i="68"/>
  <c r="O13" i="3" s="1"/>
  <c r="AN13" i="3" s="1"/>
  <c r="D26" i="68"/>
  <c r="D19" i="68"/>
  <c r="C19" i="68"/>
  <c r="B24" i="68"/>
  <c r="A3" i="3"/>
  <c r="F23" i="68"/>
  <c r="F22" i="68"/>
  <c r="F21" i="68"/>
  <c r="F24" i="68" s="1"/>
  <c r="D18" i="68"/>
  <c r="B18" i="68"/>
  <c r="C14" i="68"/>
  <c r="H12" i="68"/>
  <c r="E9" i="68"/>
  <c r="D9" i="68"/>
  <c r="C9" i="68"/>
  <c r="B9" i="68"/>
  <c r="B22" i="68" s="1"/>
  <c r="H8" i="68"/>
  <c r="E8" i="68"/>
  <c r="D8" i="68"/>
  <c r="G8" i="68" s="1"/>
  <c r="C8" i="68"/>
  <c r="B8" i="68"/>
  <c r="H7" i="68"/>
  <c r="G7" i="68"/>
  <c r="H6" i="68"/>
  <c r="G6" i="68"/>
  <c r="H5" i="68"/>
  <c r="G5" i="68"/>
  <c r="H4" i="68"/>
  <c r="G4" i="68"/>
  <c r="D3" i="4"/>
  <c r="D23" i="71" l="1"/>
  <c r="D22" i="71"/>
  <c r="D24" i="71"/>
  <c r="L46" i="71"/>
  <c r="P75" i="71"/>
  <c r="P62" i="71"/>
  <c r="D23" i="70"/>
  <c r="D22" i="70"/>
  <c r="D24" i="70"/>
  <c r="L46" i="70"/>
  <c r="P75" i="70"/>
  <c r="P62" i="70"/>
  <c r="D22" i="68"/>
  <c r="M13" i="3" s="1"/>
  <c r="F20" i="6" s="1"/>
  <c r="B21" i="68"/>
  <c r="D21" i="68"/>
  <c r="AH5" i="59"/>
  <c r="AG5" i="59"/>
  <c r="AE5" i="59"/>
  <c r="AF5" i="59" s="1"/>
  <c r="AD5" i="59"/>
  <c r="Q5" i="59"/>
  <c r="P5" i="59"/>
  <c r="O5" i="59"/>
  <c r="N5" i="59"/>
  <c r="F8" i="71"/>
  <c r="F37" i="71"/>
  <c r="F42" i="71"/>
  <c r="M27" i="71"/>
  <c r="F36" i="70"/>
  <c r="F13" i="70"/>
  <c r="M9" i="70"/>
  <c r="M22" i="70"/>
  <c r="J15" i="70"/>
  <c r="J36" i="70"/>
  <c r="M6" i="71"/>
  <c r="F26" i="71"/>
  <c r="M28" i="71"/>
  <c r="M8" i="71"/>
  <c r="F6" i="71"/>
  <c r="J36" i="71"/>
  <c r="M6" i="70"/>
  <c r="F26" i="70"/>
  <c r="M28" i="70"/>
  <c r="M8" i="70"/>
  <c r="F6" i="70"/>
  <c r="F40" i="70"/>
  <c r="F36" i="71"/>
  <c r="F13" i="71"/>
  <c r="M9" i="71"/>
  <c r="M22" i="71"/>
  <c r="J15" i="71"/>
  <c r="F40" i="71"/>
  <c r="F8" i="70"/>
  <c r="F37" i="70"/>
  <c r="F42" i="70"/>
  <c r="M23" i="70"/>
  <c r="M24" i="71"/>
  <c r="M26" i="71"/>
  <c r="F16" i="71"/>
  <c r="F38" i="71"/>
  <c r="F9" i="71"/>
  <c r="M23" i="71"/>
  <c r="M24" i="70"/>
  <c r="M26" i="70"/>
  <c r="F16" i="70"/>
  <c r="F38" i="70"/>
  <c r="F9" i="70"/>
  <c r="M27" i="70"/>
  <c r="I13" i="3" l="1"/>
  <c r="F19" i="6" s="1"/>
  <c r="F67" i="71"/>
  <c r="Q72" i="71"/>
  <c r="F65" i="71"/>
  <c r="C27" i="71"/>
  <c r="F64" i="71"/>
  <c r="F50" i="71"/>
  <c r="F63" i="71"/>
  <c r="F67" i="70"/>
  <c r="Q72" i="70"/>
  <c r="F65" i="70"/>
  <c r="C27" i="70"/>
  <c r="F64" i="70"/>
  <c r="F50" i="70"/>
  <c r="F63" i="70"/>
  <c r="B23" i="68"/>
  <c r="G21" i="68"/>
  <c r="E21" i="68"/>
  <c r="C21" i="68" s="1"/>
  <c r="D23" i="68"/>
  <c r="K13" i="3" s="1"/>
  <c r="F21" i="6" s="1"/>
  <c r="G22" i="68"/>
  <c r="E22" i="68"/>
  <c r="C22" i="68" s="1"/>
  <c r="C16" i="11"/>
  <c r="C15" i="11"/>
  <c r="C14" i="11"/>
  <c r="C9" i="11"/>
  <c r="C8" i="11"/>
  <c r="D24" i="68" l="1"/>
  <c r="G23" i="68"/>
  <c r="E23" i="68"/>
  <c r="C23" i="68" s="1"/>
  <c r="C24" i="68" s="1"/>
  <c r="E24" i="68"/>
  <c r="AL13" i="3" s="1"/>
  <c r="K36" i="36"/>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O13" i="59"/>
  <c r="O14" i="59"/>
  <c r="N13" i="59"/>
  <c r="N14" i="59"/>
  <c r="AH14" i="59"/>
  <c r="AG14" i="59"/>
  <c r="AE14" i="59"/>
  <c r="AF14" i="59" s="1"/>
  <c r="AD14" i="59"/>
  <c r="Q15" i="59"/>
  <c r="P15" i="59"/>
  <c r="O15" i="59"/>
  <c r="N15" i="59"/>
  <c r="M19" i="46"/>
  <c r="J50" i="15"/>
  <c r="J51" i="15" s="1"/>
  <c r="D17" i="59"/>
  <c r="AH15" i="59"/>
  <c r="AG15" i="59"/>
  <c r="AE15" i="59"/>
  <c r="AF15" i="59"/>
  <c r="AD15" i="59"/>
  <c r="AE16" i="59"/>
  <c r="AF16" i="59" s="1"/>
  <c r="AG16" i="59"/>
  <c r="AH16" i="59"/>
  <c r="AD16" i="59"/>
  <c r="Q16" i="59"/>
  <c r="P16" i="59"/>
  <c r="O16" i="59"/>
  <c r="N16" i="59"/>
  <c r="N17" i="59"/>
  <c r="Q17" i="59"/>
  <c r="P17" i="59"/>
  <c r="O17" i="59"/>
  <c r="K59" i="15"/>
  <c r="P62" i="15" s="1"/>
  <c r="Q74" i="44"/>
  <c r="Q61" i="44"/>
  <c r="Q60" i="44"/>
  <c r="Q53" i="44"/>
  <c r="J51" i="44"/>
  <c r="J52" i="44"/>
  <c r="M48" i="44"/>
  <c r="A16" i="55"/>
  <c r="A15" i="55"/>
  <c r="B66" i="63"/>
  <c r="A10" i="55"/>
  <c r="B61" i="63"/>
  <c r="A9" i="55"/>
  <c r="B60" i="63"/>
  <c r="A8" i="55"/>
  <c r="A6" i="54"/>
  <c r="B49" i="63" s="1"/>
  <c r="A8" i="54"/>
  <c r="A7" i="54"/>
  <c r="A27" i="51"/>
  <c r="B20" i="63" s="1"/>
  <c r="Q18" i="59"/>
  <c r="O18" i="59"/>
  <c r="N19" i="59"/>
  <c r="O19" i="59"/>
  <c r="P19" i="59"/>
  <c r="Q19" i="59"/>
  <c r="N18" i="59"/>
  <c r="P18" i="59"/>
  <c r="K75" i="9"/>
  <c r="K6" i="4"/>
  <c r="L76" i="9"/>
  <c r="B22" i="31"/>
  <c r="E15" i="66"/>
  <c r="F15" i="66"/>
  <c r="E16" i="66"/>
  <c r="F16" i="66"/>
  <c r="E17" i="66"/>
  <c r="F17" i="66"/>
  <c r="E18" i="66"/>
  <c r="F18" i="66"/>
  <c r="E19" i="66"/>
  <c r="F19" i="66"/>
  <c r="E20" i="66"/>
  <c r="F20" i="66"/>
  <c r="E21" i="66"/>
  <c r="F21" i="66"/>
  <c r="E22" i="66"/>
  <c r="F22" i="66"/>
  <c r="E23" i="66"/>
  <c r="F23" i="66"/>
  <c r="B3" i="66"/>
  <c r="B16" i="59"/>
  <c r="E16" i="59"/>
  <c r="E15" i="59"/>
  <c r="E14" i="59" s="1"/>
  <c r="E13" i="59" s="1"/>
  <c r="E12" i="59" s="1"/>
  <c r="E11" i="59" s="1"/>
  <c r="E10" i="59" s="1"/>
  <c r="E9" i="59" s="1"/>
  <c r="F16" i="59"/>
  <c r="V16" i="59"/>
  <c r="U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F31" i="59"/>
  <c r="AD31" i="59"/>
  <c r="AD32" i="59"/>
  <c r="AE32" i="59"/>
  <c r="AF32" i="59"/>
  <c r="AG32" i="59"/>
  <c r="AH32" i="59"/>
  <c r="AB30" i="59"/>
  <c r="S2" i="31"/>
  <c r="M2" i="31"/>
  <c r="N2" i="31"/>
  <c r="O2" i="31"/>
  <c r="P2" i="31"/>
  <c r="Q2" i="31"/>
  <c r="R2" i="31"/>
  <c r="C16" i="59"/>
  <c r="C3" i="65"/>
  <c r="C1" i="65"/>
  <c r="N1" i="65"/>
  <c r="D16"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B21" i="63" s="1"/>
  <c r="C56" i="10"/>
  <c r="C55" i="10"/>
  <c r="C54" i="10"/>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G5" i="54"/>
  <c r="B34" i="63"/>
  <c r="E5" i="54"/>
  <c r="B32" i="63"/>
  <c r="R2" i="54"/>
  <c r="B24" i="63"/>
  <c r="B19" i="63"/>
  <c r="B49" i="50"/>
  <c r="B5" i="63" s="1"/>
  <c r="B40" i="50"/>
  <c r="B3" i="63" s="1"/>
  <c r="B67" i="63"/>
  <c r="I19" i="46"/>
  <c r="Q20" i="59"/>
  <c r="P20" i="59"/>
  <c r="E20" i="59" s="1"/>
  <c r="O20" i="59"/>
  <c r="N20" i="59"/>
  <c r="B20" i="59" s="1"/>
  <c r="D81" i="59"/>
  <c r="F80" i="59"/>
  <c r="E80" i="59"/>
  <c r="E79" i="59" s="1"/>
  <c r="E78" i="59" s="1"/>
  <c r="C80" i="59"/>
  <c r="D80" i="59"/>
  <c r="B80" i="59"/>
  <c r="F79" i="59"/>
  <c r="F78" i="59" s="1"/>
  <c r="B79" i="59"/>
  <c r="B78" i="59" s="1"/>
  <c r="D77" i="59"/>
  <c r="F76" i="59"/>
  <c r="E76" i="59"/>
  <c r="E75" i="59" s="1"/>
  <c r="E74" i="59"/>
  <c r="C76" i="59"/>
  <c r="D76" i="59"/>
  <c r="B76" i="59"/>
  <c r="F75" i="59"/>
  <c r="F74" i="59" s="1"/>
  <c r="B75" i="59"/>
  <c r="B74" i="59" s="1"/>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E60" i="59"/>
  <c r="C60" i="59"/>
  <c r="B60" i="59"/>
  <c r="D57" i="59"/>
  <c r="Q56" i="59"/>
  <c r="P56" i="59"/>
  <c r="O56" i="59"/>
  <c r="N56" i="59"/>
  <c r="Q55" i="59"/>
  <c r="P55" i="59"/>
  <c r="O55" i="59"/>
  <c r="N55" i="59"/>
  <c r="Q54" i="59"/>
  <c r="P54" i="59"/>
  <c r="O54" i="59"/>
  <c r="N54" i="59"/>
  <c r="Q53" i="59"/>
  <c r="F54" i="59" s="1"/>
  <c r="F55" i="59" s="1"/>
  <c r="P53" i="59"/>
  <c r="E54" i="59" s="1"/>
  <c r="E55" i="59" s="1"/>
  <c r="E56" i="59" s="1"/>
  <c r="U56" i="59" s="1"/>
  <c r="O53" i="59"/>
  <c r="C54" i="59"/>
  <c r="C55" i="59" s="1"/>
  <c r="D55" i="59" s="1"/>
  <c r="N53" i="59"/>
  <c r="B54" i="59"/>
  <c r="B55" i="59" s="1"/>
  <c r="B56" i="59" s="1"/>
  <c r="S56" i="59" s="1"/>
  <c r="D53" i="59"/>
  <c r="Q52" i="59"/>
  <c r="P52" i="59"/>
  <c r="O52" i="59"/>
  <c r="N52" i="59"/>
  <c r="Q51" i="59"/>
  <c r="P51" i="59"/>
  <c r="O51" i="59"/>
  <c r="N51" i="59"/>
  <c r="Q50" i="59"/>
  <c r="P50" i="59"/>
  <c r="O50" i="59"/>
  <c r="N50" i="59"/>
  <c r="Q49" i="59"/>
  <c r="F50" i="59"/>
  <c r="F51" i="59" s="1"/>
  <c r="F52" i="59" s="1"/>
  <c r="V52" i="59" s="1"/>
  <c r="P49" i="59"/>
  <c r="E50" i="59"/>
  <c r="E51" i="59" s="1"/>
  <c r="E52" i="59" s="1"/>
  <c r="U52" i="59" s="1"/>
  <c r="O49" i="59"/>
  <c r="C50" i="59" s="1"/>
  <c r="C51" i="59" s="1"/>
  <c r="C52" i="59" s="1"/>
  <c r="D52" i="59" s="1"/>
  <c r="N49" i="59"/>
  <c r="B50" i="59" s="1"/>
  <c r="B51" i="59"/>
  <c r="B52" i="59" s="1"/>
  <c r="S52" i="59" s="1"/>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O41" i="59"/>
  <c r="C42" i="59" s="1"/>
  <c r="C43" i="59" s="1"/>
  <c r="D43" i="59" s="1"/>
  <c r="N41" i="59"/>
  <c r="B42" i="59" s="1"/>
  <c r="B43" i="59" s="1"/>
  <c r="B44" i="59" s="1"/>
  <c r="S44" i="59" s="1"/>
  <c r="D41" i="59"/>
  <c r="T40" i="59"/>
  <c r="Q40" i="59"/>
  <c r="P40" i="59"/>
  <c r="O40" i="59"/>
  <c r="N40" i="59"/>
  <c r="D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c r="E36" i="59" s="1"/>
  <c r="U36" i="59" s="1"/>
  <c r="O33" i="59"/>
  <c r="C34" i="59"/>
  <c r="D34" i="59" s="1"/>
  <c r="N33" i="59"/>
  <c r="B34" i="59"/>
  <c r="B35" i="59" s="1"/>
  <c r="B36" i="59"/>
  <c r="S36" i="59" s="1"/>
  <c r="D33" i="59"/>
  <c r="Q32" i="59"/>
  <c r="P32" i="59"/>
  <c r="O32" i="59"/>
  <c r="N32" i="59"/>
  <c r="Q31" i="59"/>
  <c r="AB31" i="59"/>
  <c r="P31" i="59"/>
  <c r="O31" i="59"/>
  <c r="Y31" i="59" s="1"/>
  <c r="Z31" i="59"/>
  <c r="N31" i="59"/>
  <c r="X31" i="59"/>
  <c r="Q30" i="59"/>
  <c r="P30" i="59"/>
  <c r="AA30" i="59" s="1"/>
  <c r="O30" i="59"/>
  <c r="Y30" i="59" s="1"/>
  <c r="N30" i="59"/>
  <c r="X30" i="59" s="1"/>
  <c r="Q29" i="59"/>
  <c r="AB29" i="59" s="1"/>
  <c r="F30" i="59"/>
  <c r="F31" i="59" s="1"/>
  <c r="F32" i="59" s="1"/>
  <c r="V32" i="59" s="1"/>
  <c r="P29" i="59"/>
  <c r="E30" i="59"/>
  <c r="E31" i="59" s="1"/>
  <c r="E32" i="59" s="1"/>
  <c r="U32" i="59" s="1"/>
  <c r="O29" i="59"/>
  <c r="C30" i="59" s="1"/>
  <c r="D30" i="59" s="1"/>
  <c r="N29" i="59"/>
  <c r="X26" i="59" s="1"/>
  <c r="D29" i="59"/>
  <c r="Q28" i="59"/>
  <c r="AB28" i="59" s="1"/>
  <c r="P28" i="59"/>
  <c r="O28" i="59"/>
  <c r="N28" i="59"/>
  <c r="X28" i="59" s="1"/>
  <c r="Q27" i="59"/>
  <c r="AB27" i="59" s="1"/>
  <c r="P27" i="59"/>
  <c r="O27" i="59"/>
  <c r="N27" i="59"/>
  <c r="Q26" i="59"/>
  <c r="AB26" i="59" s="1"/>
  <c r="P26" i="59"/>
  <c r="O26" i="59"/>
  <c r="N26" i="59"/>
  <c r="Q25" i="59"/>
  <c r="AB22" i="59" s="1"/>
  <c r="P25" i="59"/>
  <c r="O25" i="59"/>
  <c r="C26" i="59"/>
  <c r="C27" i="59" s="1"/>
  <c r="D27" i="59" s="1"/>
  <c r="N25" i="59"/>
  <c r="B26" i="59"/>
  <c r="B27" i="59" s="1"/>
  <c r="B28" i="59" s="1"/>
  <c r="S28" i="59" s="1"/>
  <c r="D25" i="59"/>
  <c r="Q24" i="59"/>
  <c r="AB24" i="59" s="1"/>
  <c r="P24" i="59"/>
  <c r="AA24" i="59" s="1"/>
  <c r="O24" i="59"/>
  <c r="N24" i="59"/>
  <c r="X24" i="59" s="1"/>
  <c r="Q23" i="59"/>
  <c r="P23" i="59"/>
  <c r="AA23" i="59" s="1"/>
  <c r="O23" i="59"/>
  <c r="N23" i="59"/>
  <c r="X23" i="59" s="1"/>
  <c r="Q22" i="59"/>
  <c r="P22" i="59"/>
  <c r="O22" i="59"/>
  <c r="N22" i="59"/>
  <c r="X22" i="59" s="1"/>
  <c r="Q21" i="59"/>
  <c r="F22" i="59"/>
  <c r="P21" i="59"/>
  <c r="O21" i="59"/>
  <c r="C22" i="59" s="1"/>
  <c r="D22" i="59" s="1"/>
  <c r="N21" i="59"/>
  <c r="D21" i="59"/>
  <c r="X19" i="59"/>
  <c r="AA18" i="59"/>
  <c r="AB3" i="59"/>
  <c r="AB18" i="59"/>
  <c r="E22" i="59"/>
  <c r="E43" i="59"/>
  <c r="E44" i="59" s="1"/>
  <c r="U44" i="59" s="1"/>
  <c r="Z30" i="59"/>
  <c r="AA31" i="59"/>
  <c r="F23" i="59"/>
  <c r="F24" i="59" s="1"/>
  <c r="V24" i="59" s="1"/>
  <c r="F39" i="59"/>
  <c r="F40" i="59" s="1"/>
  <c r="V40" i="59" s="1"/>
  <c r="F48" i="59"/>
  <c r="V48" i="59" s="1"/>
  <c r="F56" i="59"/>
  <c r="V56" i="59" s="1"/>
  <c r="C23" i="59"/>
  <c r="D23" i="59" s="1"/>
  <c r="C35" i="59"/>
  <c r="D35" i="59" s="1"/>
  <c r="C39" i="59"/>
  <c r="D39" i="59" s="1"/>
  <c r="D38" i="59"/>
  <c r="D42" i="59"/>
  <c r="D46" i="59"/>
  <c r="D54" i="59"/>
  <c r="T60" i="59"/>
  <c r="O60" i="59"/>
  <c r="D60" i="59"/>
  <c r="C59" i="59"/>
  <c r="U60" i="59"/>
  <c r="C63" i="59"/>
  <c r="C62" i="59" s="1"/>
  <c r="E63" i="59"/>
  <c r="E62" i="59"/>
  <c r="D64" i="59"/>
  <c r="C71" i="59"/>
  <c r="D71" i="59" s="1"/>
  <c r="E71" i="59"/>
  <c r="E70" i="59"/>
  <c r="D72" i="59"/>
  <c r="C75" i="59"/>
  <c r="C74" i="59" s="1"/>
  <c r="C79" i="59"/>
  <c r="U16" i="4"/>
  <c r="S16" i="4"/>
  <c r="Q16" i="4"/>
  <c r="O16" i="4"/>
  <c r="M16" i="4"/>
  <c r="L16" i="4" s="1"/>
  <c r="K16" i="4"/>
  <c r="D79" i="59"/>
  <c r="C78" i="59"/>
  <c r="D78" i="59"/>
  <c r="C70" i="59"/>
  <c r="D70" i="59" s="1"/>
  <c r="D63" i="59"/>
  <c r="D62" i="59"/>
  <c r="O59" i="59"/>
  <c r="D75" i="59"/>
  <c r="D74" i="59"/>
  <c r="C56" i="59"/>
  <c r="D56" i="59" s="1"/>
  <c r="C48" i="59"/>
  <c r="D48" i="59" s="1"/>
  <c r="C44" i="59"/>
  <c r="C36" i="59"/>
  <c r="D36" i="59" s="1"/>
  <c r="C24" i="59"/>
  <c r="D24" i="59" s="1"/>
  <c r="N16" i="4"/>
  <c r="T52" i="59"/>
  <c r="T24" i="59"/>
  <c r="T36" i="59"/>
  <c r="T44" i="59"/>
  <c r="D44" i="59"/>
  <c r="T48" i="59"/>
  <c r="T5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D9" i="12" s="1"/>
  <c r="D10" i="12" s="1"/>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BR5" i="3" s="1"/>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A19" i="3" s="1"/>
  <c r="BC19" i="3"/>
  <c r="BD19" i="3"/>
  <c r="BE19" i="3"/>
  <c r="BF19" i="3"/>
  <c r="BG19" i="3"/>
  <c r="BH19" i="3"/>
  <c r="BI19" i="3"/>
  <c r="BJ19" i="3"/>
  <c r="BK19" i="3"/>
  <c r="BM19" i="3"/>
  <c r="BN19" i="3"/>
  <c r="BO19" i="3"/>
  <c r="BP19" i="3"/>
  <c r="BQ19" i="3"/>
  <c r="BR19" i="3"/>
  <c r="BS19" i="3"/>
  <c r="BT19" i="3"/>
  <c r="H20" i="3"/>
  <c r="AC20" i="3"/>
  <c r="BB20" i="3"/>
  <c r="BA20" i="3" s="1"/>
  <c r="AZ20" i="3" s="1"/>
  <c r="BC20" i="3"/>
  <c r="BD20" i="3"/>
  <c r="BE20" i="3"/>
  <c r="BF20" i="3"/>
  <c r="BG20" i="3"/>
  <c r="BH20" i="3"/>
  <c r="BI20" i="3"/>
  <c r="BJ20" i="3"/>
  <c r="BK20" i="3"/>
  <c r="BM20" i="3"/>
  <c r="BN20" i="3"/>
  <c r="BO20" i="3"/>
  <c r="BP20" i="3"/>
  <c r="BR20" i="3"/>
  <c r="BS20" i="3"/>
  <c r="BT20" i="3"/>
  <c r="H481" i="3"/>
  <c r="G481" i="3"/>
  <c r="AC481" i="3"/>
  <c r="BB481" i="3"/>
  <c r="BA481" i="3" s="1"/>
  <c r="BC481" i="3"/>
  <c r="BD481" i="3"/>
  <c r="BE481" i="3"/>
  <c r="BF481" i="3"/>
  <c r="BG481" i="3"/>
  <c r="BH481" i="3"/>
  <c r="BI481" i="3"/>
  <c r="BJ481" i="3"/>
  <c r="BK481" i="3"/>
  <c r="BM481" i="3"/>
  <c r="BL481" i="3" s="1"/>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L487" i="3" s="1"/>
  <c r="BN487" i="3"/>
  <c r="BO487" i="3"/>
  <c r="BP487" i="3"/>
  <c r="BQ487" i="3"/>
  <c r="BR487" i="3"/>
  <c r="BS487" i="3"/>
  <c r="BT487" i="3"/>
  <c r="H488" i="3"/>
  <c r="AC488" i="3"/>
  <c r="BB488" i="3"/>
  <c r="BC488" i="3"/>
  <c r="BD488" i="3"/>
  <c r="BE488" i="3"/>
  <c r="BF488" i="3"/>
  <c r="BG488" i="3"/>
  <c r="BH488" i="3"/>
  <c r="BI488" i="3"/>
  <c r="BJ488" i="3"/>
  <c r="BK488" i="3"/>
  <c r="BM488" i="3"/>
  <c r="BL488" i="3" s="1"/>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A496" i="3" s="1"/>
  <c r="BD496" i="3"/>
  <c r="BE496" i="3"/>
  <c r="BF496" i="3"/>
  <c r="BG496" i="3"/>
  <c r="BH496" i="3"/>
  <c r="BI496" i="3"/>
  <c r="BJ496" i="3"/>
  <c r="BK496" i="3"/>
  <c r="BM496" i="3"/>
  <c r="BN496" i="3"/>
  <c r="BO496" i="3"/>
  <c r="BP496" i="3"/>
  <c r="BR496" i="3"/>
  <c r="BS496" i="3"/>
  <c r="BT496" i="3"/>
  <c r="H497" i="3"/>
  <c r="AC497" i="3"/>
  <c r="G497" i="3"/>
  <c r="BB497" i="3"/>
  <c r="BC497" i="3"/>
  <c r="BA497" i="3" s="1"/>
  <c r="BD497" i="3"/>
  <c r="BE497" i="3"/>
  <c r="BF497" i="3"/>
  <c r="BG497" i="3"/>
  <c r="BH497" i="3"/>
  <c r="BI497" i="3"/>
  <c r="BJ497" i="3"/>
  <c r="BK497" i="3"/>
  <c r="BM497" i="3"/>
  <c r="BN497" i="3"/>
  <c r="BO497" i="3"/>
  <c r="BP497" i="3"/>
  <c r="BQ497" i="3"/>
  <c r="BR497" i="3"/>
  <c r="BS497" i="3"/>
  <c r="BT497" i="3"/>
  <c r="H498" i="3"/>
  <c r="AC498" i="3"/>
  <c r="BB498" i="3"/>
  <c r="BC498" i="3"/>
  <c r="BA498" i="3" s="1"/>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L499" i="3" s="1"/>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AC505" i="3"/>
  <c r="G505" i="3"/>
  <c r="BB505" i="3"/>
  <c r="BC505" i="3"/>
  <c r="BD505" i="3"/>
  <c r="BE505" i="3"/>
  <c r="BF505" i="3"/>
  <c r="BG505" i="3"/>
  <c r="BH505" i="3"/>
  <c r="BI505" i="3"/>
  <c r="BJ505" i="3"/>
  <c r="BK505" i="3"/>
  <c r="BM505" i="3"/>
  <c r="BN505" i="3"/>
  <c r="BL505" i="3" s="1"/>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BB508" i="3"/>
  <c r="BC508" i="3"/>
  <c r="BD508" i="3"/>
  <c r="BE508" i="3"/>
  <c r="BF508" i="3"/>
  <c r="BG508" i="3"/>
  <c r="BH508" i="3"/>
  <c r="BI508" i="3"/>
  <c r="BJ508" i="3"/>
  <c r="BK508" i="3"/>
  <c r="BM508" i="3"/>
  <c r="BN508" i="3"/>
  <c r="BL508" i="3" s="1"/>
  <c r="BO508" i="3"/>
  <c r="BP508" i="3"/>
  <c r="BR508" i="3"/>
  <c r="BS508" i="3"/>
  <c r="BT508" i="3"/>
  <c r="H509" i="3"/>
  <c r="AC509" i="3"/>
  <c r="G509" i="3"/>
  <c r="BB509" i="3"/>
  <c r="BC509" i="3"/>
  <c r="BA509" i="3" s="1"/>
  <c r="BD509" i="3"/>
  <c r="BE509" i="3"/>
  <c r="BF509" i="3"/>
  <c r="BG509" i="3"/>
  <c r="BH509" i="3"/>
  <c r="BI509" i="3"/>
  <c r="BJ509" i="3"/>
  <c r="BK509" i="3"/>
  <c r="BM509" i="3"/>
  <c r="BN509" i="3"/>
  <c r="BL509" i="3" s="1"/>
  <c r="BO509" i="3"/>
  <c r="BP509" i="3"/>
  <c r="BQ509" i="3"/>
  <c r="BR509" i="3"/>
  <c r="BS509" i="3"/>
  <c r="BT509" i="3"/>
  <c r="H510" i="3"/>
  <c r="AC510" i="3"/>
  <c r="G510" i="3" s="1"/>
  <c r="BB510" i="3"/>
  <c r="BC510" i="3"/>
  <c r="BA510" i="3" s="1"/>
  <c r="BD510" i="3"/>
  <c r="BE510" i="3"/>
  <c r="BF510" i="3"/>
  <c r="BG510" i="3"/>
  <c r="BH510" i="3"/>
  <c r="BI510" i="3"/>
  <c r="BJ510" i="3"/>
  <c r="BK510" i="3"/>
  <c r="BM510" i="3"/>
  <c r="BN510" i="3"/>
  <c r="BL510" i="3" s="1"/>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A518" i="3" s="1"/>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A532" i="3" s="1"/>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L540" i="3" s="1"/>
  <c r="BO540" i="3"/>
  <c r="BP540" i="3"/>
  <c r="BR540" i="3"/>
  <c r="BS540" i="3"/>
  <c r="BT540" i="3"/>
  <c r="H541" i="3"/>
  <c r="AC541" i="3"/>
  <c r="G541" i="3"/>
  <c r="BB541" i="3"/>
  <c r="BC541" i="3"/>
  <c r="BA541" i="3" s="1"/>
  <c r="AZ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L542" i="3" s="1"/>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A552" i="3" s="1"/>
  <c r="BC552" i="3"/>
  <c r="BD552" i="3"/>
  <c r="BE552" i="3"/>
  <c r="BF552" i="3"/>
  <c r="BG552" i="3"/>
  <c r="BH552" i="3"/>
  <c r="BI552" i="3"/>
  <c r="BJ552" i="3"/>
  <c r="BK552" i="3"/>
  <c r="BM552" i="3"/>
  <c r="BL552" i="3" s="1"/>
  <c r="BN552" i="3"/>
  <c r="BO552" i="3"/>
  <c r="BP552" i="3"/>
  <c r="BR552" i="3"/>
  <c r="BS552" i="3"/>
  <c r="BT552" i="3"/>
  <c r="H553" i="3"/>
  <c r="G553" i="3"/>
  <c r="AC553" i="3"/>
  <c r="BB553" i="3"/>
  <c r="BA553" i="3" s="1"/>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L554" i="3" s="1"/>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F33" i="39" s="1"/>
  <c r="S33" i="39" s="1"/>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AA40" i="37" s="1"/>
  <c r="D107" i="37"/>
  <c r="E107" i="37"/>
  <c r="F107" i="37" s="1"/>
  <c r="G107" i="37" s="1"/>
  <c r="D105" i="37"/>
  <c r="E105" i="37"/>
  <c r="F105" i="37" s="1"/>
  <c r="G105" i="37" s="1"/>
  <c r="H36" i="37"/>
  <c r="D103" i="37"/>
  <c r="E103" i="37" s="1"/>
  <c r="F103" i="37" s="1"/>
  <c r="J35" i="37"/>
  <c r="AC35" i="37"/>
  <c r="F97" i="37"/>
  <c r="E97" i="37"/>
  <c r="D97" i="37"/>
  <c r="C97" i="37"/>
  <c r="D96" i="37"/>
  <c r="E96" i="37"/>
  <c r="F96" i="37" s="1"/>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J12" i="37" s="1"/>
  <c r="W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S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H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F46" i="36" s="1"/>
  <c r="G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F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AB8" i="33" s="1"/>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H30" i="21" s="1"/>
  <c r="B94" i="21"/>
  <c r="B92" i="21"/>
  <c r="J28" i="21" s="1"/>
  <c r="B90" i="21"/>
  <c r="B74" i="21"/>
  <c r="J14" i="21" s="1"/>
  <c r="B72" i="21"/>
  <c r="B70"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AA41" i="21"/>
  <c r="W41" i="21"/>
  <c r="F39" i="37"/>
  <c r="S39" i="37" s="1"/>
  <c r="W39" i="37"/>
  <c r="F29" i="36"/>
  <c r="AA29" i="36"/>
  <c r="F16" i="36"/>
  <c r="AA16" i="36"/>
  <c r="U22" i="36"/>
  <c r="W23" i="36"/>
  <c r="W22" i="36"/>
  <c r="U26" i="36"/>
  <c r="J33" i="36"/>
  <c r="W33" i="36" s="1"/>
  <c r="AC27" i="35"/>
  <c r="U31" i="35"/>
  <c r="W36" i="35"/>
  <c r="S31" i="35"/>
  <c r="W31" i="35"/>
  <c r="U34" i="35"/>
  <c r="F36" i="34"/>
  <c r="S36" i="34"/>
  <c r="W9" i="34"/>
  <c r="S34" i="34"/>
  <c r="W39" i="34"/>
  <c r="H39" i="33"/>
  <c r="AB39" i="33" s="1"/>
  <c r="F26" i="33"/>
  <c r="AA26" i="33" s="1"/>
  <c r="U9" i="33"/>
  <c r="W38" i="33"/>
  <c r="S40" i="33"/>
  <c r="S33" i="33"/>
  <c r="W33" i="33"/>
  <c r="U38" i="33"/>
  <c r="S8" i="21"/>
  <c r="W8" i="21"/>
  <c r="H39" i="37"/>
  <c r="AB39" i="37"/>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J28" i="34"/>
  <c r="W28" i="34"/>
  <c r="E113" i="33"/>
  <c r="F36" i="33"/>
  <c r="S36" i="33"/>
  <c r="F19" i="33"/>
  <c r="S19" i="33"/>
  <c r="J19" i="33"/>
  <c r="S10" i="21"/>
  <c r="F125" i="21"/>
  <c r="G125" i="21" s="1"/>
  <c r="G86" i="40"/>
  <c r="AC34" i="36"/>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AA28" i="21"/>
  <c r="W42" i="21"/>
  <c r="S46" i="33"/>
  <c r="U36" i="37"/>
  <c r="AC13" i="36"/>
  <c r="AB45" i="33"/>
  <c r="AB31" i="33"/>
  <c r="AB27" i="33"/>
  <c r="AC28" i="33"/>
  <c r="AB44" i="21"/>
  <c r="S19" i="21"/>
  <c r="G529" i="3"/>
  <c r="G521" i="3"/>
  <c r="G517" i="3"/>
  <c r="G513" i="3"/>
  <c r="G508" i="3"/>
  <c r="G493" i="3"/>
  <c r="G485" i="3"/>
  <c r="G17" i="3"/>
  <c r="G565" i="3"/>
  <c r="G561" i="3"/>
  <c r="G557" i="3"/>
  <c r="G549" i="3"/>
  <c r="G545" i="3"/>
  <c r="G539" i="3"/>
  <c r="BL569" i="3"/>
  <c r="BL561" i="3"/>
  <c r="BL557" i="3"/>
  <c r="BL545" i="3"/>
  <c r="BL535" i="3"/>
  <c r="BL527" i="3"/>
  <c r="BL511" i="3"/>
  <c r="BL501" i="3"/>
  <c r="BL491" i="3"/>
  <c r="BL483" i="3"/>
  <c r="G16" i="3"/>
  <c r="BL559" i="3"/>
  <c r="BL555" i="3"/>
  <c r="BL551" i="3"/>
  <c r="BL541" i="3"/>
  <c r="BL525" i="3"/>
  <c r="G514" i="3"/>
  <c r="BL503" i="3"/>
  <c r="BL495" i="3"/>
  <c r="BL485" i="3"/>
  <c r="G18" i="3"/>
  <c r="BA569" i="3"/>
  <c r="AZ569" i="3" s="1"/>
  <c r="BA565" i="3"/>
  <c r="BA561" i="3"/>
  <c r="AZ561" i="3" s="1"/>
  <c r="BA559" i="3"/>
  <c r="AZ559" i="3" s="1"/>
  <c r="BA557" i="3"/>
  <c r="AZ557" i="3"/>
  <c r="BA555" i="3"/>
  <c r="AZ555" i="3"/>
  <c r="BA551" i="3"/>
  <c r="AZ551" i="3"/>
  <c r="BA545" i="3"/>
  <c r="BA543" i="3"/>
  <c r="BA521" i="3"/>
  <c r="BA505" i="3"/>
  <c r="BA501" i="3"/>
  <c r="BA493" i="3"/>
  <c r="AZ493" i="3" s="1"/>
  <c r="BA487" i="3"/>
  <c r="BA572" i="3"/>
  <c r="AZ572" i="3" s="1"/>
  <c r="BA566" i="3"/>
  <c r="BA562" i="3"/>
  <c r="AZ562" i="3" s="1"/>
  <c r="BA560" i="3"/>
  <c r="BA558" i="3"/>
  <c r="BA556" i="3"/>
  <c r="BA554" i="3"/>
  <c r="BA550" i="3"/>
  <c r="BA546" i="3"/>
  <c r="BA544" i="3"/>
  <c r="AZ544" i="3" s="1"/>
  <c r="BA536" i="3"/>
  <c r="BA528" i="3"/>
  <c r="BA524" i="3"/>
  <c r="BA520" i="3"/>
  <c r="BA516" i="3"/>
  <c r="BA512" i="3"/>
  <c r="BA508" i="3"/>
  <c r="AZ508" i="3" s="1"/>
  <c r="BA502" i="3"/>
  <c r="BA492" i="3"/>
  <c r="AZ492" i="3" s="1"/>
  <c r="BA488" i="3"/>
  <c r="BA484" i="3"/>
  <c r="AZ545" i="3"/>
  <c r="G566" i="3"/>
  <c r="G562" i="3"/>
  <c r="G560" i="3"/>
  <c r="G558" i="3"/>
  <c r="G556" i="3"/>
  <c r="G554" i="3"/>
  <c r="G550" i="3"/>
  <c r="G546" i="3"/>
  <c r="BL543" i="3"/>
  <c r="AZ543" i="3"/>
  <c r="AC542" i="3"/>
  <c r="G542" i="3" s="1"/>
  <c r="BQ542" i="3"/>
  <c r="BQ568" i="3"/>
  <c r="BQ566" i="3"/>
  <c r="BL566" i="3" s="1"/>
  <c r="BQ564" i="3"/>
  <c r="BL564" i="3"/>
  <c r="BQ562" i="3"/>
  <c r="BL562" i="3"/>
  <c r="BQ560" i="3"/>
  <c r="BL560" i="3" s="1"/>
  <c r="AZ560" i="3" s="1"/>
  <c r="BQ558" i="3"/>
  <c r="BL558" i="3" s="1"/>
  <c r="BQ556" i="3"/>
  <c r="BL556" i="3" s="1"/>
  <c r="AZ556" i="3" s="1"/>
  <c r="BQ554" i="3"/>
  <c r="BQ552" i="3"/>
  <c r="BQ550" i="3"/>
  <c r="BL550" i="3" s="1"/>
  <c r="AZ550" i="3" s="1"/>
  <c r="BQ548" i="3"/>
  <c r="BL548" i="3" s="1"/>
  <c r="BQ546" i="3"/>
  <c r="BL546" i="3"/>
  <c r="AZ546" i="3" s="1"/>
  <c r="BQ544" i="3"/>
  <c r="BL544" i="3"/>
  <c r="G544" i="3"/>
  <c r="G538" i="3"/>
  <c r="G534" i="3"/>
  <c r="G530" i="3"/>
  <c r="G526" i="3"/>
  <c r="G522" i="3"/>
  <c r="BQ540" i="3"/>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Q508" i="3"/>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Q486" i="3"/>
  <c r="BL486" i="3" s="1"/>
  <c r="BQ484" i="3"/>
  <c r="BL484" i="3"/>
  <c r="AZ484" i="3" s="1"/>
  <c r="BQ482" i="3"/>
  <c r="BL482" i="3"/>
  <c r="BQ20" i="3"/>
  <c r="BL20" i="3"/>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A13" i="33"/>
  <c r="AC45" i="33"/>
  <c r="U19" i="21"/>
  <c r="AC33" i="21"/>
  <c r="AA36" i="21"/>
  <c r="S39" i="33"/>
  <c r="F43" i="33"/>
  <c r="AA23" i="37"/>
  <c r="AB44" i="33"/>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AC12" i="37"/>
  <c r="H15" i="37"/>
  <c r="U15" i="37"/>
  <c r="E94" i="37"/>
  <c r="F31" i="37"/>
  <c r="S31" i="37" s="1"/>
  <c r="F94" i="37"/>
  <c r="G94" i="37" s="1"/>
  <c r="H94" i="37" s="1"/>
  <c r="I94" i="37" s="1"/>
  <c r="J94" i="37" s="1"/>
  <c r="K94" i="37" s="1"/>
  <c r="L94" i="37" s="1"/>
  <c r="M94" i="37" s="1"/>
  <c r="H31" i="37"/>
  <c r="AB31" i="37" s="1"/>
  <c r="J15" i="37"/>
  <c r="J11" i="37"/>
  <c r="U31" i="37"/>
  <c r="E90" i="40"/>
  <c r="F21" i="40"/>
  <c r="W36" i="40"/>
  <c r="F90" i="40"/>
  <c r="G90" i="40" s="1"/>
  <c r="J21" i="40"/>
  <c r="AC21" i="40"/>
  <c r="S27" i="31"/>
  <c r="AZ540" i="3"/>
  <c r="G483" i="3"/>
  <c r="G515" i="3"/>
  <c r="G507"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c r="I78" i="40" s="1"/>
  <c r="J78" i="40" s="1"/>
  <c r="K78" i="40" s="1"/>
  <c r="L78" i="40" s="1"/>
  <c r="M78" i="40" s="1"/>
  <c r="BH5" i="3"/>
  <c r="R16" i="4"/>
  <c r="P16" i="4"/>
  <c r="D3" i="35"/>
  <c r="G4" i="4"/>
  <c r="J16" i="35"/>
  <c r="W16" i="35" s="1"/>
  <c r="U42" i="21"/>
  <c r="AC26" i="36"/>
  <c r="W25" i="35"/>
  <c r="AZ354" i="3"/>
  <c r="H13" i="39"/>
  <c r="F13" i="39"/>
  <c r="AA13" i="39" s="1"/>
  <c r="J13" i="39"/>
  <c r="AC13" i="39" s="1"/>
  <c r="AA36" i="35"/>
  <c r="H11" i="37"/>
  <c r="AB11" i="37" s="1"/>
  <c r="W37" i="37"/>
  <c r="AA30" i="33"/>
  <c r="AA36" i="37"/>
  <c r="U32" i="33"/>
  <c r="AB17" i="37"/>
  <c r="AZ488" i="3"/>
  <c r="AZ516" i="3"/>
  <c r="AZ532" i="3"/>
  <c r="AC29" i="33"/>
  <c r="AA45" i="33"/>
  <c r="AC11" i="36"/>
  <c r="AB45" i="34"/>
  <c r="AB35" i="35"/>
  <c r="W44" i="33"/>
  <c r="AC30" i="33"/>
  <c r="W30" i="33"/>
  <c r="AC29" i="37"/>
  <c r="W32" i="36"/>
  <c r="AC32" i="36"/>
  <c r="U28" i="33"/>
  <c r="J33" i="34"/>
  <c r="AC33" i="34" s="1"/>
  <c r="AB36" i="34"/>
  <c r="J40" i="34"/>
  <c r="W40" i="34"/>
  <c r="F16" i="35"/>
  <c r="AA16" i="35"/>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F11" i="33"/>
  <c r="J15" i="33"/>
  <c r="H19" i="33"/>
  <c r="F32" i="33"/>
  <c r="AA32" i="33" s="1"/>
  <c r="J32" i="33"/>
  <c r="AC32" i="33" s="1"/>
  <c r="F35" i="33"/>
  <c r="AB39" i="34"/>
  <c r="F11" i="34"/>
  <c r="S11" i="34"/>
  <c r="E80" i="34"/>
  <c r="F80" i="34"/>
  <c r="G80" i="34" s="1"/>
  <c r="H17" i="34"/>
  <c r="AB17" i="34"/>
  <c r="W27" i="34"/>
  <c r="S12" i="35"/>
  <c r="AB28" i="35"/>
  <c r="J13" i="33"/>
  <c r="H13" i="33"/>
  <c r="U13" i="33" s="1"/>
  <c r="H29" i="33"/>
  <c r="AB29" i="33" s="1"/>
  <c r="F29" i="33"/>
  <c r="AA29" i="33" s="1"/>
  <c r="J12" i="34"/>
  <c r="H12" i="34"/>
  <c r="F12" i="34"/>
  <c r="S12" i="34" s="1"/>
  <c r="J14" i="34"/>
  <c r="W14" i="34" s="1"/>
  <c r="F14" i="34"/>
  <c r="S14" i="34" s="1"/>
  <c r="H14" i="34"/>
  <c r="H30" i="34"/>
  <c r="F30" i="34"/>
  <c r="S30" i="34" s="1"/>
  <c r="J30" i="34"/>
  <c r="H32" i="34"/>
  <c r="AB32" i="34" s="1"/>
  <c r="F32" i="34"/>
  <c r="AA32" i="34" s="1"/>
  <c r="J32" i="34"/>
  <c r="H46" i="34"/>
  <c r="AB46" i="34" s="1"/>
  <c r="F46" i="34"/>
  <c r="J46" i="34"/>
  <c r="H11" i="35"/>
  <c r="U11" i="35" s="1"/>
  <c r="J11" i="35"/>
  <c r="AC11" i="35"/>
  <c r="H32" i="37"/>
  <c r="F19" i="39"/>
  <c r="H19" i="39"/>
  <c r="U19" i="39" s="1"/>
  <c r="J19" i="39"/>
  <c r="W19" i="39"/>
  <c r="F43" i="39"/>
  <c r="H43" i="39"/>
  <c r="J43" i="39"/>
  <c r="AC43" i="39" s="1"/>
  <c r="F99" i="37"/>
  <c r="AC27" i="37"/>
  <c r="S45" i="34"/>
  <c r="AC40" i="37"/>
  <c r="W27" i="33"/>
  <c r="S28" i="33"/>
  <c r="AA44" i="34"/>
  <c r="U29" i="35"/>
  <c r="AC19" i="33"/>
  <c r="W19" i="33"/>
  <c r="U43" i="34"/>
  <c r="AB43" i="34"/>
  <c r="S35" i="37"/>
  <c r="AB10" i="35"/>
  <c r="AA32" i="21"/>
  <c r="S32" i="21"/>
  <c r="U38" i="21"/>
  <c r="AB34" i="21"/>
  <c r="BA571" i="3"/>
  <c r="AZ571" i="3" s="1"/>
  <c r="BL570" i="3"/>
  <c r="BE5" i="3"/>
  <c r="F42" i="21"/>
  <c r="AA42" i="21"/>
  <c r="AB40" i="33"/>
  <c r="U40" i="33"/>
  <c r="S35" i="34"/>
  <c r="H27" i="34"/>
  <c r="AB27" i="34" s="1"/>
  <c r="AB8" i="35"/>
  <c r="U8" i="35"/>
  <c r="S9" i="35"/>
  <c r="J14" i="35"/>
  <c r="AC14" i="35"/>
  <c r="F14" i="35"/>
  <c r="H14" i="35"/>
  <c r="U14" i="35" s="1"/>
  <c r="E80" i="35"/>
  <c r="E94" i="35"/>
  <c r="F94" i="35"/>
  <c r="G94" i="35" s="1"/>
  <c r="H94" i="35"/>
  <c r="I94" i="35" s="1"/>
  <c r="J94" i="35" s="1"/>
  <c r="K94" i="35" s="1"/>
  <c r="L94" i="35" s="1"/>
  <c r="M94" i="35" s="1"/>
  <c r="J32" i="35"/>
  <c r="H11" i="36"/>
  <c r="F11" i="36"/>
  <c r="W16" i="36"/>
  <c r="AC16" i="36"/>
  <c r="E78" i="36"/>
  <c r="F78" i="36" s="1"/>
  <c r="G78" i="36" s="1"/>
  <c r="H78" i="36" s="1"/>
  <c r="I78" i="36" s="1"/>
  <c r="J78" i="36" s="1"/>
  <c r="K78" i="36" s="1"/>
  <c r="L78" i="36" s="1"/>
  <c r="M78" i="36" s="1"/>
  <c r="F26" i="36"/>
  <c r="S26" i="36"/>
  <c r="U34" i="36"/>
  <c r="AB34" i="36"/>
  <c r="U33" i="36"/>
  <c r="H27" i="36"/>
  <c r="AB27" i="36"/>
  <c r="AA31" i="36"/>
  <c r="AC25" i="37"/>
  <c r="AC26" i="37"/>
  <c r="W26" i="37"/>
  <c r="AB29" i="37"/>
  <c r="AA30" i="37"/>
  <c r="AC30" i="37"/>
  <c r="AC31" i="37"/>
  <c r="W31" i="37"/>
  <c r="AB14" i="37"/>
  <c r="F17" i="39"/>
  <c r="AA17" i="39" s="1"/>
  <c r="H17" i="39"/>
  <c r="J17" i="39"/>
  <c r="W17" i="39" s="1"/>
  <c r="F21" i="39"/>
  <c r="S21" i="39" s="1"/>
  <c r="H21" i="39"/>
  <c r="AB21" i="39" s="1"/>
  <c r="J21" i="39"/>
  <c r="W21" i="39"/>
  <c r="H33" i="39"/>
  <c r="U33" i="39" s="1"/>
  <c r="J33" i="39"/>
  <c r="W33" i="39" s="1"/>
  <c r="F44" i="39"/>
  <c r="S44" i="39"/>
  <c r="H44" i="39"/>
  <c r="U44" i="39"/>
  <c r="J44" i="39"/>
  <c r="W44" i="39"/>
  <c r="E128" i="39"/>
  <c r="F128" i="39"/>
  <c r="G128" i="39" s="1"/>
  <c r="H128" i="39"/>
  <c r="I128" i="39" s="1"/>
  <c r="J128" i="39" s="1"/>
  <c r="K128" i="39" s="1"/>
  <c r="L128" i="39" s="1"/>
  <c r="M128" i="39" s="1"/>
  <c r="F46" i="39"/>
  <c r="S46" i="39" s="1"/>
  <c r="H46" i="39"/>
  <c r="U46" i="39" s="1"/>
  <c r="J46" i="39"/>
  <c r="F29" i="39"/>
  <c r="AA29" i="39" s="1"/>
  <c r="E103" i="39"/>
  <c r="F103" i="39" s="1"/>
  <c r="G103" i="39"/>
  <c r="H29" i="39"/>
  <c r="U29" i="39"/>
  <c r="F34" i="39"/>
  <c r="AA34" i="39"/>
  <c r="H34" i="39"/>
  <c r="AB34" i="39"/>
  <c r="J34" i="39"/>
  <c r="AC34" i="39"/>
  <c r="F39" i="39"/>
  <c r="H39" i="39"/>
  <c r="AB39" i="39" s="1"/>
  <c r="J39" i="39"/>
  <c r="W39" i="39" s="1"/>
  <c r="J29" i="35"/>
  <c r="AC29" i="35"/>
  <c r="F29" i="35"/>
  <c r="S29" i="35"/>
  <c r="W30" i="36"/>
  <c r="AC30" i="36"/>
  <c r="F37" i="39"/>
  <c r="S37" i="39"/>
  <c r="H37" i="39"/>
  <c r="U37" i="39"/>
  <c r="J37" i="39"/>
  <c r="W37" i="39"/>
  <c r="BA568" i="3"/>
  <c r="AZ568" i="3" s="1"/>
  <c r="BL567" i="3"/>
  <c r="AZ567" i="3"/>
  <c r="AZ566" i="3"/>
  <c r="BL565" i="3"/>
  <c r="AZ565" i="3"/>
  <c r="BA564" i="3"/>
  <c r="AZ564" i="3"/>
  <c r="AZ563" i="3"/>
  <c r="AZ554" i="3"/>
  <c r="AZ553" i="3"/>
  <c r="AZ552" i="3"/>
  <c r="BL549" i="3"/>
  <c r="BA549" i="3"/>
  <c r="AZ549" i="3" s="1"/>
  <c r="BA548" i="3"/>
  <c r="BL547" i="3"/>
  <c r="BA547" i="3"/>
  <c r="AZ547" i="3" s="1"/>
  <c r="BL539" i="3"/>
  <c r="BA539" i="3"/>
  <c r="AZ539" i="3" s="1"/>
  <c r="BA538" i="3"/>
  <c r="AZ538" i="3" s="1"/>
  <c r="BL537" i="3"/>
  <c r="BA537" i="3"/>
  <c r="BL536" i="3"/>
  <c r="BA535" i="3"/>
  <c r="AZ535" i="3" s="1"/>
  <c r="BA534" i="3"/>
  <c r="AZ534" i="3" s="1"/>
  <c r="BA533" i="3"/>
  <c r="AZ533" i="3" s="1"/>
  <c r="BL531" i="3"/>
  <c r="BL530" i="3"/>
  <c r="AZ530" i="3" s="1"/>
  <c r="BA530" i="3"/>
  <c r="BL529" i="3"/>
  <c r="BA529" i="3"/>
  <c r="BL528" i="3"/>
  <c r="BA527" i="3"/>
  <c r="AZ527" i="3" s="1"/>
  <c r="BA526" i="3"/>
  <c r="AZ526" i="3" s="1"/>
  <c r="BA525" i="3"/>
  <c r="AZ525" i="3" s="1"/>
  <c r="BL523" i="3"/>
  <c r="BA523" i="3"/>
  <c r="AZ523" i="3"/>
  <c r="BL522" i="3"/>
  <c r="BA522" i="3"/>
  <c r="AZ522" i="3" s="1"/>
  <c r="BL521" i="3"/>
  <c r="BA519" i="3"/>
  <c r="AZ519" i="3" s="1"/>
  <c r="BL518" i="3"/>
  <c r="AZ518" i="3" s="1"/>
  <c r="BA517" i="3"/>
  <c r="AZ517" i="3" s="1"/>
  <c r="BL515" i="3"/>
  <c r="AZ515" i="3" s="1"/>
  <c r="BA515" i="3"/>
  <c r="BA514" i="3"/>
  <c r="AZ514" i="3" s="1"/>
  <c r="BL513" i="3"/>
  <c r="BA513" i="3"/>
  <c r="AZ513" i="3"/>
  <c r="BL512" i="3"/>
  <c r="AZ512" i="3"/>
  <c r="BA511" i="3"/>
  <c r="AZ511" i="3"/>
  <c r="AZ510" i="3"/>
  <c r="AZ509" i="3"/>
  <c r="BA507" i="3"/>
  <c r="AZ507" i="3" s="1"/>
  <c r="BL506" i="3"/>
  <c r="AZ506" i="3" s="1"/>
  <c r="AZ505" i="3"/>
  <c r="BA504" i="3"/>
  <c r="BA503" i="3"/>
  <c r="AZ503" i="3"/>
  <c r="BA500" i="3"/>
  <c r="AZ500" i="3"/>
  <c r="BA499" i="3"/>
  <c r="AZ499" i="3" s="1"/>
  <c r="BL498" i="3"/>
  <c r="BL497" i="3"/>
  <c r="BL496" i="3"/>
  <c r="AZ496" i="3"/>
  <c r="BA495" i="3"/>
  <c r="AZ495" i="3"/>
  <c r="BL494" i="3"/>
  <c r="BA494" i="3"/>
  <c r="AZ494" i="3" s="1"/>
  <c r="G494" i="3"/>
  <c r="BA491" i="3"/>
  <c r="AZ491" i="3"/>
  <c r="BL490" i="3"/>
  <c r="BA490" i="3"/>
  <c r="AZ490" i="3" s="1"/>
  <c r="BL489" i="3"/>
  <c r="AZ489" i="3" s="1"/>
  <c r="AZ487" i="3"/>
  <c r="BA486" i="3"/>
  <c r="BA485" i="3"/>
  <c r="AZ485" i="3"/>
  <c r="BA483" i="3"/>
  <c r="AZ483" i="3"/>
  <c r="BA482" i="3"/>
  <c r="AZ482" i="3"/>
  <c r="BJ5" i="3"/>
  <c r="AZ481" i="3"/>
  <c r="BL19" i="3"/>
  <c r="BA18" i="3"/>
  <c r="F114" i="34"/>
  <c r="G114" i="34" s="1"/>
  <c r="H114" i="34" s="1"/>
  <c r="I114" i="34" s="1"/>
  <c r="J114" i="34" s="1"/>
  <c r="K114" i="34" s="1"/>
  <c r="L114" i="34" s="1"/>
  <c r="M114" i="34" s="1"/>
  <c r="H38" i="34"/>
  <c r="H30" i="40"/>
  <c r="G100" i="40"/>
  <c r="H100" i="40" s="1"/>
  <c r="J30" i="40"/>
  <c r="AC30" i="40"/>
  <c r="F38" i="40"/>
  <c r="AA38" i="40"/>
  <c r="AA36" i="34"/>
  <c r="AB33" i="21"/>
  <c r="S35" i="21"/>
  <c r="AB10" i="21"/>
  <c r="AB8" i="21"/>
  <c r="S34" i="21"/>
  <c r="AC36" i="21"/>
  <c r="U8" i="33"/>
  <c r="E106" i="33"/>
  <c r="H34" i="33"/>
  <c r="U34" i="33" s="1"/>
  <c r="F34" i="33"/>
  <c r="S34" i="33" s="1"/>
  <c r="E121" i="33"/>
  <c r="F121" i="33" s="1"/>
  <c r="F41" i="33"/>
  <c r="S41" i="33"/>
  <c r="W34" i="34"/>
  <c r="AA39" i="34"/>
  <c r="S39" i="34"/>
  <c r="S43" i="34"/>
  <c r="E78" i="34"/>
  <c r="F15" i="34"/>
  <c r="AC28" i="35"/>
  <c r="W28" i="35"/>
  <c r="J20" i="35"/>
  <c r="E72" i="35"/>
  <c r="F72" i="35" s="1"/>
  <c r="G72" i="35"/>
  <c r="H22" i="35"/>
  <c r="AB22" i="35"/>
  <c r="H23" i="35"/>
  <c r="F23" i="35"/>
  <c r="AA23" i="35" s="1"/>
  <c r="AB36" i="35"/>
  <c r="U36" i="35"/>
  <c r="W12" i="36"/>
  <c r="U31" i="36"/>
  <c r="S8" i="37"/>
  <c r="AA8" i="37"/>
  <c r="F14" i="39"/>
  <c r="AA14" i="39"/>
  <c r="H14" i="39"/>
  <c r="AB14" i="39"/>
  <c r="J14" i="39"/>
  <c r="AC14" i="39"/>
  <c r="F16" i="39"/>
  <c r="AA16" i="39"/>
  <c r="H16" i="39"/>
  <c r="U16" i="39"/>
  <c r="J16" i="39"/>
  <c r="AC16" i="39"/>
  <c r="F23" i="39"/>
  <c r="AA23" i="39"/>
  <c r="E97" i="39"/>
  <c r="F27" i="39"/>
  <c r="H27" i="39"/>
  <c r="J27" i="39"/>
  <c r="F15" i="40"/>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J32" i="40"/>
  <c r="AC32" i="40" s="1"/>
  <c r="H32" i="40"/>
  <c r="H33" i="40"/>
  <c r="F33" i="40"/>
  <c r="AA33" i="40" s="1"/>
  <c r="J33" i="40"/>
  <c r="AC33" i="40" s="1"/>
  <c r="H35" i="40"/>
  <c r="AB35" i="40" s="1"/>
  <c r="F35" i="40"/>
  <c r="AA35" i="40" s="1"/>
  <c r="J35" i="40"/>
  <c r="J38" i="39"/>
  <c r="W38" i="39" s="1"/>
  <c r="H38" i="39"/>
  <c r="U38" i="39" s="1"/>
  <c r="J16" i="40"/>
  <c r="J14" i="40"/>
  <c r="W14" i="40" s="1"/>
  <c r="H42" i="40"/>
  <c r="AB42" i="40" s="1"/>
  <c r="H34" i="40"/>
  <c r="U34" i="40"/>
  <c r="AZ391" i="3"/>
  <c r="AZ399" i="3"/>
  <c r="AZ403" i="3"/>
  <c r="AZ407" i="3"/>
  <c r="AZ415" i="3"/>
  <c r="AZ423" i="3"/>
  <c r="AZ431" i="3"/>
  <c r="AZ439" i="3"/>
  <c r="AZ454" i="3"/>
  <c r="B41" i="1"/>
  <c r="J42" i="40"/>
  <c r="AC42" i="40"/>
  <c r="J34" i="40"/>
  <c r="AC34" i="40"/>
  <c r="H16" i="40"/>
  <c r="AB16" i="40"/>
  <c r="H14" i="40"/>
  <c r="U14" i="40"/>
  <c r="F32" i="40"/>
  <c r="AA32" i="40"/>
  <c r="AZ401" i="3"/>
  <c r="AZ428" i="3"/>
  <c r="AZ433" i="3"/>
  <c r="AZ436" i="3"/>
  <c r="AZ441" i="3"/>
  <c r="AZ444" i="3"/>
  <c r="AZ449" i="3"/>
  <c r="AZ452" i="3"/>
  <c r="M1" i="46"/>
  <c r="M6" i="46"/>
  <c r="M10" i="46"/>
  <c r="N2" i="46"/>
  <c r="N5" i="46"/>
  <c r="F58"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27" i="43"/>
  <c r="F71" i="9"/>
  <c r="AC14" i="40"/>
  <c r="S33" i="40"/>
  <c r="AC47" i="39"/>
  <c r="S47" i="39"/>
  <c r="AB25" i="39"/>
  <c r="AB37" i="34"/>
  <c r="AC41" i="40"/>
  <c r="W41" i="40"/>
  <c r="U41" i="40"/>
  <c r="J23" i="40"/>
  <c r="AC23" i="40" s="1"/>
  <c r="G92" i="40"/>
  <c r="F23" i="40"/>
  <c r="S23" i="40"/>
  <c r="S23" i="39"/>
  <c r="AB16" i="39"/>
  <c r="W14" i="39"/>
  <c r="U23" i="35"/>
  <c r="AB23" i="35"/>
  <c r="H20" i="35"/>
  <c r="F20" i="35"/>
  <c r="S20" i="35" s="1"/>
  <c r="H15" i="34"/>
  <c r="F78" i="34"/>
  <c r="G78" i="34" s="1"/>
  <c r="J15" i="34"/>
  <c r="AC15" i="34" s="1"/>
  <c r="H41" i="33"/>
  <c r="U41" i="33"/>
  <c r="G121" i="33"/>
  <c r="H121" i="33" s="1"/>
  <c r="I121" i="33" s="1"/>
  <c r="J121" i="33" s="1"/>
  <c r="K121" i="33" s="1"/>
  <c r="L121" i="33" s="1"/>
  <c r="M121" i="33" s="1"/>
  <c r="F30" i="40"/>
  <c r="AA30" i="40"/>
  <c r="I100" i="40"/>
  <c r="J100" i="40" s="1"/>
  <c r="K100" i="40" s="1"/>
  <c r="L100" i="40" s="1"/>
  <c r="M100" i="40" s="1"/>
  <c r="AZ486" i="3"/>
  <c r="AZ504" i="3"/>
  <c r="AZ529" i="3"/>
  <c r="AZ537" i="3"/>
  <c r="AZ548" i="3"/>
  <c r="AB37" i="39"/>
  <c r="AA29" i="35"/>
  <c r="U39" i="39"/>
  <c r="J29" i="39"/>
  <c r="AC29" i="39"/>
  <c r="U21" i="39"/>
  <c r="AB33" i="36"/>
  <c r="AA14" i="35"/>
  <c r="S14" i="35"/>
  <c r="G99" i="37"/>
  <c r="H99" i="37" s="1"/>
  <c r="F33" i="37"/>
  <c r="AB19" i="39"/>
  <c r="U46" i="34"/>
  <c r="AA14" i="34"/>
  <c r="U29" i="33"/>
  <c r="U17" i="34"/>
  <c r="AA11" i="34"/>
  <c r="W32" i="33"/>
  <c r="H15" i="33"/>
  <c r="U15" i="33"/>
  <c r="AA40" i="21"/>
  <c r="U17" i="21"/>
  <c r="U16" i="40"/>
  <c r="W34" i="40"/>
  <c r="AB34" i="40"/>
  <c r="U42" i="40"/>
  <c r="W32" i="40"/>
  <c r="H25" i="40"/>
  <c r="AB25" i="40"/>
  <c r="F94" i="40"/>
  <c r="G94" i="40"/>
  <c r="U47" i="39"/>
  <c r="W15" i="39"/>
  <c r="J37" i="34"/>
  <c r="AC37" i="34"/>
  <c r="J36" i="33"/>
  <c r="W36" i="33"/>
  <c r="S41" i="40"/>
  <c r="AB23" i="40"/>
  <c r="H23" i="39"/>
  <c r="J23" i="39"/>
  <c r="F97" i="39"/>
  <c r="G97" i="39" s="1"/>
  <c r="S16" i="39"/>
  <c r="S15" i="34"/>
  <c r="AA15" i="34"/>
  <c r="AA41" i="33"/>
  <c r="AA34" i="33"/>
  <c r="F106" i="33"/>
  <c r="G106" i="33"/>
  <c r="H106" i="33" s="1"/>
  <c r="I106" i="33"/>
  <c r="J106" i="33" s="1"/>
  <c r="K106" i="33" s="1"/>
  <c r="L106" i="33" s="1"/>
  <c r="M106" i="33" s="1"/>
  <c r="J34" i="33"/>
  <c r="AC34" i="33"/>
  <c r="AA37" i="39"/>
  <c r="W29" i="35"/>
  <c r="AC39" i="39"/>
  <c r="AA39" i="39"/>
  <c r="S39" i="39"/>
  <c r="U34" i="39"/>
  <c r="AB29" i="39"/>
  <c r="AB46" i="39"/>
  <c r="AB44" i="39"/>
  <c r="AC33" i="39"/>
  <c r="AA33" i="39"/>
  <c r="S17" i="39"/>
  <c r="F80" i="35"/>
  <c r="G80" i="35" s="1"/>
  <c r="H80" i="35"/>
  <c r="I80" i="35" s="1"/>
  <c r="J80" i="35" s="1"/>
  <c r="K80" i="35" s="1"/>
  <c r="L80" i="35" s="1"/>
  <c r="M80" i="35" s="1"/>
  <c r="W14" i="35"/>
  <c r="G90" i="34"/>
  <c r="H90" i="34" s="1"/>
  <c r="I90" i="34" s="1"/>
  <c r="J90" i="34" s="1"/>
  <c r="K90" i="34" s="1"/>
  <c r="L90" i="34" s="1"/>
  <c r="M90" i="34" s="1"/>
  <c r="F27" i="34"/>
  <c r="S27" i="34"/>
  <c r="W43" i="39"/>
  <c r="AA43" i="39"/>
  <c r="S43" i="39"/>
  <c r="G96" i="37"/>
  <c r="H96" i="37" s="1"/>
  <c r="I96" i="37"/>
  <c r="J96" i="37" s="1"/>
  <c r="K96" i="37" s="1"/>
  <c r="L96" i="37" s="1"/>
  <c r="M96" i="37" s="1"/>
  <c r="F32" i="37"/>
  <c r="S32" i="37"/>
  <c r="AB11" i="35"/>
  <c r="U32" i="34"/>
  <c r="AC14" i="34"/>
  <c r="AB13" i="33"/>
  <c r="F17" i="34"/>
  <c r="AA17" i="34" s="1"/>
  <c r="J17" i="34"/>
  <c r="H11" i="34"/>
  <c r="J35" i="33"/>
  <c r="S32" i="33"/>
  <c r="H11" i="33"/>
  <c r="U11" i="33" s="1"/>
  <c r="H10" i="33"/>
  <c r="I66" i="33"/>
  <c r="J10" i="33"/>
  <c r="AC10" i="33"/>
  <c r="U40" i="21"/>
  <c r="U11" i="37"/>
  <c r="AC16" i="35"/>
  <c r="AC13" i="40"/>
  <c r="J11" i="34"/>
  <c r="W11" i="34" s="1"/>
  <c r="S17" i="34"/>
  <c r="AC36" i="33"/>
  <c r="F25" i="40"/>
  <c r="J11" i="33"/>
  <c r="W11" i="33" s="1"/>
  <c r="H33" i="37"/>
  <c r="AB33" i="37" s="1"/>
  <c r="W15" i="34"/>
  <c r="U20" i="35"/>
  <c r="AB20" i="35"/>
  <c r="W23" i="40"/>
  <c r="B11" i="1"/>
  <c r="E11" i="1" s="1"/>
  <c r="K11" i="1"/>
  <c r="M11" i="1" s="1"/>
  <c r="O11" i="1" s="1"/>
  <c r="B9" i="1"/>
  <c r="E9" i="1" s="1"/>
  <c r="K9" i="1"/>
  <c r="M9" i="1" s="1"/>
  <c r="O9" i="1" s="1"/>
  <c r="B7" i="1"/>
  <c r="E7" i="1" s="1"/>
  <c r="K7" i="1"/>
  <c r="C20" i="43"/>
  <c r="F6" i="1"/>
  <c r="G11" i="1"/>
  <c r="M22" i="44"/>
  <c r="F70" i="9"/>
  <c r="M20" i="44"/>
  <c r="F30" i="44"/>
  <c r="C30" i="44" s="1"/>
  <c r="S23" i="36"/>
  <c r="S8" i="36"/>
  <c r="AA26" i="36"/>
  <c r="U25" i="36"/>
  <c r="H20" i="36"/>
  <c r="U20" i="36"/>
  <c r="F68" i="36"/>
  <c r="G68" i="36"/>
  <c r="J20" i="36"/>
  <c r="AC20" i="36"/>
  <c r="F20" i="36"/>
  <c r="S20" i="36"/>
  <c r="F62" i="36"/>
  <c r="G62" i="36"/>
  <c r="J14" i="36"/>
  <c r="H14" i="36"/>
  <c r="U14" i="36" s="1"/>
  <c r="F14" i="36"/>
  <c r="AA14" i="36"/>
  <c r="W20" i="36"/>
  <c r="U27" i="36"/>
  <c r="U32" i="36"/>
  <c r="AB12" i="36"/>
  <c r="S16" i="36"/>
  <c r="S29" i="36"/>
  <c r="AC33" i="35"/>
  <c r="U22" i="35"/>
  <c r="AA13" i="35"/>
  <c r="AC9" i="35"/>
  <c r="S8" i="35"/>
  <c r="AA20" i="35"/>
  <c r="S23" i="35"/>
  <c r="S16" i="35"/>
  <c r="AB14" i="35"/>
  <c r="U9" i="35"/>
  <c r="AC18" i="35"/>
  <c r="W18" i="35"/>
  <c r="U18" i="35"/>
  <c r="AB18" i="35"/>
  <c r="S30" i="35"/>
  <c r="AB30" i="35"/>
  <c r="S27" i="35"/>
  <c r="S28" i="35"/>
  <c r="J26" i="35"/>
  <c r="F26" i="35"/>
  <c r="AA26" i="35" s="1"/>
  <c r="H26" i="35"/>
  <c r="AB9" i="37"/>
  <c r="AA9" i="37"/>
  <c r="S17" i="37"/>
  <c r="W28" i="37"/>
  <c r="AA31" i="37"/>
  <c r="S33" i="37"/>
  <c r="AA33" i="37"/>
  <c r="AA32" i="37"/>
  <c r="J33" i="37"/>
  <c r="W33" i="37"/>
  <c r="I99" i="37"/>
  <c r="J99" i="37" s="1"/>
  <c r="K99" i="37"/>
  <c r="L99" i="37" s="1"/>
  <c r="M99" i="37" s="1"/>
  <c r="S29" i="37"/>
  <c r="J19" i="37"/>
  <c r="AC19" i="37" s="1"/>
  <c r="G75" i="37"/>
  <c r="F19" i="37"/>
  <c r="AA19" i="37"/>
  <c r="H19" i="37"/>
  <c r="J17" i="37"/>
  <c r="AC17" i="37" s="1"/>
  <c r="S15" i="37"/>
  <c r="AC10" i="37"/>
  <c r="AC21" i="37"/>
  <c r="W21" i="37"/>
  <c r="AC9" i="37"/>
  <c r="U35" i="37"/>
  <c r="U8" i="37"/>
  <c r="AB25" i="37"/>
  <c r="AB21" i="37"/>
  <c r="U21" i="37"/>
  <c r="S40" i="37"/>
  <c r="AA11" i="37"/>
  <c r="S10" i="37"/>
  <c r="AC45" i="34"/>
  <c r="AA40" i="34"/>
  <c r="W33" i="34"/>
  <c r="S32" i="34"/>
  <c r="AB33" i="34"/>
  <c r="AA12" i="34"/>
  <c r="AC35" i="34"/>
  <c r="AA30" i="34"/>
  <c r="AA33" i="34"/>
  <c r="U44" i="34"/>
  <c r="U34" i="34"/>
  <c r="AA27" i="34"/>
  <c r="J25" i="34"/>
  <c r="H25" i="34"/>
  <c r="U25" i="34" s="1"/>
  <c r="F25" i="34"/>
  <c r="J23" i="34"/>
  <c r="AC23" i="34" s="1"/>
  <c r="F86" i="34"/>
  <c r="G86" i="34"/>
  <c r="F23" i="34"/>
  <c r="H23" i="34"/>
  <c r="U23" i="34" s="1"/>
  <c r="AC11" i="34"/>
  <c r="W10" i="34"/>
  <c r="U10" i="34"/>
  <c r="W37" i="34"/>
  <c r="AC40" i="34"/>
  <c r="W44" i="34"/>
  <c r="W29" i="34"/>
  <c r="AC21" i="34"/>
  <c r="W21" i="34"/>
  <c r="AB21" i="34"/>
  <c r="U21" i="34"/>
  <c r="U27" i="34"/>
  <c r="U19" i="34"/>
  <c r="AB41" i="34"/>
  <c r="AA41" i="34"/>
  <c r="S9" i="34"/>
  <c r="S10" i="34"/>
  <c r="U37" i="33"/>
  <c r="W34" i="33"/>
  <c r="AC12" i="33"/>
  <c r="AB11" i="33"/>
  <c r="AB41" i="33"/>
  <c r="U36" i="33"/>
  <c r="S29" i="33"/>
  <c r="W43"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F79" i="33"/>
  <c r="G79" i="33" s="1"/>
  <c r="F17" i="33"/>
  <c r="AA17" i="33" s="1"/>
  <c r="H17" i="33"/>
  <c r="J17" i="33"/>
  <c r="W17" i="33" s="1"/>
  <c r="AB15" i="33"/>
  <c r="AC11" i="33"/>
  <c r="S14" i="33"/>
  <c r="W10" i="33"/>
  <c r="AC21" i="33"/>
  <c r="W21" i="33"/>
  <c r="W14" i="33"/>
  <c r="U25" i="33"/>
  <c r="AB21" i="33"/>
  <c r="U21" i="33"/>
  <c r="AA21" i="33"/>
  <c r="S21" i="33"/>
  <c r="AA36" i="33"/>
  <c r="W39" i="21"/>
  <c r="AC34" i="21"/>
  <c r="W32" i="21"/>
  <c r="U35" i="21"/>
  <c r="W43" i="21"/>
  <c r="AA37" i="21"/>
  <c r="S42" i="21"/>
  <c r="AB37" i="21"/>
  <c r="AB32" i="21"/>
  <c r="AC46" i="21"/>
  <c r="AC26" i="21"/>
  <c r="F85" i="21"/>
  <c r="G85" i="21" s="1"/>
  <c r="J23" i="21"/>
  <c r="W23" i="21" s="1"/>
  <c r="F23" i="21"/>
  <c r="AA23" i="21" s="1"/>
  <c r="H23" i="21"/>
  <c r="AA17" i="21"/>
  <c r="W17" i="21"/>
  <c r="F15" i="21"/>
  <c r="S15" i="21" s="1"/>
  <c r="F77" i="21"/>
  <c r="G77" i="21" s="1"/>
  <c r="J15" i="21"/>
  <c r="W15" i="21" s="1"/>
  <c r="H15" i="21"/>
  <c r="AC11" i="21"/>
  <c r="AB11" i="21"/>
  <c r="W13" i="21"/>
  <c r="AA11" i="21"/>
  <c r="AC21" i="21"/>
  <c r="W21" i="21"/>
  <c r="AC19" i="21"/>
  <c r="W10" i="21"/>
  <c r="AC38" i="21"/>
  <c r="AB21" i="21"/>
  <c r="U21" i="21"/>
  <c r="W33" i="40"/>
  <c r="S35" i="40"/>
  <c r="U15" i="40"/>
  <c r="S14" i="40"/>
  <c r="AB13" i="40"/>
  <c r="S16" i="40"/>
  <c r="W11" i="40"/>
  <c r="U21" i="40"/>
  <c r="U25" i="40"/>
  <c r="W42" i="40"/>
  <c r="U35" i="40"/>
  <c r="F37" i="40"/>
  <c r="J37" i="40"/>
  <c r="H37" i="40"/>
  <c r="U37" i="40" s="1"/>
  <c r="G113" i="40"/>
  <c r="H113" i="40"/>
  <c r="I113" i="40" s="1"/>
  <c r="J113" i="40"/>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W21" i="40"/>
  <c r="U10" i="40"/>
  <c r="U27" i="40"/>
  <c r="AB27" i="40"/>
  <c r="AC44" i="39"/>
  <c r="W13" i="39"/>
  <c r="S11" i="39"/>
  <c r="AB45" i="39"/>
  <c r="AA21" i="39"/>
  <c r="AC19" i="39"/>
  <c r="AC38" i="39"/>
  <c r="W29" i="39"/>
  <c r="S29" i="39"/>
  <c r="AC21" i="39"/>
  <c r="AC17" i="39"/>
  <c r="S14" i="39"/>
  <c r="AB15" i="39"/>
  <c r="U11" i="39"/>
  <c r="U41" i="39"/>
  <c r="AB38" i="39"/>
  <c r="U31" i="39"/>
  <c r="AB31" i="39"/>
  <c r="S25" i="39"/>
  <c r="S38" i="39"/>
  <c r="M20" i="15"/>
  <c r="D96" i="9"/>
  <c r="F28" i="15"/>
  <c r="A18" i="64"/>
  <c r="B74" i="63" s="1"/>
  <c r="C53" i="10"/>
  <c r="A25" i="64" s="1"/>
  <c r="A18" i="51"/>
  <c r="B14" i="63" s="1"/>
  <c r="BA16" i="3"/>
  <c r="BA17" i="3"/>
  <c r="AZ17" i="3"/>
  <c r="K1" i="43"/>
  <c r="G1" i="44"/>
  <c r="G3" i="46"/>
  <c r="H22" i="46" s="1"/>
  <c r="AZ15" i="3"/>
  <c r="BK5" i="3"/>
  <c r="BO5" i="3"/>
  <c r="BP5" i="3"/>
  <c r="BN5" i="3"/>
  <c r="AZ18" i="3"/>
  <c r="BC5" i="3"/>
  <c r="BD5" i="3"/>
  <c r="BS5" i="3"/>
  <c r="BL16" i="3"/>
  <c r="BM5" i="3"/>
  <c r="F29" i="6" s="1"/>
  <c r="G26" i="12"/>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51"/>
  <c r="B6" i="63" s="1"/>
  <c r="I100" i="46"/>
  <c r="C24" i="46"/>
  <c r="N100" i="46"/>
  <c r="H100" i="46"/>
  <c r="F108" i="46"/>
  <c r="H80" i="46"/>
  <c r="B45" i="46"/>
  <c r="E100" i="46"/>
  <c r="G100" i="46"/>
  <c r="H84" i="46"/>
  <c r="C100" i="46"/>
  <c r="J100" i="46"/>
  <c r="M100" i="46"/>
  <c r="AA12" i="36"/>
  <c r="U12" i="35"/>
  <c r="AB12" i="35"/>
  <c r="W11" i="35"/>
  <c r="AA11" i="35"/>
  <c r="U13" i="37"/>
  <c r="C24" i="9"/>
  <c r="C25" i="9"/>
  <c r="G8" i="1"/>
  <c r="I20" i="46"/>
  <c r="C20" i="46" s="1"/>
  <c r="L5" i="54"/>
  <c r="B39" i="63" s="1"/>
  <c r="K5" i="54"/>
  <c r="T41" i="4"/>
  <c r="A17" i="64" s="1"/>
  <c r="B46" i="50"/>
  <c r="B4" i="63" s="1"/>
  <c r="C48" i="35"/>
  <c r="D48" i="35" s="1"/>
  <c r="E48" i="35" s="1"/>
  <c r="F48" i="35" s="1"/>
  <c r="G48" i="35" s="1"/>
  <c r="H48" i="35" s="1"/>
  <c r="I48" i="35" s="1"/>
  <c r="C52" i="37"/>
  <c r="D52" i="37" s="1"/>
  <c r="E52" i="37" s="1"/>
  <c r="F52" i="37" s="1"/>
  <c r="G52" i="37" s="1"/>
  <c r="H52" i="37" s="1"/>
  <c r="I52" i="37" s="1"/>
  <c r="J52" i="37" s="1"/>
  <c r="O19" i="46"/>
  <c r="H86" i="46"/>
  <c r="H82" i="46"/>
  <c r="H10" i="48"/>
  <c r="H87" i="46"/>
  <c r="H85" i="46"/>
  <c r="H83" i="46"/>
  <c r="K10" i="1"/>
  <c r="M10" i="1" s="1"/>
  <c r="O10" i="1" s="1"/>
  <c r="S11" i="1"/>
  <c r="R11" i="1"/>
  <c r="S13" i="1"/>
  <c r="R13" i="1"/>
  <c r="B6" i="1"/>
  <c r="E6" i="1"/>
  <c r="B10" i="1"/>
  <c r="E10" i="1"/>
  <c r="S10" i="1"/>
  <c r="B12" i="1"/>
  <c r="E12" i="1" s="1"/>
  <c r="S12" i="1"/>
  <c r="K6" i="1"/>
  <c r="F66" i="36"/>
  <c r="G66" i="36" s="1"/>
  <c r="H18" i="36"/>
  <c r="U16" i="36"/>
  <c r="AA34" i="36"/>
  <c r="U23" i="36"/>
  <c r="AC27" i="36"/>
  <c r="W28" i="36"/>
  <c r="AA32" i="36"/>
  <c r="AA22" i="36"/>
  <c r="U10" i="36"/>
  <c r="AA13" i="36"/>
  <c r="W29" i="36"/>
  <c r="W8" i="36"/>
  <c r="AC30" i="35"/>
  <c r="U24" i="35"/>
  <c r="S24" i="35"/>
  <c r="AA33" i="35"/>
  <c r="U32" i="35"/>
  <c r="W22" i="35"/>
  <c r="W34" i="35"/>
  <c r="S32" i="35"/>
  <c r="W35" i="37"/>
  <c r="AC33" i="37"/>
  <c r="U33" i="37"/>
  <c r="AA13" i="37"/>
  <c r="W38" i="37"/>
  <c r="U26" i="37"/>
  <c r="S28" i="37"/>
  <c r="U38" i="37"/>
  <c r="S26" i="37"/>
  <c r="AA31" i="34"/>
  <c r="W47" i="34"/>
  <c r="AB47" i="34"/>
  <c r="AC13" i="34"/>
  <c r="AA29" i="34"/>
  <c r="S19" i="34"/>
  <c r="S8" i="34"/>
  <c r="AA19" i="33"/>
  <c r="AC25" i="33"/>
  <c r="AB42" i="33"/>
  <c r="AB14" i="33"/>
  <c r="S26" i="33"/>
  <c r="AB12" i="33"/>
  <c r="S15" i="33"/>
  <c r="S9" i="33"/>
  <c r="S39" i="21"/>
  <c r="AB45" i="21"/>
  <c r="AA25" i="21"/>
  <c r="AC37" i="21"/>
  <c r="AA29" i="21"/>
  <c r="U27" i="21"/>
  <c r="W31" i="21"/>
  <c r="S27" i="21"/>
  <c r="AA15" i="21"/>
  <c r="AC27" i="21"/>
  <c r="W29" i="21"/>
  <c r="G96" i="40"/>
  <c r="J27" i="40"/>
  <c r="AC27" i="40" s="1"/>
  <c r="S17" i="40"/>
  <c r="W30" i="40"/>
  <c r="S34" i="40"/>
  <c r="U38" i="40"/>
  <c r="S40" i="40"/>
  <c r="S42" i="40"/>
  <c r="G105" i="39"/>
  <c r="J31" i="39"/>
  <c r="W31" i="39" s="1"/>
  <c r="S45" i="39"/>
  <c r="W41" i="39"/>
  <c r="AB33"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AB14" i="36"/>
  <c r="U18" i="36"/>
  <c r="AB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W27" i="40"/>
  <c r="A17" i="51"/>
  <c r="B13" i="63" s="1"/>
  <c r="E5" i="6"/>
  <c r="AT6" i="3"/>
  <c r="AZ16" i="3"/>
  <c r="E4" i="4"/>
  <c r="C4" i="4"/>
  <c r="B20" i="55" s="1"/>
  <c r="B70" i="63" s="1"/>
  <c r="J18" i="36"/>
  <c r="AC18" i="36" s="1"/>
  <c r="AE7" i="1"/>
  <c r="W18" i="36"/>
  <c r="AG6" i="1"/>
  <c r="L20" i="6"/>
  <c r="L19" i="6"/>
  <c r="B21" i="55"/>
  <c r="B72" i="63" s="1"/>
  <c r="C45" i="9"/>
  <c r="H14" i="66"/>
  <c r="B7" i="66" s="1"/>
  <c r="C44" i="9"/>
  <c r="O39" i="9" s="1"/>
  <c r="R6" i="54" s="1"/>
  <c r="B50" i="63" s="1"/>
  <c r="O40" i="9"/>
  <c r="K29" i="9"/>
  <c r="K30" i="9"/>
  <c r="N76" i="9"/>
  <c r="C46" i="9"/>
  <c r="K33" i="9"/>
  <c r="K34" i="9" s="1"/>
  <c r="O41" i="9"/>
  <c r="I14" i="66"/>
  <c r="B8" i="66" s="1"/>
  <c r="R8" i="54"/>
  <c r="B54" i="63" s="1"/>
  <c r="A25" i="51"/>
  <c r="B18" i="63" s="1"/>
  <c r="D58" i="21"/>
  <c r="D58" i="33"/>
  <c r="E58" i="33" s="1"/>
  <c r="C67" i="40"/>
  <c r="J17" i="46"/>
  <c r="C17" i="46"/>
  <c r="F34" i="46"/>
  <c r="F38" i="46"/>
  <c r="F37" i="46"/>
  <c r="H113" i="46"/>
  <c r="H49" i="46"/>
  <c r="H53" i="46"/>
  <c r="U12" i="59"/>
  <c r="F15" i="59"/>
  <c r="F14" i="59"/>
  <c r="F13" i="59" s="1"/>
  <c r="F12" i="59" s="1"/>
  <c r="Y14" i="59"/>
  <c r="Z14" i="59"/>
  <c r="AA14" i="59"/>
  <c r="AB14" i="59"/>
  <c r="Y13" i="59"/>
  <c r="Z13" i="59"/>
  <c r="Y12" i="59"/>
  <c r="Z12" i="59" s="1"/>
  <c r="Y11" i="59"/>
  <c r="Z11" i="59" s="1"/>
  <c r="AB13" i="59"/>
  <c r="AB12" i="59"/>
  <c r="AB11" i="59"/>
  <c r="AA16" i="59"/>
  <c r="X14" i="59"/>
  <c r="X12" i="59"/>
  <c r="X11" i="59"/>
  <c r="AA12" i="59"/>
  <c r="AA11" i="59"/>
  <c r="C25" i="12"/>
  <c r="C15" i="43"/>
  <c r="C27" i="43"/>
  <c r="C28" i="15"/>
  <c r="C15" i="12"/>
  <c r="H1" i="65"/>
  <c r="H51" i="46"/>
  <c r="X7" i="46"/>
  <c r="E17" i="46"/>
  <c r="N17" i="46"/>
  <c r="O17" i="46"/>
  <c r="M17" i="46"/>
  <c r="L17" i="46"/>
  <c r="AP7" i="1"/>
  <c r="D59" i="34"/>
  <c r="G6" i="1"/>
  <c r="H70" i="46"/>
  <c r="H73" i="46"/>
  <c r="H50" i="46"/>
  <c r="H48" i="46"/>
  <c r="F35" i="46"/>
  <c r="I17" i="46"/>
  <c r="G17" i="46" s="1"/>
  <c r="C16" i="46" s="1"/>
  <c r="D5" i="46" s="1"/>
  <c r="H64" i="46"/>
  <c r="D100" i="46"/>
  <c r="H62" i="46"/>
  <c r="AF12" i="46"/>
  <c r="K100" i="46"/>
  <c r="AB12" i="46"/>
  <c r="AJ12" i="46"/>
  <c r="H60" i="46"/>
  <c r="H74" i="46"/>
  <c r="H75" i="46"/>
  <c r="E10" i="46"/>
  <c r="C7" i="46" s="1"/>
  <c r="E9" i="46"/>
  <c r="E11" i="46"/>
  <c r="E8" i="46"/>
  <c r="H72" i="46"/>
  <c r="H69" i="46"/>
  <c r="H77" i="46"/>
  <c r="H76" i="46"/>
  <c r="H55" i="46"/>
  <c r="H54" i="46"/>
  <c r="H52" i="46"/>
  <c r="H47" i="46"/>
  <c r="AD12" i="46"/>
  <c r="AH12" i="46"/>
  <c r="E59" i="34"/>
  <c r="F59" i="34"/>
  <c r="G20" i="46"/>
  <c r="E41" i="46"/>
  <c r="C41" i="46" s="1"/>
  <c r="M29" i="70"/>
  <c r="F7" i="70"/>
  <c r="F43" i="70"/>
  <c r="L47" i="70"/>
  <c r="L48" i="70"/>
  <c r="N4" i="65"/>
  <c r="F28" i="44"/>
  <c r="B13" i="67"/>
  <c r="E9" i="67"/>
  <c r="F9" i="67"/>
  <c r="M24" i="44"/>
  <c r="J5" i="65"/>
  <c r="M29" i="44"/>
  <c r="M30" i="44"/>
  <c r="N3" i="65"/>
  <c r="J17" i="44"/>
  <c r="M11" i="44"/>
  <c r="F9" i="44"/>
  <c r="B8" i="67"/>
  <c r="E13" i="67"/>
  <c r="E14" i="67"/>
  <c r="F45" i="44"/>
  <c r="F43" i="44"/>
  <c r="M8" i="44"/>
  <c r="M28" i="44"/>
  <c r="E12" i="67"/>
  <c r="F11" i="67"/>
  <c r="J7" i="65"/>
  <c r="M23" i="44"/>
  <c r="F37" i="44"/>
  <c r="F8" i="67"/>
  <c r="F18" i="44"/>
  <c r="L48" i="44"/>
  <c r="I7" i="65"/>
  <c r="F12" i="67"/>
  <c r="B14" i="67"/>
  <c r="F46" i="44"/>
  <c r="N5" i="65"/>
  <c r="M26" i="44"/>
  <c r="B9" i="67"/>
  <c r="F40" i="44"/>
  <c r="F13" i="67"/>
  <c r="N6" i="65"/>
  <c r="E8" i="67"/>
  <c r="M25" i="44"/>
  <c r="J4" i="65"/>
  <c r="F38" i="44"/>
  <c r="I5" i="65"/>
  <c r="F10" i="44"/>
  <c r="C19" i="44"/>
  <c r="M10" i="44"/>
  <c r="F14" i="67"/>
  <c r="J3" i="65"/>
  <c r="I4" i="65"/>
  <c r="F8" i="44"/>
  <c r="F39" i="44"/>
  <c r="E11" i="67"/>
  <c r="F10" i="67"/>
  <c r="F15" i="44"/>
  <c r="L49" i="44"/>
  <c r="I6" i="65"/>
  <c r="F11" i="44"/>
  <c r="J6" i="65"/>
  <c r="L47" i="71"/>
  <c r="L48" i="71"/>
  <c r="M31" i="44"/>
  <c r="E10" i="67"/>
  <c r="B12" i="67"/>
  <c r="N7" i="65"/>
  <c r="B11" i="67"/>
  <c r="B10" i="67"/>
  <c r="I3" i="65"/>
  <c r="C18" i="9" l="1"/>
  <c r="F70" i="70"/>
  <c r="F49" i="70"/>
  <c r="C48" i="70" s="1"/>
  <c r="C6" i="70"/>
  <c r="M7" i="70"/>
  <c r="J6" i="70" s="1"/>
  <c r="J18" i="70" s="1"/>
  <c r="M6" i="1"/>
  <c r="U40" i="39"/>
  <c r="S40" i="39"/>
  <c r="S13" i="39"/>
  <c r="S10" i="39"/>
  <c r="L57" i="71"/>
  <c r="J53" i="71"/>
  <c r="J57" i="71"/>
  <c r="J55" i="71" s="1"/>
  <c r="J58" i="71" s="1"/>
  <c r="Q51" i="71" s="1"/>
  <c r="I54" i="71"/>
  <c r="L56" i="71"/>
  <c r="J60" i="71"/>
  <c r="Q49" i="71" s="1"/>
  <c r="L60" i="71"/>
  <c r="J59" i="71"/>
  <c r="L56" i="70"/>
  <c r="J60" i="70"/>
  <c r="Q49" i="70" s="1"/>
  <c r="L60" i="70"/>
  <c r="J59" i="70"/>
  <c r="L57" i="70"/>
  <c r="J53" i="70"/>
  <c r="I54" i="70"/>
  <c r="J57" i="70"/>
  <c r="J55" i="70" s="1"/>
  <c r="J58" i="70" s="1"/>
  <c r="Q51" i="70" s="1"/>
  <c r="L58" i="71"/>
  <c r="L59" i="71"/>
  <c r="L59" i="70"/>
  <c r="L58" i="70"/>
  <c r="AP8" i="1"/>
  <c r="AP6" i="1"/>
  <c r="P75" i="15"/>
  <c r="G23" i="43"/>
  <c r="D24" i="44"/>
  <c r="G28" i="12"/>
  <c r="G21" i="43"/>
  <c r="G27" i="12"/>
  <c r="G22" i="43"/>
  <c r="K8" i="1"/>
  <c r="G1" i="15"/>
  <c r="B8" i="1"/>
  <c r="E8" i="1" s="1"/>
  <c r="K1" i="12"/>
  <c r="F3" i="35"/>
  <c r="L27" i="6"/>
  <c r="BI5" i="3"/>
  <c r="G29" i="6"/>
  <c r="E29" i="6" s="1"/>
  <c r="K15" i="1" s="1"/>
  <c r="BL13" i="3"/>
  <c r="BA13" i="3"/>
  <c r="BA5" i="3"/>
  <c r="P9" i="1"/>
  <c r="P11" i="1"/>
  <c r="O6" i="1"/>
  <c r="P6" i="1" s="1"/>
  <c r="J101" i="46"/>
  <c r="J107" i="46" s="1"/>
  <c r="AC11" i="46"/>
  <c r="AC13" i="46" s="1"/>
  <c r="S2" i="46"/>
  <c r="E22" i="46"/>
  <c r="F101" i="46"/>
  <c r="F106" i="46" s="1"/>
  <c r="S4" i="46"/>
  <c r="J105" i="46"/>
  <c r="AF11" i="46"/>
  <c r="AF13" i="46" s="1"/>
  <c r="F22" i="46"/>
  <c r="H101" i="46"/>
  <c r="H102" i="46" s="1"/>
  <c r="S7" i="46"/>
  <c r="H104" i="46"/>
  <c r="AB11" i="46"/>
  <c r="AB13" i="46" s="1"/>
  <c r="AA11" i="46"/>
  <c r="AA13" i="46" s="1"/>
  <c r="Z7" i="46"/>
  <c r="N104" i="45"/>
  <c r="AJ11" i="46"/>
  <c r="AJ13" i="46" s="1"/>
  <c r="M101" i="46"/>
  <c r="M104" i="46" s="1"/>
  <c r="D101" i="46"/>
  <c r="D104" i="46" s="1"/>
  <c r="G22" i="46"/>
  <c r="Y11" i="46"/>
  <c r="Y13" i="46" s="1"/>
  <c r="S6" i="46"/>
  <c r="S3" i="46"/>
  <c r="S5" i="46"/>
  <c r="C23" i="46"/>
  <c r="AE11" i="46"/>
  <c r="AE13" i="46" s="1"/>
  <c r="AI11" i="46"/>
  <c r="AI13" i="46" s="1"/>
  <c r="AH11" i="46"/>
  <c r="AH13" i="46" s="1"/>
  <c r="Z11" i="46"/>
  <c r="Z13" i="46" s="1"/>
  <c r="AG11" i="46"/>
  <c r="AG13" i="46" s="1"/>
  <c r="K101" i="46"/>
  <c r="E101" i="46"/>
  <c r="L101" i="46"/>
  <c r="B113" i="46"/>
  <c r="G101" i="46"/>
  <c r="C101" i="46"/>
  <c r="AD11" i="46"/>
  <c r="AD13" i="46" s="1"/>
  <c r="N101" i="46"/>
  <c r="I101" i="46"/>
  <c r="I102" i="46" s="1"/>
  <c r="J22" i="46"/>
  <c r="G13" i="1"/>
  <c r="K17" i="4"/>
  <c r="A22" i="51" s="1"/>
  <c r="B16" i="63" s="1"/>
  <c r="C51" i="10"/>
  <c r="C72" i="39"/>
  <c r="D70" i="39"/>
  <c r="E65" i="40"/>
  <c r="D67" i="40"/>
  <c r="G9" i="1"/>
  <c r="K52" i="37"/>
  <c r="L52" i="37" s="1"/>
  <c r="M52" i="37" s="1"/>
  <c r="N52" i="37" s="1"/>
  <c r="O52" i="37" s="1"/>
  <c r="J48" i="35"/>
  <c r="K48" i="35" s="1"/>
  <c r="L48" i="35" s="1"/>
  <c r="M48" i="35" s="1"/>
  <c r="N48" i="35" s="1"/>
  <c r="O48" i="35" s="1"/>
  <c r="J7" i="37"/>
  <c r="H46" i="36"/>
  <c r="I46" i="36" s="1"/>
  <c r="J46" i="36" s="1"/>
  <c r="K46" i="36" s="1"/>
  <c r="L46" i="36" s="1"/>
  <c r="M46" i="36" s="1"/>
  <c r="N46" i="36" s="1"/>
  <c r="O46" i="36" s="1"/>
  <c r="H7" i="36"/>
  <c r="G59" i="34"/>
  <c r="F7" i="35"/>
  <c r="F11" i="59"/>
  <c r="F10" i="59" s="1"/>
  <c r="F9" i="59" s="1"/>
  <c r="F8" i="59" s="1"/>
  <c r="V12" i="59"/>
  <c r="F7" i="37"/>
  <c r="C5" i="46"/>
  <c r="F58" i="33"/>
  <c r="E58" i="21"/>
  <c r="AC31" i="39"/>
  <c r="P10" i="1"/>
  <c r="E69" i="46"/>
  <c r="B67" i="46" s="1"/>
  <c r="AC23" i="21"/>
  <c r="AA25" i="40"/>
  <c r="S25" i="40"/>
  <c r="W35" i="33"/>
  <c r="AC35" i="33"/>
  <c r="AC17" i="34"/>
  <c r="W17" i="34"/>
  <c r="AB23" i="39"/>
  <c r="U23" i="39"/>
  <c r="H61" i="46"/>
  <c r="H58" i="46"/>
  <c r="H63" i="46"/>
  <c r="H66" i="46"/>
  <c r="H59" i="46"/>
  <c r="H65" i="46"/>
  <c r="W16" i="40"/>
  <c r="AC16" i="40"/>
  <c r="AB33" i="40"/>
  <c r="U33" i="40"/>
  <c r="AC27" i="39"/>
  <c r="W27" i="39"/>
  <c r="AA27" i="39"/>
  <c r="S27" i="39"/>
  <c r="AC20" i="35"/>
  <c r="W20" i="35"/>
  <c r="U38" i="34"/>
  <c r="AB38" i="34"/>
  <c r="U17" i="39"/>
  <c r="AB17" i="39"/>
  <c r="AB11" i="36"/>
  <c r="U11" i="36"/>
  <c r="S19" i="39"/>
  <c r="AA19" i="39"/>
  <c r="AA46" i="34"/>
  <c r="S46" i="34"/>
  <c r="W32" i="34"/>
  <c r="AC32" i="34"/>
  <c r="AB14" i="34"/>
  <c r="U14" i="34"/>
  <c r="AB12" i="34"/>
  <c r="U12" i="34"/>
  <c r="AA35" i="33"/>
  <c r="S35" i="33"/>
  <c r="W15" i="33"/>
  <c r="AC15" i="33"/>
  <c r="AA10" i="33"/>
  <c r="S10" i="33"/>
  <c r="S21" i="40"/>
  <c r="AA21" i="40"/>
  <c r="AA43" i="33"/>
  <c r="S43" i="33"/>
  <c r="S22" i="31"/>
  <c r="AZ520" i="3"/>
  <c r="AZ528" i="3"/>
  <c r="AZ521" i="3"/>
  <c r="AZ542" i="3"/>
  <c r="AZ531" i="3"/>
  <c r="AZ498" i="3"/>
  <c r="AZ497" i="3"/>
  <c r="AZ19" i="3"/>
  <c r="K31" i="9"/>
  <c r="K32" i="9" s="1"/>
  <c r="R7" i="54"/>
  <c r="B52" i="63" s="1"/>
  <c r="G14" i="66"/>
  <c r="B6" i="66" s="1"/>
  <c r="N69" i="9"/>
  <c r="D12" i="11"/>
  <c r="C12" i="11" s="1"/>
  <c r="D21" i="12"/>
  <c r="C21" i="12" s="1"/>
  <c r="B38" i="63"/>
  <c r="A3" i="55"/>
  <c r="B56" i="63" s="1"/>
  <c r="AB17" i="40"/>
  <c r="U17" i="40"/>
  <c r="AC37" i="40"/>
  <c r="W37" i="40"/>
  <c r="M7" i="1"/>
  <c r="U10" i="33"/>
  <c r="AB10" i="33"/>
  <c r="AB11" i="34"/>
  <c r="U11" i="34"/>
  <c r="AC23" i="39"/>
  <c r="W23" i="39"/>
  <c r="AB15" i="34"/>
  <c r="U15" i="34"/>
  <c r="W15" i="40"/>
  <c r="F34" i="44"/>
  <c r="F66" i="9"/>
  <c r="P72" i="9" s="1"/>
  <c r="F72" i="9"/>
  <c r="F32" i="15"/>
  <c r="F59" i="15" s="1"/>
  <c r="F29" i="12"/>
  <c r="D86" i="9"/>
  <c r="F31" i="43"/>
  <c r="C31" i="43" s="1"/>
  <c r="M18" i="15"/>
  <c r="AC35" i="40"/>
  <c r="W35" i="40"/>
  <c r="U32" i="40"/>
  <c r="AB32" i="40"/>
  <c r="AC25" i="40"/>
  <c r="W25" i="40"/>
  <c r="AA15" i="40"/>
  <c r="S15" i="40"/>
  <c r="AB27" i="39"/>
  <c r="U27" i="39"/>
  <c r="AB30" i="40"/>
  <c r="U30" i="40"/>
  <c r="W46" i="39"/>
  <c r="AC46" i="39"/>
  <c r="S11" i="36"/>
  <c r="AA11" i="36"/>
  <c r="AC32" i="35"/>
  <c r="W32" i="35"/>
  <c r="U43" i="39"/>
  <c r="AB43" i="39"/>
  <c r="AB32" i="37"/>
  <c r="U32" i="37"/>
  <c r="AC46" i="34"/>
  <c r="W46" i="34"/>
  <c r="W30" i="34"/>
  <c r="AC30" i="34"/>
  <c r="AB30" i="34"/>
  <c r="U30" i="34"/>
  <c r="AC12" i="34"/>
  <c r="W12" i="34"/>
  <c r="W13" i="33"/>
  <c r="AC13" i="33"/>
  <c r="AB19" i="33"/>
  <c r="U19" i="33"/>
  <c r="S11" i="33"/>
  <c r="AA11" i="33"/>
  <c r="AB13" i="39"/>
  <c r="U13" i="39"/>
  <c r="AZ352" i="3"/>
  <c r="AZ304" i="3"/>
  <c r="AZ323" i="3"/>
  <c r="W11" i="37"/>
  <c r="AC11" i="37"/>
  <c r="W15" i="37"/>
  <c r="AC15" i="37"/>
  <c r="AZ536" i="3"/>
  <c r="AZ558" i="3"/>
  <c r="BL5" i="3"/>
  <c r="AZ570" i="3"/>
  <c r="W14" i="21"/>
  <c r="AC14" i="21"/>
  <c r="AC28" i="21"/>
  <c r="W28" i="21"/>
  <c r="U30" i="21"/>
  <c r="AB30" i="21"/>
  <c r="W25" i="21"/>
  <c r="AB25" i="21"/>
  <c r="S47" i="34"/>
  <c r="AB13" i="34"/>
  <c r="AB29" i="34"/>
  <c r="AB35" i="34"/>
  <c r="W13" i="37"/>
  <c r="AB28" i="37"/>
  <c r="W36" i="37"/>
  <c r="U13" i="36"/>
  <c r="S25" i="36"/>
  <c r="S13" i="21"/>
  <c r="S14" i="37"/>
  <c r="BQ5" i="3"/>
  <c r="F28" i="6" s="1"/>
  <c r="AA31" i="21"/>
  <c r="AB29" i="21"/>
  <c r="W44" i="21"/>
  <c r="S44" i="21"/>
  <c r="AA44" i="33"/>
  <c r="U46" i="33"/>
  <c r="W31" i="33"/>
  <c r="U39" i="33"/>
  <c r="S13" i="34"/>
  <c r="W19" i="34"/>
  <c r="U28" i="34"/>
  <c r="S37" i="37"/>
  <c r="W32" i="37"/>
  <c r="AB37" i="37"/>
  <c r="AA35" i="35"/>
  <c r="W13" i="35"/>
  <c r="AC10" i="35"/>
  <c r="U33" i="35"/>
  <c r="AA27" i="36"/>
  <c r="AA28" i="36"/>
  <c r="AC25" i="36"/>
  <c r="J40" i="40"/>
  <c r="H40" i="40"/>
  <c r="F36" i="44"/>
  <c r="BB5" i="3"/>
  <c r="E8" i="6" s="1"/>
  <c r="E53" i="40" s="1"/>
  <c r="F33" i="36"/>
  <c r="AC34" i="37"/>
  <c r="S14" i="21"/>
  <c r="AC45" i="21"/>
  <c r="U31" i="34"/>
  <c r="U25" i="35"/>
  <c r="G13" i="3"/>
  <c r="S26" i="21"/>
  <c r="S24" i="36"/>
  <c r="S25" i="35"/>
  <c r="AC14" i="37"/>
  <c r="AC10" i="36"/>
  <c r="S42" i="33"/>
  <c r="S37" i="34"/>
  <c r="W9" i="33"/>
  <c r="AB10" i="37"/>
  <c r="F12" i="37"/>
  <c r="H12" i="37"/>
  <c r="S10" i="35"/>
  <c r="AC37" i="33"/>
  <c r="S27" i="37"/>
  <c r="AC33" i="36"/>
  <c r="AC41" i="34"/>
  <c r="U28" i="21"/>
  <c r="S45" i="21"/>
  <c r="AA27" i="33"/>
  <c r="W31" i="34"/>
  <c r="AB14" i="21"/>
  <c r="U46" i="21"/>
  <c r="AB13" i="21"/>
  <c r="AB40" i="37"/>
  <c r="W46" i="33"/>
  <c r="W35" i="35"/>
  <c r="J30" i="21"/>
  <c r="F30" i="21"/>
  <c r="S22" i="35"/>
  <c r="AB30" i="36"/>
  <c r="W40" i="33"/>
  <c r="S38" i="33"/>
  <c r="U9" i="34"/>
  <c r="U29" i="36"/>
  <c r="AB27" i="35"/>
  <c r="U33" i="33"/>
  <c r="W24" i="35"/>
  <c r="S34" i="35"/>
  <c r="BT5" i="3"/>
  <c r="G28" i="6" s="1"/>
  <c r="BF5" i="3"/>
  <c r="J9" i="36"/>
  <c r="H9" i="36"/>
  <c r="F9" i="36"/>
  <c r="J24" i="36"/>
  <c r="H24" i="36"/>
  <c r="W31" i="36"/>
  <c r="AC31" i="36"/>
  <c r="AB30" i="37"/>
  <c r="U30" i="37"/>
  <c r="AC41" i="33"/>
  <c r="W41" i="33"/>
  <c r="G540" i="3"/>
  <c r="G516" i="3"/>
  <c r="G504" i="3"/>
  <c r="G496" i="3"/>
  <c r="AZ395" i="3"/>
  <c r="AZ432" i="3"/>
  <c r="AZ447" i="3"/>
  <c r="BG5" i="3"/>
  <c r="F12" i="21"/>
  <c r="J12" i="21"/>
  <c r="AZ392" i="3"/>
  <c r="AZ397" i="3"/>
  <c r="AZ408" i="3"/>
  <c r="AZ413" i="3"/>
  <c r="AZ424" i="3"/>
  <c r="AZ437" i="3"/>
  <c r="AZ464" i="3"/>
  <c r="AZ206" i="3"/>
  <c r="AZ210" i="3"/>
  <c r="AZ222" i="3"/>
  <c r="AZ226" i="3"/>
  <c r="AZ238" i="3"/>
  <c r="AZ242" i="3"/>
  <c r="AZ258" i="3"/>
  <c r="AZ269" i="3"/>
  <c r="AZ272" i="3"/>
  <c r="AZ285" i="3"/>
  <c r="AZ288" i="3"/>
  <c r="AZ296" i="3"/>
  <c r="AZ125" i="3"/>
  <c r="AZ128" i="3"/>
  <c r="AZ141" i="3"/>
  <c r="AZ144" i="3"/>
  <c r="AZ155" i="3"/>
  <c r="AZ25" i="3"/>
  <c r="A30" i="51"/>
  <c r="B22" i="63" s="1"/>
  <c r="A30" i="64"/>
  <c r="AZ476" i="3"/>
  <c r="AZ480" i="3"/>
  <c r="AZ234" i="3"/>
  <c r="AZ250" i="3"/>
  <c r="AZ53" i="3"/>
  <c r="AZ57" i="3"/>
  <c r="AZ37" i="3"/>
  <c r="AZ41" i="3"/>
  <c r="AZ44" i="3"/>
  <c r="AZ46" i="3"/>
  <c r="AZ50" i="3"/>
  <c r="AZ64" i="3"/>
  <c r="AZ72" i="3"/>
  <c r="AZ77" i="3"/>
  <c r="AZ92" i="3"/>
  <c r="AZ97" i="3"/>
  <c r="AZ108" i="3"/>
  <c r="K13" i="1"/>
  <c r="M13" i="1" s="1"/>
  <c r="K12" i="1"/>
  <c r="D1" i="57"/>
  <c r="E10" i="57" s="1"/>
  <c r="AA22" i="59"/>
  <c r="AA19" i="59"/>
  <c r="AA25" i="59"/>
  <c r="E26" i="59"/>
  <c r="E27" i="59" s="1"/>
  <c r="E28" i="59" s="1"/>
  <c r="U28" i="59" s="1"/>
  <c r="N60" i="59"/>
  <c r="B59" i="59"/>
  <c r="S60" i="59"/>
  <c r="V60" i="59"/>
  <c r="Q60" i="59"/>
  <c r="T68" i="59"/>
  <c r="D68" i="59"/>
  <c r="C20" i="59"/>
  <c r="Y19" i="59"/>
  <c r="Z19" i="59" s="1"/>
  <c r="Y20" i="59"/>
  <c r="Z20" i="59" s="1"/>
  <c r="F20" i="59"/>
  <c r="AB20" i="59"/>
  <c r="AB17" i="59"/>
  <c r="AB19" i="59"/>
  <c r="AB15" i="59"/>
  <c r="C15" i="59"/>
  <c r="T16" i="59"/>
  <c r="Y29" i="59"/>
  <c r="Z29" i="59" s="1"/>
  <c r="AA27" i="59"/>
  <c r="Y21" i="59"/>
  <c r="Z21" i="59" s="1"/>
  <c r="B15" i="59"/>
  <c r="B14" i="59" s="1"/>
  <c r="B13" i="59" s="1"/>
  <c r="B12" i="59" s="1"/>
  <c r="S16" i="59"/>
  <c r="Y16" i="59"/>
  <c r="Z16" i="59" s="1"/>
  <c r="Y17" i="59"/>
  <c r="Z17" i="59" s="1"/>
  <c r="Y18" i="59"/>
  <c r="Z18" i="59" s="1"/>
  <c r="Y15" i="59"/>
  <c r="Z15" i="59" s="1"/>
  <c r="AA17" i="59"/>
  <c r="X16" i="59"/>
  <c r="AB5" i="59"/>
  <c r="X3" i="59"/>
  <c r="AA5" i="59"/>
  <c r="D23" i="15"/>
  <c r="B54" i="46"/>
  <c r="C27" i="40"/>
  <c r="S27" i="40"/>
  <c r="S21" i="34"/>
  <c r="S18" i="35"/>
  <c r="D51" i="59"/>
  <c r="C28" i="59"/>
  <c r="C67" i="59"/>
  <c r="C58" i="59"/>
  <c r="D59" i="59"/>
  <c r="D26" i="59"/>
  <c r="D50" i="59"/>
  <c r="C31" i="59"/>
  <c r="E23" i="59"/>
  <c r="E24" i="59" s="1"/>
  <c r="U24" i="59" s="1"/>
  <c r="AA20" i="59"/>
  <c r="AA3" i="59"/>
  <c r="X17" i="59"/>
  <c r="X21" i="59"/>
  <c r="B22" i="59"/>
  <c r="B23" i="59" s="1"/>
  <c r="B24" i="59" s="1"/>
  <c r="S24" i="59" s="1"/>
  <c r="X18" i="59"/>
  <c r="X20" i="59"/>
  <c r="AA21" i="59"/>
  <c r="Y23" i="59"/>
  <c r="Z23" i="59" s="1"/>
  <c r="AB25" i="59"/>
  <c r="F26" i="59"/>
  <c r="F27" i="59" s="1"/>
  <c r="F28" i="59" s="1"/>
  <c r="V28" i="59" s="1"/>
  <c r="Y26" i="59"/>
  <c r="Z26" i="59" s="1"/>
  <c r="Y27" i="59"/>
  <c r="Z27" i="59" s="1"/>
  <c r="Y28" i="59"/>
  <c r="Z28" i="59" s="1"/>
  <c r="X29" i="59"/>
  <c r="B30" i="59"/>
  <c r="B31" i="59" s="1"/>
  <c r="B32" i="59" s="1"/>
  <c r="S32" i="59" s="1"/>
  <c r="AA29" i="59"/>
  <c r="F59" i="59"/>
  <c r="E59" i="59"/>
  <c r="P60" i="59"/>
  <c r="U68" i="59"/>
  <c r="E67" i="59"/>
  <c r="E66" i="59" s="1"/>
  <c r="S20" i="59"/>
  <c r="B19" i="59"/>
  <c r="B18" i="59" s="1"/>
  <c r="N4" i="63"/>
  <c r="Y25" i="59"/>
  <c r="Z25" i="59" s="1"/>
  <c r="AA13" i="59"/>
  <c r="Y10" i="59"/>
  <c r="Z10" i="59" s="1"/>
  <c r="AA15" i="59"/>
  <c r="X15" i="59"/>
  <c r="X13" i="59"/>
  <c r="AB10" i="59"/>
  <c r="X10" i="59"/>
  <c r="X6" i="59"/>
  <c r="X9" i="59"/>
  <c r="Y9" i="59"/>
  <c r="Z9" i="59" s="1"/>
  <c r="AA9" i="59"/>
  <c r="AB9" i="59"/>
  <c r="AB21" i="59"/>
  <c r="Y22" i="59"/>
  <c r="Z22" i="59" s="1"/>
  <c r="AB23" i="59"/>
  <c r="Y24" i="59"/>
  <c r="Z24" i="59" s="1"/>
  <c r="X25" i="59"/>
  <c r="AA26" i="59"/>
  <c r="X27" i="59"/>
  <c r="AA28" i="59"/>
  <c r="U20" i="59"/>
  <c r="E19" i="59"/>
  <c r="E18" i="59" s="1"/>
  <c r="O76" i="9"/>
  <c r="K76" i="9"/>
  <c r="AB16" i="59"/>
  <c r="AA10" i="59"/>
  <c r="Y6" i="59"/>
  <c r="Z6" i="59" s="1"/>
  <c r="AB7" i="59"/>
  <c r="AB6" i="59"/>
  <c r="Y5" i="59"/>
  <c r="Z5" i="59" s="1"/>
  <c r="X5" i="59"/>
  <c r="A28" i="64"/>
  <c r="AA7" i="59"/>
  <c r="X8" i="59"/>
  <c r="AA6" i="59"/>
  <c r="C18" i="11"/>
  <c r="K77" i="9"/>
  <c r="K79" i="9" s="1"/>
  <c r="K81" i="9" s="1"/>
  <c r="E12" i="52"/>
  <c r="B15" i="52"/>
  <c r="F31" i="15"/>
  <c r="F33" i="44"/>
  <c r="E8" i="59"/>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Y8" i="59"/>
  <c r="Z8"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C16" i="70"/>
  <c r="M29" i="71"/>
  <c r="F43" i="71"/>
  <c r="F7" i="71"/>
  <c r="M22" i="15"/>
  <c r="J36" i="15"/>
  <c r="M8" i="15"/>
  <c r="F26" i="15"/>
  <c r="F9" i="15"/>
  <c r="F8" i="15"/>
  <c r="J15" i="15"/>
  <c r="F6" i="15"/>
  <c r="F38" i="15"/>
  <c r="M26" i="15"/>
  <c r="M9" i="15"/>
  <c r="M6" i="15"/>
  <c r="L48" i="15"/>
  <c r="C18" i="44"/>
  <c r="L47" i="15"/>
  <c r="F42" i="15"/>
  <c r="F37" i="15"/>
  <c r="M29" i="15"/>
  <c r="M23" i="15"/>
  <c r="F36" i="15"/>
  <c r="F43" i="15"/>
  <c r="F16" i="15"/>
  <c r="M24" i="15"/>
  <c r="F7" i="15"/>
  <c r="F40" i="15"/>
  <c r="M27" i="15"/>
  <c r="M28" i="15"/>
  <c r="F13" i="15"/>
  <c r="E3" i="65"/>
  <c r="E2" i="65"/>
  <c r="D18" i="9" l="1"/>
  <c r="M44" i="9" s="1"/>
  <c r="M43" i="9"/>
  <c r="C6" i="71"/>
  <c r="M7" i="71"/>
  <c r="J6" i="71" s="1"/>
  <c r="J18" i="71" s="1"/>
  <c r="F49" i="71"/>
  <c r="C48" i="71" s="1"/>
  <c r="F70" i="71"/>
  <c r="M8" i="1"/>
  <c r="C32" i="70"/>
  <c r="C33" i="70"/>
  <c r="AZ13" i="3"/>
  <c r="O8" i="1"/>
  <c r="P8" i="1" s="1"/>
  <c r="Q61" i="70"/>
  <c r="Q74" i="70"/>
  <c r="Q75" i="71"/>
  <c r="Q62" i="71"/>
  <c r="F1" i="70"/>
  <c r="Q53" i="70"/>
  <c r="Q53" i="71"/>
  <c r="F1" i="71"/>
  <c r="Q62" i="70"/>
  <c r="Q75" i="70"/>
  <c r="Q74" i="71"/>
  <c r="Q61" i="71"/>
  <c r="Q58" i="70"/>
  <c r="Q67" i="70"/>
  <c r="Q67" i="71"/>
  <c r="Q58" i="71"/>
  <c r="F11" i="71"/>
  <c r="M11" i="71"/>
  <c r="J10" i="71" s="1"/>
  <c r="F11" i="70"/>
  <c r="M11" i="70"/>
  <c r="J10" i="70" s="1"/>
  <c r="J5" i="70" s="1"/>
  <c r="J57" i="15"/>
  <c r="J55" i="15" s="1"/>
  <c r="J58" i="15" s="1"/>
  <c r="Q51" i="15" s="1"/>
  <c r="L56" i="15"/>
  <c r="J53" i="15"/>
  <c r="Q53" i="15" s="1"/>
  <c r="I54" i="15"/>
  <c r="F70" i="15"/>
  <c r="F63" i="15"/>
  <c r="C27" i="15"/>
  <c r="F67" i="15"/>
  <c r="F65" i="15"/>
  <c r="F64" i="15"/>
  <c r="M7" i="15"/>
  <c r="M17" i="15" s="1"/>
  <c r="F49" i="15"/>
  <c r="F58" i="15" s="1"/>
  <c r="Q72" i="15"/>
  <c r="C6" i="15"/>
  <c r="C32" i="15" s="1"/>
  <c r="L58" i="15"/>
  <c r="Q74" i="15" s="1"/>
  <c r="L59" i="15"/>
  <c r="Q62" i="15" s="1"/>
  <c r="F50" i="15"/>
  <c r="G30" i="6"/>
  <c r="G31" i="6" s="1"/>
  <c r="AZ5" i="3"/>
  <c r="M105" i="46"/>
  <c r="M103" i="46"/>
  <c r="E58" i="39"/>
  <c r="F27" i="6"/>
  <c r="E27" i="6" s="1"/>
  <c r="M106" i="46"/>
  <c r="J103" i="46"/>
  <c r="J104" i="46"/>
  <c r="J109" i="46"/>
  <c r="J102" i="46"/>
  <c r="F104" i="46"/>
  <c r="H109" i="46"/>
  <c r="H103" i="46"/>
  <c r="J106" i="46"/>
  <c r="F109" i="46"/>
  <c r="F105" i="46"/>
  <c r="H107" i="46"/>
  <c r="H106" i="46"/>
  <c r="D22" i="46"/>
  <c r="C21" i="46" s="1"/>
  <c r="F103" i="46"/>
  <c r="H105" i="46"/>
  <c r="F107" i="46"/>
  <c r="F102" i="46"/>
  <c r="M102" i="46"/>
  <c r="M109" i="46"/>
  <c r="M107" i="46"/>
  <c r="D106" i="46"/>
  <c r="D109" i="46"/>
  <c r="D107" i="46"/>
  <c r="D103" i="46"/>
  <c r="D102" i="46"/>
  <c r="D105" i="46"/>
  <c r="I109" i="46"/>
  <c r="I105" i="46"/>
  <c r="I104" i="46"/>
  <c r="I103" i="46"/>
  <c r="I107" i="46"/>
  <c r="G106" i="46"/>
  <c r="G104" i="46"/>
  <c r="G107" i="46"/>
  <c r="G103" i="46"/>
  <c r="G105" i="46"/>
  <c r="G102" i="46"/>
  <c r="G109" i="46"/>
  <c r="L105" i="46"/>
  <c r="L106" i="46"/>
  <c r="L103" i="46"/>
  <c r="L104" i="46"/>
  <c r="L107" i="46"/>
  <c r="L102" i="46"/>
  <c r="L109" i="46"/>
  <c r="K103" i="46"/>
  <c r="K106" i="46"/>
  <c r="K105" i="46"/>
  <c r="K109" i="46"/>
  <c r="K107" i="46"/>
  <c r="K102" i="46"/>
  <c r="K104" i="46"/>
  <c r="I106" i="46"/>
  <c r="N105" i="46"/>
  <c r="N104" i="46"/>
  <c r="N109" i="46"/>
  <c r="N103" i="46"/>
  <c r="N107" i="46"/>
  <c r="N106" i="46"/>
  <c r="N102" i="46"/>
  <c r="C104" i="46"/>
  <c r="C103" i="46"/>
  <c r="C106" i="46"/>
  <c r="C109" i="46"/>
  <c r="C107" i="46"/>
  <c r="C105" i="46"/>
  <c r="C102" i="46"/>
  <c r="I118" i="46"/>
  <c r="J118" i="46" s="1"/>
  <c r="K118" i="46" s="1"/>
  <c r="L118" i="46" s="1"/>
  <c r="M118" i="46" s="1"/>
  <c r="B115" i="46"/>
  <c r="D118" i="46"/>
  <c r="E118" i="46" s="1"/>
  <c r="F118" i="46" s="1"/>
  <c r="D115" i="46"/>
  <c r="E115" i="46" s="1"/>
  <c r="F115" i="46" s="1"/>
  <c r="G115" i="46" s="1"/>
  <c r="H115" i="46" s="1"/>
  <c r="I117" i="46"/>
  <c r="J117" i="46" s="1"/>
  <c r="K117" i="46" s="1"/>
  <c r="L117" i="46" s="1"/>
  <c r="M117" i="46" s="1"/>
  <c r="I115" i="46"/>
  <c r="J115" i="46" s="1"/>
  <c r="K115" i="46" s="1"/>
  <c r="L115" i="46" s="1"/>
  <c r="M115" i="46" s="1"/>
  <c r="B116" i="46"/>
  <c r="C116" i="46" s="1"/>
  <c r="B117" i="46"/>
  <c r="C117" i="46" s="1"/>
  <c r="I116" i="46"/>
  <c r="J116" i="46" s="1"/>
  <c r="K116" i="46" s="1"/>
  <c r="L116" i="46" s="1"/>
  <c r="M116" i="46" s="1"/>
  <c r="D116" i="46"/>
  <c r="E116" i="46" s="1"/>
  <c r="F116" i="46" s="1"/>
  <c r="G116" i="46" s="1"/>
  <c r="H116" i="46" s="1"/>
  <c r="D117" i="46"/>
  <c r="E117" i="46" s="1"/>
  <c r="F117" i="46" s="1"/>
  <c r="G117" i="46" s="1"/>
  <c r="H117" i="46" s="1"/>
  <c r="G118" i="46"/>
  <c r="H118" i="46" s="1"/>
  <c r="B118" i="46"/>
  <c r="C118" i="46" s="1"/>
  <c r="E106" i="46"/>
  <c r="E103" i="46"/>
  <c r="E107" i="46"/>
  <c r="E109" i="46"/>
  <c r="E104" i="46"/>
  <c r="E102" i="46"/>
  <c r="E105" i="46"/>
  <c r="G16" i="1"/>
  <c r="J12" i="40" s="1"/>
  <c r="A9" i="51"/>
  <c r="B9" i="63" s="1"/>
  <c r="A9" i="64"/>
  <c r="E70" i="39"/>
  <c r="D72" i="39"/>
  <c r="H7" i="35"/>
  <c r="H7" i="37"/>
  <c r="AB7" i="37" s="1"/>
  <c r="T42" i="37" s="1"/>
  <c r="G42" i="37" s="1"/>
  <c r="F65" i="40"/>
  <c r="E67" i="40"/>
  <c r="E3" i="6"/>
  <c r="E7" i="59"/>
  <c r="E6" i="59" s="1"/>
  <c r="E5" i="59" s="1"/>
  <c r="U8" i="59"/>
  <c r="F58" i="59"/>
  <c r="Q59" i="59"/>
  <c r="D67" i="59"/>
  <c r="C66" i="59"/>
  <c r="D66" i="59" s="1"/>
  <c r="D15" i="59"/>
  <c r="C14" i="59"/>
  <c r="D20" i="59"/>
  <c r="T20" i="59"/>
  <c r="C19" i="59"/>
  <c r="B58" i="59"/>
  <c r="N59" i="59"/>
  <c r="O13" i="1"/>
  <c r="P13" i="1" s="1"/>
  <c r="AA12" i="21"/>
  <c r="S12" i="21"/>
  <c r="W24" i="36"/>
  <c r="AC24" i="36"/>
  <c r="AB9" i="36"/>
  <c r="U9" i="36"/>
  <c r="S30" i="21"/>
  <c r="AA30" i="21"/>
  <c r="S12" i="37"/>
  <c r="AA12" i="37"/>
  <c r="G5" i="3"/>
  <c r="B3" i="3" s="1"/>
  <c r="AY6" i="3" s="1"/>
  <c r="S33" i="36"/>
  <c r="AA33" i="36"/>
  <c r="W40" i="40"/>
  <c r="AC40" i="40"/>
  <c r="F30" i="6"/>
  <c r="E28" i="6"/>
  <c r="H16" i="1"/>
  <c r="B20" i="31"/>
  <c r="R22" i="31"/>
  <c r="B21" i="31" s="1"/>
  <c r="F58" i="21"/>
  <c r="AA7" i="35"/>
  <c r="R38" i="35" s="1"/>
  <c r="S7" i="35"/>
  <c r="J7" i="36"/>
  <c r="F7" i="36"/>
  <c r="W7" i="37"/>
  <c r="AC7" i="37"/>
  <c r="V42" i="37" s="1"/>
  <c r="I42" i="37" s="1"/>
  <c r="J7" i="35"/>
  <c r="E58" i="59"/>
  <c r="P59" i="59"/>
  <c r="D31" i="59"/>
  <c r="C32" i="59"/>
  <c r="D58" i="59"/>
  <c r="O58" i="59"/>
  <c r="O57" i="59"/>
  <c r="D28" i="59"/>
  <c r="T28" i="59"/>
  <c r="B11" i="59"/>
  <c r="B10" i="59" s="1"/>
  <c r="B9" i="59" s="1"/>
  <c r="B8" i="59" s="1"/>
  <c r="S12" i="59"/>
  <c r="F19" i="59"/>
  <c r="F18" i="59" s="1"/>
  <c r="V20" i="59"/>
  <c r="M12" i="1"/>
  <c r="Q16" i="1"/>
  <c r="AP16" i="1"/>
  <c r="F22" i="11" s="1"/>
  <c r="W12" i="21"/>
  <c r="AC12" i="21"/>
  <c r="E496" i="3"/>
  <c r="AB24" i="36"/>
  <c r="U24" i="36"/>
  <c r="AA9" i="36"/>
  <c r="S9" i="36"/>
  <c r="AC9" i="36"/>
  <c r="W9" i="36"/>
  <c r="AC30" i="21"/>
  <c r="W30" i="21"/>
  <c r="AB12" i="37"/>
  <c r="U12" i="37"/>
  <c r="E14" i="6"/>
  <c r="E13" i="6"/>
  <c r="E10" i="6"/>
  <c r="E12" i="6"/>
  <c r="E15" i="6"/>
  <c r="E11" i="6"/>
  <c r="AB40" i="40"/>
  <c r="U40" i="40"/>
  <c r="O7" i="1"/>
  <c r="P7" i="1" s="1"/>
  <c r="M86" i="9"/>
  <c r="N86" i="9" s="1"/>
  <c r="M84" i="9"/>
  <c r="N84" i="9" s="1"/>
  <c r="M88" i="9"/>
  <c r="N88" i="9" s="1"/>
  <c r="M87" i="9"/>
  <c r="N87" i="9" s="1"/>
  <c r="M85" i="9"/>
  <c r="N85" i="9" s="1"/>
  <c r="M83" i="9"/>
  <c r="N83" i="9" s="1"/>
  <c r="N89" i="9" s="1"/>
  <c r="O89" i="9" s="1"/>
  <c r="G58" i="33"/>
  <c r="AA7" i="37"/>
  <c r="R42" i="37" s="1"/>
  <c r="S7" i="37"/>
  <c r="F7" i="59"/>
  <c r="F6" i="59" s="1"/>
  <c r="F5" i="59" s="1"/>
  <c r="V8" i="59"/>
  <c r="H59" i="34"/>
  <c r="U7" i="36"/>
  <c r="AB7" i="36"/>
  <c r="T36" i="36" s="1"/>
  <c r="G36" i="36" s="1"/>
  <c r="AB7" i="35"/>
  <c r="T38" i="35" s="1"/>
  <c r="G38" i="35" s="1"/>
  <c r="U7" i="35"/>
  <c r="U7" i="37"/>
  <c r="M19" i="44"/>
  <c r="C19" i="46"/>
  <c r="C34" i="46" s="1"/>
  <c r="B40" i="1"/>
  <c r="F17" i="11"/>
  <c r="C17" i="11" s="1"/>
  <c r="C19" i="11" s="1"/>
  <c r="L47" i="44"/>
  <c r="M13" i="44"/>
  <c r="J12" i="44" s="1"/>
  <c r="J7" i="44" s="1"/>
  <c r="F11" i="15"/>
  <c r="M11" i="15"/>
  <c r="J10" i="15" s="1"/>
  <c r="F13" i="44"/>
  <c r="C12" i="44" s="1"/>
  <c r="C7" i="44" s="1"/>
  <c r="Q75" i="44"/>
  <c r="Q62" i="44"/>
  <c r="M28" i="46"/>
  <c r="P28" i="46"/>
  <c r="O28" i="46"/>
  <c r="N28" i="46"/>
  <c r="F1" i="44"/>
  <c r="Q54" i="44"/>
  <c r="J20" i="44"/>
  <c r="Q63" i="44"/>
  <c r="Q76" i="44"/>
  <c r="C34" i="44"/>
  <c r="C16" i="71"/>
  <c r="AE6" i="1"/>
  <c r="AE8" i="1"/>
  <c r="C16" i="15"/>
  <c r="C48" i="15" l="1"/>
  <c r="J5" i="71"/>
  <c r="J26" i="71" s="1"/>
  <c r="C33" i="71"/>
  <c r="C32" i="71"/>
  <c r="F24" i="70"/>
  <c r="F24" i="71"/>
  <c r="C10" i="71"/>
  <c r="C5" i="71" s="1"/>
  <c r="C52" i="71"/>
  <c r="C47" i="71" s="1"/>
  <c r="C24" i="70"/>
  <c r="J26" i="70"/>
  <c r="J24" i="70"/>
  <c r="C10" i="70"/>
  <c r="C5" i="70" s="1"/>
  <c r="C52" i="70"/>
  <c r="C47" i="70" s="1"/>
  <c r="F1" i="15"/>
  <c r="Q75" i="15"/>
  <c r="Q61" i="15"/>
  <c r="J6" i="15"/>
  <c r="J5" i="15" s="1"/>
  <c r="F31" i="6"/>
  <c r="J12" i="39"/>
  <c r="W12" i="39" s="1"/>
  <c r="E516" i="3"/>
  <c r="C115" i="46"/>
  <c r="D113" i="46" s="1"/>
  <c r="H12" i="40"/>
  <c r="AB12" i="40" s="1"/>
  <c r="F12" i="39"/>
  <c r="S12" i="39" s="1"/>
  <c r="H12" i="39"/>
  <c r="U12" i="39" s="1"/>
  <c r="F12" i="40"/>
  <c r="S12" i="40" s="1"/>
  <c r="G65" i="40"/>
  <c r="F67" i="40"/>
  <c r="F70" i="39"/>
  <c r="E72" i="39"/>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G46" i="37"/>
  <c r="H46" i="37" s="1"/>
  <c r="G47" i="37"/>
  <c r="H47" i="37" s="1"/>
  <c r="G42" i="35"/>
  <c r="H42" i="35" s="1"/>
  <c r="I59" i="34"/>
  <c r="R43" i="37"/>
  <c r="E42" i="37"/>
  <c r="H58" i="33"/>
  <c r="E62" i="40"/>
  <c r="E67" i="39"/>
  <c r="E16" i="6"/>
  <c r="E66" i="39"/>
  <c r="E61" i="40"/>
  <c r="O12" i="1"/>
  <c r="B7" i="59"/>
  <c r="B6" i="59" s="1"/>
  <c r="B5" i="59" s="1"/>
  <c r="S8" i="59"/>
  <c r="D32" i="59"/>
  <c r="T32" i="59"/>
  <c r="W7" i="35"/>
  <c r="AC7" i="35"/>
  <c r="V38" i="35" s="1"/>
  <c r="I38" i="35" s="1"/>
  <c r="AC7" i="36"/>
  <c r="V36" i="36" s="1"/>
  <c r="I36" i="36" s="1"/>
  <c r="G41" i="36" s="1"/>
  <c r="H41" i="36" s="1"/>
  <c r="W7" i="36"/>
  <c r="R39" i="35"/>
  <c r="E38" i="35"/>
  <c r="G58" i="21"/>
  <c r="K20" i="6"/>
  <c r="K14" i="1"/>
  <c r="K26" i="6"/>
  <c r="M26" i="6" s="1"/>
  <c r="I26" i="6" s="1"/>
  <c r="S26" i="6" s="1"/>
  <c r="K24" i="6"/>
  <c r="M24" i="6" s="1"/>
  <c r="I24" i="6" s="1"/>
  <c r="S24" i="6" s="1"/>
  <c r="K22" i="6"/>
  <c r="E30" i="6"/>
  <c r="E31" i="6" s="1"/>
  <c r="K19" i="6"/>
  <c r="S6" i="1" s="1"/>
  <c r="K23" i="6"/>
  <c r="M23" i="6" s="1"/>
  <c r="I23" i="6" s="1"/>
  <c r="S23" i="6" s="1"/>
  <c r="K25" i="6"/>
  <c r="M25" i="6" s="1"/>
  <c r="I25" i="6" s="1"/>
  <c r="S25" i="6" s="1"/>
  <c r="K21" i="6"/>
  <c r="E13" i="3"/>
  <c r="E540" i="3"/>
  <c r="D19" i="59"/>
  <c r="C18" i="59"/>
  <c r="D18" i="59" s="1"/>
  <c r="Q57" i="59"/>
  <c r="Q58" i="59"/>
  <c r="AA12" i="39"/>
  <c r="G40" i="36"/>
  <c r="H40" i="36" s="1"/>
  <c r="E58" i="40"/>
  <c r="E63" i="39"/>
  <c r="E59" i="40"/>
  <c r="E64" i="39"/>
  <c r="E65" i="39"/>
  <c r="E60" i="40"/>
  <c r="F24" i="43"/>
  <c r="C26" i="43" s="1"/>
  <c r="D24" i="43" s="1"/>
  <c r="F33" i="12"/>
  <c r="C34" i="12" s="1"/>
  <c r="D33" i="12" s="1"/>
  <c r="P58" i="59"/>
  <c r="P57" i="59"/>
  <c r="I46" i="37"/>
  <c r="J46" i="37" s="1"/>
  <c r="I47" i="37"/>
  <c r="J47" i="37" s="1"/>
  <c r="AA7" i="36"/>
  <c r="R36" i="36" s="1"/>
  <c r="S7" i="36"/>
  <c r="E283" i="3"/>
  <c r="E23" i="3"/>
  <c r="E535" i="3"/>
  <c r="E443" i="3"/>
  <c r="E156" i="3"/>
  <c r="E265" i="3"/>
  <c r="E381" i="3"/>
  <c r="E49" i="3"/>
  <c r="AM6" i="3"/>
  <c r="E427" i="3"/>
  <c r="E78" i="3"/>
  <c r="E193" i="3"/>
  <c r="E337" i="3"/>
  <c r="E278" i="3"/>
  <c r="E390" i="3"/>
  <c r="E104" i="3"/>
  <c r="E158" i="3"/>
  <c r="E94" i="3"/>
  <c r="E296" i="3"/>
  <c r="E492" i="3"/>
  <c r="E36" i="3"/>
  <c r="E149" i="3"/>
  <c r="E131" i="3"/>
  <c r="E295" i="3"/>
  <c r="E237" i="3"/>
  <c r="E249" i="3"/>
  <c r="E89" i="3"/>
  <c r="E428"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13" i="3"/>
  <c r="E568" i="3"/>
  <c r="E79" i="3"/>
  <c r="E85" i="3"/>
  <c r="E425" i="3"/>
  <c r="E401"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89" i="3"/>
  <c r="E456" i="3"/>
  <c r="E325" i="3"/>
  <c r="E353" i="3"/>
  <c r="E286" i="3"/>
  <c r="E569" i="3"/>
  <c r="E396" i="3"/>
  <c r="E50" i="3"/>
  <c r="E183" i="3"/>
  <c r="AJ6" i="3"/>
  <c r="E216" i="3"/>
  <c r="E236" i="3"/>
  <c r="E320" i="3"/>
  <c r="E392" i="3"/>
  <c r="E474" i="3"/>
  <c r="E45" i="3"/>
  <c r="E15" i="3"/>
  <c r="E373" i="3"/>
  <c r="E284" i="3"/>
  <c r="E251" i="3"/>
  <c r="E354" i="3"/>
  <c r="E42" i="3"/>
  <c r="E56" i="3"/>
  <c r="T6" i="3"/>
  <c r="E531" i="3"/>
  <c r="E181" i="3"/>
  <c r="E122" i="3"/>
  <c r="E144" i="3"/>
  <c r="E495" i="3"/>
  <c r="E269" i="3"/>
  <c r="E208" i="3"/>
  <c r="E219" i="3"/>
  <c r="E338" i="3"/>
  <c r="E485" i="3"/>
  <c r="E335" i="3"/>
  <c r="E571" i="3"/>
  <c r="E532" i="3"/>
  <c r="E497" i="3"/>
  <c r="E330" i="3"/>
  <c r="E340" i="3"/>
  <c r="E566" i="3"/>
  <c r="E350" i="3"/>
  <c r="E515" i="3"/>
  <c r="E521" i="3"/>
  <c r="E553" i="3"/>
  <c r="E130" i="3"/>
  <c r="E273" i="3"/>
  <c r="E352" i="3"/>
  <c r="E461" i="3"/>
  <c r="E563" i="3"/>
  <c r="E138" i="3"/>
  <c r="E254" i="3"/>
  <c r="E112" i="3"/>
  <c r="E519" i="3"/>
  <c r="E341" i="3"/>
  <c r="E268" i="3"/>
  <c r="E252" i="3"/>
  <c r="E316" i="3"/>
  <c r="E346" i="3"/>
  <c r="E318" i="3"/>
  <c r="E541" i="3"/>
  <c r="E565" i="3"/>
  <c r="E380" i="3"/>
  <c r="E557" i="3"/>
  <c r="E503" i="3"/>
  <c r="E86" i="3"/>
  <c r="E476" i="3"/>
  <c r="E68" i="3"/>
  <c r="E192" i="3"/>
  <c r="E135" i="3"/>
  <c r="E114" i="3"/>
  <c r="E147" i="3"/>
  <c r="E22" i="3"/>
  <c r="E93" i="3"/>
  <c r="E439" i="3"/>
  <c r="E394" i="3"/>
  <c r="E459" i="3"/>
  <c r="E55" i="3"/>
  <c r="E117" i="3"/>
  <c r="E282" i="3"/>
  <c r="E231" i="3"/>
  <c r="E570" i="3"/>
  <c r="E528" i="3"/>
  <c r="E375" i="3"/>
  <c r="E470" i="3"/>
  <c r="E409" i="3"/>
  <c r="E349" i="3"/>
  <c r="E83" i="3"/>
  <c r="E266" i="3"/>
  <c r="E215" i="3"/>
  <c r="I6" i="3"/>
  <c r="E103" i="3"/>
  <c r="E548" i="3"/>
  <c r="E200" i="3"/>
  <c r="Z6" i="3"/>
  <c r="E62" i="3"/>
  <c r="E454" i="3"/>
  <c r="E389" i="3"/>
  <c r="E520" i="3"/>
  <c r="E230" i="3"/>
  <c r="AK6" i="3"/>
  <c r="E143" i="3"/>
  <c r="E395"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27" i="3"/>
  <c r="E311" i="3"/>
  <c r="E263" i="3"/>
  <c r="E424" i="3"/>
  <c r="E430" i="3"/>
  <c r="E146" i="3"/>
  <c r="E77" i="3"/>
  <c r="E434" i="3"/>
  <c r="E552" i="3"/>
  <c r="E57"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413" i="3"/>
  <c r="M6" i="3"/>
  <c r="E241" i="3"/>
  <c r="E69" i="3"/>
  <c r="E446" i="3"/>
  <c r="E152" i="3"/>
  <c r="E437" i="3"/>
  <c r="E46" i="3"/>
  <c r="E221" i="3"/>
  <c r="E457" i="3"/>
  <c r="E31" i="3"/>
  <c r="X6" i="3"/>
  <c r="AA6" i="3"/>
  <c r="AD6" i="3"/>
  <c r="E222" i="3"/>
  <c r="E388" i="3"/>
  <c r="E82" i="3"/>
  <c r="E164" i="3"/>
  <c r="E99" i="3"/>
  <c r="E262" i="3"/>
  <c r="E101" i="3"/>
  <c r="E348" i="3"/>
  <c r="E491" i="3"/>
  <c r="E186" i="3"/>
  <c r="E128" i="3"/>
  <c r="E328" i="3"/>
  <c r="E483" i="3"/>
  <c r="E526" i="3"/>
  <c r="E546" i="3"/>
  <c r="E562" i="3"/>
  <c r="E539" i="3"/>
  <c r="E561" i="3"/>
  <c r="E523" i="3"/>
  <c r="E360" i="3"/>
  <c r="E175" i="3"/>
  <c r="E167" i="3"/>
  <c r="E344" i="3"/>
  <c r="E506" i="3"/>
  <c r="E327" i="3"/>
  <c r="E194" i="3"/>
  <c r="E136" i="3"/>
  <c r="E124" i="3"/>
  <c r="E299" i="3"/>
  <c r="E544" i="3"/>
  <c r="E554" i="3"/>
  <c r="E549" i="3"/>
  <c r="E518" i="3"/>
  <c r="E494" i="3"/>
  <c r="E366" i="3"/>
  <c r="E332" i="3"/>
  <c r="E308" i="3"/>
  <c r="E171" i="3"/>
  <c r="E155" i="3"/>
  <c r="E304" i="3"/>
  <c r="E542" i="3"/>
  <c r="E504" i="3"/>
  <c r="N58" i="59"/>
  <c r="N57" i="59"/>
  <c r="D14" i="59"/>
  <c r="C13" i="59"/>
  <c r="D16" i="43"/>
  <c r="C16" i="43" s="1"/>
  <c r="E6" i="6"/>
  <c r="L38" i="9"/>
  <c r="B14" i="66" s="1"/>
  <c r="B1" i="66" s="1"/>
  <c r="D45" i="9"/>
  <c r="C21" i="4"/>
  <c r="O5" i="54" s="1"/>
  <c r="B45" i="63" s="1"/>
  <c r="D16" i="12"/>
  <c r="D46" i="9"/>
  <c r="D44" i="9"/>
  <c r="W12" i="40"/>
  <c r="AC12"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F41" i="71"/>
  <c r="C17" i="70"/>
  <c r="F41" i="70"/>
  <c r="AE9" i="1"/>
  <c r="F41" i="15" s="1"/>
  <c r="C47" i="15" l="1"/>
  <c r="J24" i="71"/>
  <c r="F68" i="71"/>
  <c r="J29" i="71"/>
  <c r="C38" i="71"/>
  <c r="C59" i="71"/>
  <c r="C65" i="71"/>
  <c r="C60" i="71"/>
  <c r="C24" i="71"/>
  <c r="F68" i="70"/>
  <c r="C38" i="70"/>
  <c r="C59" i="70"/>
  <c r="C65" i="70"/>
  <c r="C60" i="70"/>
  <c r="J29" i="70"/>
  <c r="F68" i="15"/>
  <c r="J18" i="15"/>
  <c r="G33" i="46"/>
  <c r="I33" i="46" s="1"/>
  <c r="C27" i="46" s="1"/>
  <c r="E35" i="46"/>
  <c r="M22" i="6"/>
  <c r="I22" i="6" s="1"/>
  <c r="S22" i="6" s="1"/>
  <c r="S9" i="1"/>
  <c r="M21" i="6"/>
  <c r="I21" i="6" s="1"/>
  <c r="S21" i="6" s="1"/>
  <c r="S8" i="1"/>
  <c r="M20" i="6"/>
  <c r="I20" i="6" s="1"/>
  <c r="S20" i="6" s="1"/>
  <c r="S7" i="1"/>
  <c r="S16" i="1" s="1"/>
  <c r="AC12" i="39"/>
  <c r="AA12" i="40"/>
  <c r="AC6" i="3"/>
  <c r="AB12" i="39"/>
  <c r="U12" i="40"/>
  <c r="H6" i="3"/>
  <c r="E6" i="3" s="1"/>
  <c r="F72" i="39"/>
  <c r="G70" i="39"/>
  <c r="G67" i="40"/>
  <c r="H65" i="40"/>
  <c r="D13" i="59"/>
  <c r="C12" i="59"/>
  <c r="E37" i="46"/>
  <c r="G39" i="46"/>
  <c r="I39" i="46" s="1"/>
  <c r="E36" i="46"/>
  <c r="C8" i="66"/>
  <c r="C7" i="66"/>
  <c r="C6" i="66"/>
  <c r="K27" i="6"/>
  <c r="M19" i="6"/>
  <c r="E43" i="35"/>
  <c r="F43" i="35" s="1"/>
  <c r="E42" i="35"/>
  <c r="F42" i="35" s="1"/>
  <c r="I42" i="35"/>
  <c r="J42" i="35" s="1"/>
  <c r="I43" i="35"/>
  <c r="J43" i="35" s="1"/>
  <c r="P12" i="1"/>
  <c r="I58" i="33"/>
  <c r="C43" i="37"/>
  <c r="B3" i="37" s="1"/>
  <c r="B2" i="37" s="1"/>
  <c r="C42" i="37"/>
  <c r="J59" i="34"/>
  <c r="D19" i="12"/>
  <c r="C19" i="12" s="1"/>
  <c r="C16" i="12"/>
  <c r="D13" i="11"/>
  <c r="C13" i="11" s="1"/>
  <c r="D22" i="12"/>
  <c r="C22" i="12" s="1"/>
  <c r="C20" i="12" s="1"/>
  <c r="R37" i="36"/>
  <c r="E36" i="36"/>
  <c r="M14" i="1"/>
  <c r="K16" i="1"/>
  <c r="H58" i="21"/>
  <c r="C39" i="35"/>
  <c r="B3" i="35" s="1"/>
  <c r="B2" i="35" s="1"/>
  <c r="C38" i="35"/>
  <c r="I40" i="36"/>
  <c r="J40" i="36" s="1"/>
  <c r="E47" i="37"/>
  <c r="F47" i="37" s="1"/>
  <c r="E46" i="37"/>
  <c r="F46" i="37" s="1"/>
  <c r="G43" i="35"/>
  <c r="H43" i="35" s="1"/>
  <c r="C22" i="4"/>
  <c r="D21" i="6"/>
  <c r="D10" i="6"/>
  <c r="H21" i="6"/>
  <c r="D6" i="6"/>
  <c r="D14" i="6"/>
  <c r="D20" i="6"/>
  <c r="H23" i="6"/>
  <c r="F45" i="9"/>
  <c r="E68" i="39"/>
  <c r="D24" i="6"/>
  <c r="D11" i="6"/>
  <c r="D9" i="6"/>
  <c r="D29" i="6"/>
  <c r="D15" i="6"/>
  <c r="E44" i="9"/>
  <c r="E46" i="9"/>
  <c r="D19" i="6"/>
  <c r="D13" i="6"/>
  <c r="D23" i="6"/>
  <c r="D8" i="6"/>
  <c r="F44" i="9"/>
  <c r="D22" i="6"/>
  <c r="H25" i="6"/>
  <c r="H22" i="6"/>
  <c r="F46" i="9"/>
  <c r="E63" i="40"/>
  <c r="D25" i="6"/>
  <c r="R25" i="6" s="1"/>
  <c r="H24" i="6"/>
  <c r="D28" i="6"/>
  <c r="D30" i="6" s="1"/>
  <c r="E45" i="9"/>
  <c r="K38" i="9"/>
  <c r="C14" i="66" s="1"/>
  <c r="B2" i="66" s="1"/>
  <c r="D26" i="6"/>
  <c r="D12" i="6"/>
  <c r="D5" i="6"/>
  <c r="H26" i="6"/>
  <c r="E29" i="46"/>
  <c r="C65" i="15"/>
  <c r="C59" i="15"/>
  <c r="B5" i="11"/>
  <c r="B3" i="11"/>
  <c r="B4" i="11"/>
  <c r="C27" i="12"/>
  <c r="D26" i="12" s="1"/>
  <c r="C32" i="12" s="1"/>
  <c r="D30" i="12" s="1"/>
  <c r="J26" i="15"/>
  <c r="J29" i="15" s="1"/>
  <c r="J24" i="15"/>
  <c r="C38" i="15"/>
  <c r="Q58" i="44"/>
  <c r="Q67" i="44"/>
  <c r="Q49" i="44"/>
  <c r="Q55" i="44" s="1"/>
  <c r="C17" i="15"/>
  <c r="C17" i="71"/>
  <c r="F7" i="67"/>
  <c r="H20" i="6" l="1"/>
  <c r="D16" i="6"/>
  <c r="R23" i="6"/>
  <c r="R24" i="6"/>
  <c r="I65" i="40"/>
  <c r="H67" i="40"/>
  <c r="G72" i="39"/>
  <c r="H70" i="39"/>
  <c r="D7" i="66"/>
  <c r="D8" i="66"/>
  <c r="D6" i="66"/>
  <c r="D27" i="6"/>
  <c r="D31" i="6" s="1"/>
  <c r="I58" i="21"/>
  <c r="J58" i="21" s="1"/>
  <c r="K58" i="21" s="1"/>
  <c r="L58" i="21" s="1"/>
  <c r="M58" i="21" s="1"/>
  <c r="N58" i="21" s="1"/>
  <c r="O58" i="21" s="1"/>
  <c r="T11" i="1"/>
  <c r="T10" i="1"/>
  <c r="T8" i="1"/>
  <c r="T13" i="1"/>
  <c r="T12" i="1"/>
  <c r="O14" i="1"/>
  <c r="O16" i="1" s="1"/>
  <c r="T6" i="1"/>
  <c r="T9" i="1"/>
  <c r="T7" i="1"/>
  <c r="M16" i="1"/>
  <c r="E40" i="36"/>
  <c r="F40" i="36" s="1"/>
  <c r="E41" i="36"/>
  <c r="F41" i="36" s="1"/>
  <c r="C11" i="59"/>
  <c r="T12" i="59"/>
  <c r="D12" i="59"/>
  <c r="J7" i="21"/>
  <c r="R20" i="6"/>
  <c r="R7" i="1" s="1"/>
  <c r="A20" i="64"/>
  <c r="A6" i="51"/>
  <c r="B7" i="63" s="1"/>
  <c r="A20" i="51"/>
  <c r="B15" i="63" s="1"/>
  <c r="A6" i="64"/>
  <c r="N5" i="54"/>
  <c r="B43" i="63" s="1"/>
  <c r="R26" i="6"/>
  <c r="R22" i="6"/>
  <c r="R9" i="1" s="1"/>
  <c r="R21" i="6"/>
  <c r="R8" i="1" s="1"/>
  <c r="I41" i="36"/>
  <c r="J41" i="36" s="1"/>
  <c r="H7" i="21"/>
  <c r="C37" i="36"/>
  <c r="B3" i="36" s="1"/>
  <c r="B2" i="36" s="1"/>
  <c r="C36" i="36"/>
  <c r="K59" i="34"/>
  <c r="J58" i="33"/>
  <c r="I19" i="6"/>
  <c r="M27" i="6"/>
  <c r="E4" i="67"/>
  <c r="C26" i="46"/>
  <c r="B2" i="46" s="1"/>
  <c r="D77" i="9"/>
  <c r="N75" i="9" s="1"/>
  <c r="E7" i="67"/>
  <c r="B7" i="67"/>
  <c r="C14" i="71"/>
  <c r="C14" i="70"/>
  <c r="F35" i="71"/>
  <c r="M21" i="71"/>
  <c r="C16" i="44"/>
  <c r="C14" i="15"/>
  <c r="F35" i="15"/>
  <c r="M21" i="15"/>
  <c r="J20" i="15" l="1"/>
  <c r="C34" i="15"/>
  <c r="F62" i="15"/>
  <c r="C61" i="15" s="1"/>
  <c r="J20" i="71"/>
  <c r="F62" i="71"/>
  <c r="C61" i="71" s="1"/>
  <c r="C58" i="71" s="1"/>
  <c r="C34" i="71"/>
  <c r="C31" i="71" s="1"/>
  <c r="C18" i="70"/>
  <c r="C15" i="70"/>
  <c r="C15" i="71"/>
  <c r="C18" i="71"/>
  <c r="T16" i="1"/>
  <c r="P14" i="1"/>
  <c r="P16" i="1" s="1"/>
  <c r="C13" i="12" s="1"/>
  <c r="C14" i="12" s="1"/>
  <c r="J65" i="40"/>
  <c r="I67" i="40"/>
  <c r="F7" i="21"/>
  <c r="H72" i="39"/>
  <c r="I70" i="39"/>
  <c r="C17" i="44"/>
  <c r="C20" i="44"/>
  <c r="C18" i="15"/>
  <c r="C15" i="15"/>
  <c r="S19" i="6"/>
  <c r="S27" i="6" s="1"/>
  <c r="I27" i="6"/>
  <c r="H19" i="6"/>
  <c r="L59" i="34"/>
  <c r="W7" i="21"/>
  <c r="AC7" i="21"/>
  <c r="V48" i="21" s="1"/>
  <c r="I48" i="21" s="1"/>
  <c r="I6" i="6"/>
  <c r="I5" i="6"/>
  <c r="K58" i="33"/>
  <c r="U7" i="21"/>
  <c r="AB7" i="21"/>
  <c r="T48" i="21" s="1"/>
  <c r="G48" i="21" s="1"/>
  <c r="C10" i="59"/>
  <c r="D11" i="59"/>
  <c r="C13" i="43"/>
  <c r="L16" i="1"/>
  <c r="N16" i="1"/>
  <c r="C29" i="43" s="1"/>
  <c r="AA7" i="21"/>
  <c r="R48" i="21" s="1"/>
  <c r="S7" i="21"/>
  <c r="E3" i="67"/>
  <c r="B2" i="67"/>
  <c r="D4" i="46"/>
  <c r="B3" i="46"/>
  <c r="B4" i="46"/>
  <c r="C19" i="70" l="1"/>
  <c r="C20" i="70" s="1"/>
  <c r="C26" i="70" s="1"/>
  <c r="C19" i="71"/>
  <c r="C20" i="71" s="1"/>
  <c r="C26" i="71" s="1"/>
  <c r="C17" i="12"/>
  <c r="C18" i="12" s="1"/>
  <c r="C23" i="12" s="1"/>
  <c r="C21" i="44"/>
  <c r="C22" i="44" s="1"/>
  <c r="C28" i="44" s="1"/>
  <c r="J70" i="39"/>
  <c r="I72" i="39"/>
  <c r="J67" i="40"/>
  <c r="K65" i="40"/>
  <c r="C19" i="15"/>
  <c r="C20" i="15" s="1"/>
  <c r="C14" i="43"/>
  <c r="C17" i="43"/>
  <c r="C9" i="59"/>
  <c r="D10" i="59"/>
  <c r="G52" i="21"/>
  <c r="H52" i="21" s="1"/>
  <c r="G53" i="21"/>
  <c r="H53" i="21" s="1"/>
  <c r="I52" i="21"/>
  <c r="J52" i="21" s="1"/>
  <c r="H27" i="6"/>
  <c r="R19" i="6"/>
  <c r="R49" i="21"/>
  <c r="E48" i="21"/>
  <c r="L58" i="33"/>
  <c r="M59" i="34"/>
  <c r="N59" i="34" s="1"/>
  <c r="O59" i="34" s="1"/>
  <c r="H7" i="34" s="1"/>
  <c r="F7" i="34"/>
  <c r="B3" i="67"/>
  <c r="B4" i="67"/>
  <c r="C23" i="71" l="1"/>
  <c r="C29" i="71" s="1"/>
  <c r="J19" i="71" s="1"/>
  <c r="J17" i="71" s="1"/>
  <c r="J14" i="71"/>
  <c r="C23" i="70"/>
  <c r="C29" i="70" s="1"/>
  <c r="R27" i="6"/>
  <c r="R6" i="1"/>
  <c r="C25" i="44"/>
  <c r="C31" i="44" s="1"/>
  <c r="K70" i="39"/>
  <c r="J72" i="39"/>
  <c r="K67" i="40"/>
  <c r="L65" i="40"/>
  <c r="C23" i="15"/>
  <c r="C26" i="15"/>
  <c r="U7" i="34"/>
  <c r="AB7" i="34"/>
  <c r="T49" i="34" s="1"/>
  <c r="G49" i="34" s="1"/>
  <c r="M58" i="33"/>
  <c r="C49" i="21"/>
  <c r="B3" i="21" s="1"/>
  <c r="B2" i="21" s="1"/>
  <c r="C48" i="21"/>
  <c r="C18" i="43"/>
  <c r="AA7" i="34"/>
  <c r="R49" i="34" s="1"/>
  <c r="S7" i="34"/>
  <c r="E53" i="21"/>
  <c r="F53" i="21" s="1"/>
  <c r="E52" i="21"/>
  <c r="F52" i="21" s="1"/>
  <c r="I53" i="21"/>
  <c r="J53" i="21" s="1"/>
  <c r="C8" i="59"/>
  <c r="D9" i="59"/>
  <c r="J7" i="34"/>
  <c r="M21" i="70"/>
  <c r="F35" i="70"/>
  <c r="C36" i="71" l="1"/>
  <c r="C13" i="71"/>
  <c r="Q71" i="71" s="1"/>
  <c r="C56" i="71"/>
  <c r="C63" i="71" s="1"/>
  <c r="Q50" i="71"/>
  <c r="C34" i="70"/>
  <c r="C31" i="70" s="1"/>
  <c r="F62" i="70"/>
  <c r="C61" i="70" s="1"/>
  <c r="C58" i="70" s="1"/>
  <c r="J20" i="70"/>
  <c r="R16" i="1"/>
  <c r="J13" i="71"/>
  <c r="J23" i="71" s="1"/>
  <c r="J22" i="71"/>
  <c r="C55" i="71"/>
  <c r="C64" i="71" s="1"/>
  <c r="J19" i="70"/>
  <c r="C36" i="70"/>
  <c r="C13" i="70"/>
  <c r="J14" i="70"/>
  <c r="C56" i="70"/>
  <c r="C63" i="70" s="1"/>
  <c r="Q50" i="70"/>
  <c r="C29" i="15"/>
  <c r="Q50" i="15" s="1"/>
  <c r="J21" i="44"/>
  <c r="J19" i="44" s="1"/>
  <c r="C35" i="44"/>
  <c r="C33" i="44" s="1"/>
  <c r="C15" i="44"/>
  <c r="Q72" i="44" s="1"/>
  <c r="C38" i="44"/>
  <c r="J16" i="44"/>
  <c r="J15" i="44" s="1"/>
  <c r="J25" i="44" s="1"/>
  <c r="Q51" i="44"/>
  <c r="K72" i="39"/>
  <c r="L70" i="39"/>
  <c r="M65" i="40"/>
  <c r="L67" i="40"/>
  <c r="J59" i="15"/>
  <c r="J60" i="15" s="1"/>
  <c r="Q49" i="15" s="1"/>
  <c r="C33" i="15"/>
  <c r="C31" i="15" s="1"/>
  <c r="C7" i="59"/>
  <c r="T8" i="59"/>
  <c r="D8" i="59"/>
  <c r="R50" i="34"/>
  <c r="E49" i="34"/>
  <c r="G53" i="34"/>
  <c r="H53" i="34" s="1"/>
  <c r="J24" i="44"/>
  <c r="AC7" i="34"/>
  <c r="V49" i="34" s="1"/>
  <c r="I49" i="34" s="1"/>
  <c r="W7" i="34"/>
  <c r="C19" i="43"/>
  <c r="C25" i="43" s="1"/>
  <c r="C24" i="43" s="1"/>
  <c r="N58" i="33"/>
  <c r="J17" i="70" l="1"/>
  <c r="J35" i="71"/>
  <c r="C37" i="71"/>
  <c r="C30" i="71" s="1"/>
  <c r="C39" i="71" s="1"/>
  <c r="Q70" i="71" s="1"/>
  <c r="Q69" i="71" s="1"/>
  <c r="C57" i="71"/>
  <c r="C66" i="71" s="1"/>
  <c r="C67" i="71" s="1"/>
  <c r="C70" i="71" s="1"/>
  <c r="J16" i="71"/>
  <c r="J25" i="71" s="1"/>
  <c r="Q71" i="70"/>
  <c r="C37" i="70"/>
  <c r="C30" i="70" s="1"/>
  <c r="C39" i="70" s="1"/>
  <c r="C55" i="70"/>
  <c r="C64" i="70" s="1"/>
  <c r="C57" i="70" s="1"/>
  <c r="C66" i="70" s="1"/>
  <c r="C67" i="70" s="1"/>
  <c r="J35" i="70"/>
  <c r="J39" i="70" s="1"/>
  <c r="J40" i="70" s="1"/>
  <c r="C40" i="71"/>
  <c r="J22" i="70"/>
  <c r="J13" i="70"/>
  <c r="J23" i="70" s="1"/>
  <c r="J19" i="15"/>
  <c r="J17" i="15" s="1"/>
  <c r="C36" i="15"/>
  <c r="C56" i="15"/>
  <c r="C60" i="15" s="1"/>
  <c r="C58" i="15" s="1"/>
  <c r="J14" i="15"/>
  <c r="J13" i="15" s="1"/>
  <c r="J23" i="15" s="1"/>
  <c r="C13" i="15"/>
  <c r="Q71" i="15" s="1"/>
  <c r="C39" i="44"/>
  <c r="C32" i="44" s="1"/>
  <c r="C42" i="44" s="1"/>
  <c r="Q71" i="44" s="1"/>
  <c r="Q70" i="44" s="1"/>
  <c r="C43" i="44"/>
  <c r="C22" i="43"/>
  <c r="C21" i="43" s="1"/>
  <c r="C28" i="43" s="1"/>
  <c r="C30" i="43" s="1"/>
  <c r="C32" i="43" s="1"/>
  <c r="B2" i="43" s="1"/>
  <c r="B4" i="43" s="1"/>
  <c r="L46" i="15"/>
  <c r="M70" i="39"/>
  <c r="L72" i="39"/>
  <c r="N65" i="40"/>
  <c r="N67" i="40" s="1"/>
  <c r="M67" i="40"/>
  <c r="I54" i="34"/>
  <c r="J54" i="34" s="1"/>
  <c r="I53" i="34"/>
  <c r="J53" i="34" s="1"/>
  <c r="G54" i="34"/>
  <c r="H54" i="34" s="1"/>
  <c r="C50" i="34"/>
  <c r="B3" i="34" s="1"/>
  <c r="B2" i="34" s="1"/>
  <c r="C49" i="34"/>
  <c r="O58" i="33"/>
  <c r="H7" i="33"/>
  <c r="J18" i="44"/>
  <c r="J27" i="44" s="1"/>
  <c r="E54" i="34"/>
  <c r="F54" i="34" s="1"/>
  <c r="E53" i="34"/>
  <c r="F53" i="34" s="1"/>
  <c r="C6" i="59"/>
  <c r="D7" i="59"/>
  <c r="L51" i="71"/>
  <c r="J39" i="71" l="1"/>
  <c r="J40" i="71" s="1"/>
  <c r="J16" i="70"/>
  <c r="J25" i="70" s="1"/>
  <c r="Q68" i="71"/>
  <c r="C46" i="71"/>
  <c r="Q66" i="71"/>
  <c r="Q76" i="71" s="1"/>
  <c r="Q48" i="71"/>
  <c r="Q54" i="71" s="1"/>
  <c r="B2" i="71"/>
  <c r="Q57" i="71"/>
  <c r="Q63" i="71" s="1"/>
  <c r="C43" i="71"/>
  <c r="J42" i="71"/>
  <c r="J43" i="71" s="1"/>
  <c r="Q70" i="70"/>
  <c r="Q69" i="70" s="1"/>
  <c r="C40" i="70"/>
  <c r="C70" i="70"/>
  <c r="C55" i="15"/>
  <c r="C64" i="15" s="1"/>
  <c r="C63" i="15"/>
  <c r="J35" i="15"/>
  <c r="C37" i="15"/>
  <c r="C30" i="15" s="1"/>
  <c r="C39" i="15" s="1"/>
  <c r="J22" i="15"/>
  <c r="J16" i="15" s="1"/>
  <c r="J25" i="15" s="1"/>
  <c r="B3" i="43"/>
  <c r="B5" i="43"/>
  <c r="C44" i="44"/>
  <c r="C45" i="44" s="1"/>
  <c r="L52" i="44" s="1"/>
  <c r="J9" i="40"/>
  <c r="H9" i="40"/>
  <c r="F9" i="40"/>
  <c r="M72" i="39"/>
  <c r="J9" i="39" s="1"/>
  <c r="N70" i="39"/>
  <c r="N72" i="39" s="1"/>
  <c r="L57" i="15"/>
  <c r="L60" i="15" s="1"/>
  <c r="C5" i="59"/>
  <c r="D6" i="59"/>
  <c r="F7" i="33"/>
  <c r="J7" i="33"/>
  <c r="U7" i="33"/>
  <c r="AB7" i="33"/>
  <c r="T48" i="33" s="1"/>
  <c r="G48" i="33" s="1"/>
  <c r="L51" i="70"/>
  <c r="L51" i="15"/>
  <c r="Q68" i="70" l="1"/>
  <c r="Q66" i="70"/>
  <c r="Q76" i="70" s="1"/>
  <c r="Q48" i="70"/>
  <c r="Q54" i="70" s="1"/>
  <c r="B2" i="70"/>
  <c r="Q57" i="70"/>
  <c r="Q63" i="70" s="1"/>
  <c r="C43" i="70"/>
  <c r="J42" i="70"/>
  <c r="J43" i="70" s="1"/>
  <c r="C46" i="70"/>
  <c r="E10" i="12"/>
  <c r="B3" i="71"/>
  <c r="E8" i="12" s="1"/>
  <c r="C57" i="15"/>
  <c r="C66" i="15" s="1"/>
  <c r="C67" i="15" s="1"/>
  <c r="C70" i="15" s="1"/>
  <c r="Q68" i="15"/>
  <c r="C40" i="15"/>
  <c r="Q70" i="15"/>
  <c r="Q69" i="15" s="1"/>
  <c r="J39" i="15"/>
  <c r="J40" i="15" s="1"/>
  <c r="B2" i="44"/>
  <c r="B3" i="44" s="1"/>
  <c r="W9" i="39"/>
  <c r="AC9" i="39"/>
  <c r="V49" i="39" s="1"/>
  <c r="I49" i="39" s="1"/>
  <c r="AB9" i="40"/>
  <c r="T44" i="40" s="1"/>
  <c r="G44" i="40" s="1"/>
  <c r="U9" i="40"/>
  <c r="H9" i="39"/>
  <c r="S9" i="40"/>
  <c r="AA9" i="40"/>
  <c r="R44" i="40" s="1"/>
  <c r="W9" i="40"/>
  <c r="AC9" i="40"/>
  <c r="V44" i="40" s="1"/>
  <c r="I44" i="40" s="1"/>
  <c r="F9" i="39"/>
  <c r="G52" i="33"/>
  <c r="H52" i="33" s="1"/>
  <c r="Q69" i="44"/>
  <c r="L58" i="44"/>
  <c r="L61" i="44" s="1"/>
  <c r="S7" i="33"/>
  <c r="AA7" i="33"/>
  <c r="R48" i="33" s="1"/>
  <c r="W7" i="33"/>
  <c r="AC7" i="33"/>
  <c r="V48" i="33" s="1"/>
  <c r="I48" i="33" s="1"/>
  <c r="G53" i="33" s="1"/>
  <c r="H53" i="33" s="1"/>
  <c r="D5" i="59"/>
  <c r="M20" i="46"/>
  <c r="Q67" i="15"/>
  <c r="Q58" i="15"/>
  <c r="C46" i="15" l="1"/>
  <c r="C10" i="12"/>
  <c r="B3" i="70"/>
  <c r="C8" i="12" s="1"/>
  <c r="Q57" i="15"/>
  <c r="Q63" i="15" s="1"/>
  <c r="Q66" i="15"/>
  <c r="Q76" i="15" s="1"/>
  <c r="B2" i="15"/>
  <c r="Q48" i="15"/>
  <c r="Q54" i="15" s="1"/>
  <c r="C43" i="15"/>
  <c r="J42" i="15"/>
  <c r="J43" i="15" s="1"/>
  <c r="B5" i="44"/>
  <c r="B4" i="44"/>
  <c r="S9" i="39"/>
  <c r="AA9" i="39"/>
  <c r="R49" i="39" s="1"/>
  <c r="I53" i="39"/>
  <c r="J53" i="39" s="1"/>
  <c r="I48" i="40"/>
  <c r="J48" i="40" s="1"/>
  <c r="E44" i="40"/>
  <c r="I49" i="40" s="1"/>
  <c r="J49" i="40" s="1"/>
  <c r="R45" i="40"/>
  <c r="U9" i="39"/>
  <c r="AB9" i="39"/>
  <c r="T49" i="39" s="1"/>
  <c r="G49" i="39" s="1"/>
  <c r="G49" i="40"/>
  <c r="H49" i="40" s="1"/>
  <c r="G48" i="40"/>
  <c r="H48" i="40" s="1"/>
  <c r="I52" i="33"/>
  <c r="J52" i="33" s="1"/>
  <c r="R49" i="33"/>
  <c r="E48" i="33"/>
  <c r="Q68" i="44"/>
  <c r="Q77" i="44" s="1"/>
  <c r="Q59" i="44"/>
  <c r="Q64" i="44" s="1"/>
  <c r="B3" i="15" l="1"/>
  <c r="F8" i="12" s="1"/>
  <c r="F10" i="12"/>
  <c r="C6" i="12" s="1"/>
  <c r="G53" i="39"/>
  <c r="H53" i="39" s="1"/>
  <c r="G54" i="39"/>
  <c r="H54" i="39" s="1"/>
  <c r="C45" i="40"/>
  <c r="C44" i="40"/>
  <c r="R50" i="39"/>
  <c r="E49" i="39"/>
  <c r="E49" i="40"/>
  <c r="F49" i="40" s="1"/>
  <c r="E48" i="40"/>
  <c r="F48" i="40" s="1"/>
  <c r="E53" i="33"/>
  <c r="F53" i="33" s="1"/>
  <c r="E52" i="33"/>
  <c r="F52" i="33" s="1"/>
  <c r="I53" i="33"/>
  <c r="J53" i="33" s="1"/>
  <c r="C48" i="33"/>
  <c r="C49" i="33"/>
  <c r="B3" i="33" s="1"/>
  <c r="B2" i="33" s="1"/>
  <c r="C24" i="12" l="1"/>
  <c r="C29" i="12"/>
  <c r="E54" i="39"/>
  <c r="F54" i="39" s="1"/>
  <c r="E53" i="39"/>
  <c r="F53" i="39" s="1"/>
  <c r="I54" i="39"/>
  <c r="J54" i="39" s="1"/>
  <c r="C50" i="39"/>
  <c r="C49" i="39"/>
  <c r="B61" i="40"/>
  <c r="F61" i="40" s="1"/>
  <c r="F63" i="40"/>
  <c r="B2" i="40" s="1"/>
  <c r="B55" i="40"/>
  <c r="F55" i="40" s="1"/>
  <c r="B59" i="40"/>
  <c r="F59" i="40" s="1"/>
  <c r="B60" i="40"/>
  <c r="F60" i="40" s="1"/>
  <c r="B57" i="40"/>
  <c r="F57" i="40" s="1"/>
  <c r="B62" i="40"/>
  <c r="F62" i="40" s="1"/>
  <c r="B58" i="40"/>
  <c r="F58" i="40" s="1"/>
  <c r="B56" i="40"/>
  <c r="F56" i="40" s="1"/>
  <c r="B53" i="40"/>
  <c r="F53" i="40" s="1"/>
  <c r="B54" i="40"/>
  <c r="F54" i="40" s="1"/>
  <c r="C28" i="12" l="1"/>
  <c r="C26" i="12" s="1"/>
  <c r="C31" i="12" s="1"/>
  <c r="C30" i="12" s="1"/>
  <c r="C35" i="12"/>
  <c r="C33" i="12" s="1"/>
  <c r="B4" i="40"/>
  <c r="B5" i="40"/>
  <c r="B3" i="40"/>
  <c r="B58" i="39"/>
  <c r="F58" i="39" s="1"/>
  <c r="B64" i="39"/>
  <c r="F64" i="39" s="1"/>
  <c r="B60" i="39"/>
  <c r="F60" i="39" s="1"/>
  <c r="B59" i="39"/>
  <c r="F59" i="39" s="1"/>
  <c r="B67" i="39"/>
  <c r="F67" i="39" s="1"/>
  <c r="B63" i="39"/>
  <c r="F63" i="39" s="1"/>
  <c r="B65" i="39"/>
  <c r="F65" i="39" s="1"/>
  <c r="B61" i="39"/>
  <c r="F61" i="39" s="1"/>
  <c r="B66" i="39"/>
  <c r="F66" i="39" s="1"/>
  <c r="B62" i="39"/>
  <c r="F62" i="39" s="1"/>
  <c r="F68" i="39" l="1"/>
  <c r="B2" i="39" s="1"/>
  <c r="C36" i="12"/>
  <c r="B2" i="12" s="1"/>
  <c r="B4" i="39"/>
  <c r="B5" i="39"/>
  <c r="B3" i="39"/>
  <c r="C21" i="9"/>
  <c r="C19" i="9"/>
  <c r="C20" i="9"/>
  <c r="D19" i="9"/>
  <c r="L43" i="9" l="1"/>
  <c r="L44" i="9"/>
  <c r="G19" i="9"/>
  <c r="A27" i="9" s="1"/>
  <c r="D22" i="9"/>
  <c r="B5" i="12"/>
  <c r="B3" i="12"/>
  <c r="B4" i="12"/>
  <c r="D21" i="9"/>
  <c r="D20" i="9"/>
  <c r="G21" i="9" l="1"/>
  <c r="G20" i="9"/>
  <c r="C32" i="9"/>
  <c r="N43" i="9"/>
  <c r="G22" i="9"/>
  <c r="C42" i="9" l="1"/>
  <c r="C33" i="9"/>
  <c r="O43" i="9"/>
  <c r="O38" i="9"/>
  <c r="C35" i="9"/>
  <c r="F42" i="9" s="1"/>
  <c r="C34" i="9"/>
  <c r="E42" i="9" l="1"/>
  <c r="P5" i="54" s="1"/>
  <c r="B46" i="63" s="1"/>
  <c r="M38" i="9"/>
  <c r="K27" i="9" s="1"/>
  <c r="K25" i="9"/>
  <c r="K26" i="9"/>
  <c r="D42" i="9"/>
  <c r="Q5" i="54" s="1"/>
  <c r="B47" i="63" s="1"/>
  <c r="N38" i="9"/>
  <c r="K28" i="9" s="1"/>
  <c r="D14" i="66"/>
  <c r="N68" i="9"/>
  <c r="R5" i="54"/>
  <c r="B48" i="63" s="1"/>
  <c r="D63" i="9"/>
  <c r="D73" i="9" l="1"/>
  <c r="N73" i="9" s="1"/>
  <c r="C96" i="9"/>
  <c r="C91" i="9" s="1"/>
  <c r="C103" i="9"/>
  <c r="C90" i="9"/>
  <c r="C97" i="9" s="1"/>
  <c r="C111" i="9"/>
  <c r="C104" i="9" s="1"/>
  <c r="C82" i="9"/>
  <c r="C81" i="9" s="1"/>
  <c r="C85" i="9" s="1"/>
  <c r="C86" i="9" s="1"/>
  <c r="D72" i="9" s="1"/>
  <c r="D70" i="9"/>
  <c r="D71" i="9"/>
  <c r="D66" i="9" s="1"/>
  <c r="N72" i="9" s="1"/>
  <c r="B5" i="66"/>
  <c r="F14" i="66"/>
  <c r="E14" i="66"/>
  <c r="C98" i="9" l="1"/>
  <c r="E98" i="9" s="1"/>
  <c r="E99" i="9" s="1"/>
  <c r="C5" i="66"/>
  <c r="D5" i="66"/>
  <c r="C113" i="9"/>
  <c r="C99" i="9" l="1"/>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C6A5531B-6534-4B41-B511-64EFCC620A8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D1B0DDC-F81D-45B4-AE35-EAF0DCC35F0E}">
      <text>
        <r>
          <rPr>
            <sz val="11"/>
            <color indexed="81"/>
            <rFont val="宋体"/>
            <family val="3"/>
            <charset val="134"/>
          </rPr>
          <t xml:space="preserve">需注意，采用基准地价系数修正法中土地结果计算时，土地报酬率应采用该方法中报酬率（还原率）。
</t>
        </r>
      </text>
    </comment>
    <comment ref="L55" authorId="0" shapeId="0" xr:uid="{24E8414A-5706-4B65-AFD5-93EC394494F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C3F130A-C85D-4261-92FB-13D5170B72E5}">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ABA01F9-1DA7-4FF5-B66F-EFD0F6201D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D929D90-4BEF-4DEA-BCE9-C8ECA1786F47}">
      <text>
        <r>
          <rPr>
            <sz val="11"/>
            <color indexed="81"/>
            <rFont val="宋体"/>
            <family val="3"/>
            <charset val="134"/>
          </rPr>
          <t xml:space="preserve">需注意，采用基准地价系数修正法中土地结果计算时，土地报酬率应采用该方法中报酬率（还原率）。
</t>
        </r>
      </text>
    </comment>
    <comment ref="L55" authorId="0" shapeId="0" xr:uid="{D9167C89-B0D8-4A49-B8F2-EE02F6F841E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81391AA-406E-40D7-9C46-6D95B073D8F4}">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<sst xmlns="http://schemas.openxmlformats.org/spreadsheetml/2006/main" count="7690" uniqueCount="3048">
  <si>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</si>
  <si>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</si>
  <si>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</si>
  <si>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</si>
  <si>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</si>
  <si>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</si>
  <si>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</si>
  <si>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</si>
  <si>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</si>
  <si>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</si>
  <si>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</si>
  <si>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</si>
  <si>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</si>
  <si>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</si>
  <si>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</si>
  <si>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</si>
  <si>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</si>
  <si>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</si>
  <si>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</si>
  <si>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</si>
  <si>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</si>
  <si>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</si>
  <si>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</si>
  <si>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</si>
  <si>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</si>
  <si>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</si>
  <si>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</si>
  <si>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</si>
  <si>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</si>
  <si>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</si>
  <si>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</si>
  <si>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</si>
  <si>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</si>
  <si>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</si>
  <si>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</si>
  <si>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</si>
  <si>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</si>
  <si>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</si>
  <si>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</si>
  <si>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</si>
  <si>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</si>
  <si>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</si>
  <si>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</si>
  <si>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</si>
  <si>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</si>
  <si>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</si>
  <si>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</si>
  <si>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</si>
  <si>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</si>
  <si>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</si>
  <si>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</si>
  <si>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</si>
  <si>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</si>
  <si>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</si>
  <si>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</si>
  <si>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</si>
  <si>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</si>
  <si>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</si>
  <si>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</si>
  <si>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</si>
  <si>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</si>
  <si>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</si>
  <si>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</si>
  <si>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</si>
  <si>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</si>
  <si>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</si>
  <si>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</si>
  <si>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</si>
  <si>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</si>
  <si>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</si>
  <si>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</si>
  <si>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</si>
  <si>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</si>
  <si>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</si>
  <si>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</si>
  <si>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</si>
  <si>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</si>
  <si>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</si>
  <si>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</si>
  <si>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</si>
  <si>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</si>
  <si>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</si>
  <si>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</si>
  <si>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</si>
  <si>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</si>
  <si>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</si>
  <si>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</si>
  <si>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</si>
  <si>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</si>
  <si>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</si>
  <si>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</si>
  <si>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</si>
  <si>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</si>
  <si>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</si>
  <si>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</si>
  <si>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</si>
  <si>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</si>
  <si>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</si>
  <si>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</si>
  <si>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</si>
  <si>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</si>
  <si>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</si>
  <si>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</si>
  <si>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</si>
  <si>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</si>
  <si>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</si>
  <si>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</si>
  <si>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</si>
  <si>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</si>
  <si>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</si>
  <si>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</si>
  <si>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</si>
  <si>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</si>
  <si>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</si>
  <si>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</si>
  <si>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</si>
  <si>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</si>
  <si>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</si>
  <si>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</si>
  <si>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</si>
  <si>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</si>
  <si>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</si>
  <si>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</si>
  <si>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</si>
  <si>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</si>
  <si>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</si>
  <si>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</si>
  <si>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</si>
  <si>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</si>
  <si>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</si>
  <si>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</si>
  <si>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</si>
  <si>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</si>
  <si>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</si>
  <si>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</si>
  <si>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</si>
  <si>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</si>
  <si>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</si>
  <si>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</si>
  <si>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</si>
  <si>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</si>
  <si>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</si>
  <si>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</si>
  <si>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</si>
  <si>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</si>
  <si>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</si>
  <si>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</si>
  <si>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</si>
  <si>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</si>
  <si>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</si>
  <si>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</si>
  <si>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</si>
  <si>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</si>
  <si>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</si>
  <si>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</si>
  <si>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</si>
  <si>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</si>
  <si>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</si>
  <si>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</si>
  <si>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</si>
  <si>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</si>
  <si>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</si>
  <si>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</si>
  <si>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</si>
  <si>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</si>
  <si>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</si>
  <si>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</si>
  <si>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</si>
  <si>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</si>
  <si>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</si>
  <si>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</si>
  <si>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</si>
  <si>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</si>
  <si>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</si>
  <si>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</si>
  <si>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</si>
  <si>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</si>
  <si>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</si>
  <si>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</si>
  <si>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</si>
  <si>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</si>
  <si>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</si>
  <si>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</si>
  <si>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</si>
  <si>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</si>
  <si>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</si>
  <si>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</si>
  <si>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</si>
  <si>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</si>
  <si>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</si>
  <si>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</si>
  <si>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</si>
  <si>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</si>
  <si>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</si>
  <si>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</si>
  <si>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</si>
  <si>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</si>
  <si>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</si>
  <si>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</si>
  <si>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</si>
  <si>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</si>
  <si>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</si>
  <si>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</si>
  <si>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</si>
  <si>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</si>
  <si>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</si>
  <si>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</si>
  <si>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</si>
  <si>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</si>
  <si>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</si>
  <si>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</si>
  <si>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</si>
  <si>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</si>
  <si>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</si>
  <si>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</si>
  <si>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</si>
  <si>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</si>
  <si>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</si>
  <si>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</si>
  <si>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</si>
  <si>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</si>
  <si>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</si>
  <si>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</si>
  <si>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</si>
  <si>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</si>
  <si>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</si>
  <si>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</si>
  <si>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</si>
  <si>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</si>
  <si>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</si>
  <si>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</si>
  <si>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</si>
  <si>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</si>
  <si>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</si>
  <si>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</si>
  <si>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</si>
  <si>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</si>
  <si>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</si>
  <si>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</si>
  <si>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</si>
  <si>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</si>
  <si>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</si>
  <si>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</si>
  <si>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</si>
  <si>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</si>
  <si>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</si>
  <si>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</si>
  <si>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</si>
  <si>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</si>
  <si>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</si>
  <si>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</si>
  <si>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</si>
  <si>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</si>
  <si>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</si>
  <si>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</si>
  <si>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</si>
  <si>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</si>
  <si>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</si>
  <si>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</si>
  <si>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</si>
  <si>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</si>
  <si>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</si>
  <si>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</si>
  <si>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</si>
  <si>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</si>
  <si>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</si>
  <si>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</si>
  <si>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</si>
  <si>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</si>
  <si>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</si>
  <si>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</si>
  <si>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</si>
  <si>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</si>
  <si>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</si>
  <si>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</si>
  <si>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</si>
  <si>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</si>
  <si>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</si>
  <si>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</si>
  <si>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</si>
  <si>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</si>
  <si>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</si>
  <si>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</si>
  <si>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</si>
  <si>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</si>
  <si>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</si>
  <si>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</si>
  <si>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</si>
  <si>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</si>
  <si>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</si>
  <si>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</si>
  <si>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</si>
  <si>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</si>
  <si>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</si>
  <si>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</si>
  <si>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</si>
  <si>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</si>
  <si>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</si>
  <si>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</si>
  <si>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</si>
  <si>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</si>
  <si>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</si>
  <si>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</si>
  <si>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</si>
  <si>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</si>
  <si>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</si>
  <si>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</si>
  <si>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</si>
  <si>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</si>
  <si>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</si>
  <si>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</si>
  <si>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</si>
  <si>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</si>
  <si>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</si>
  <si>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</si>
  <si>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</si>
  <si>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</si>
  <si>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</si>
  <si>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</si>
  <si>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</si>
  <si>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</si>
  <si>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</si>
  <si>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</si>
  <si>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</si>
  <si>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</si>
  <si>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</si>
  <si>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</si>
  <si>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</si>
  <si>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</si>
  <si>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</si>
  <si>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</si>
  <si>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</si>
  <si>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</si>
  <si>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</si>
  <si>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</si>
  <si>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</si>
  <si>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</si>
  <si>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</si>
  <si>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</si>
  <si>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</si>
  <si>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</si>
  <si>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</si>
  <si>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</si>
  <si>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</si>
  <si>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</si>
  <si>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</si>
  <si>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</si>
  <si>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</si>
  <si>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</si>
  <si>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</si>
  <si>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</si>
  <si>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</si>
  <si>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</si>
  <si>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</si>
  <si>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</si>
  <si>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</si>
  <si>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</si>
  <si>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</si>
  <si>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</si>
  <si>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</si>
  <si>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</si>
  <si>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</si>
  <si>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</si>
  <si>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</si>
  <si>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</si>
  <si>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</si>
  <si>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</si>
  <si>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</si>
  <si>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</si>
  <si>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</si>
  <si>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</si>
  <si>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</si>
  <si>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</si>
  <si>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</si>
  <si>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</si>
  <si>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</si>
  <si>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</si>
  <si>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</si>
  <si>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</si>
  <si>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</si>
  <si>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</si>
  <si>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</si>
  <si>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</si>
  <si>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</si>
  <si>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</si>
  <si>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</si>
  <si>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</si>
  <si>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</si>
  <si>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</si>
  <si>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</si>
  <si>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</si>
  <si>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</si>
  <si>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</si>
  <si>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</si>
  <si>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</si>
  <si>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</si>
  <si>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</si>
  <si>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</si>
  <si>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</si>
  <si>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</si>
  <si>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</si>
  <si>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</si>
  <si>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</si>
  <si>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</si>
  <si>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</si>
  <si>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</si>
  <si>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</si>
  <si>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</si>
  <si>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</si>
  <si>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</si>
  <si>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</si>
  <si>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</si>
  <si>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</si>
  <si>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</si>
  <si>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</si>
  <si>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</si>
  <si>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</si>
  <si>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</si>
  <si>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</si>
  <si>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</si>
  <si>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</si>
  <si>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</si>
  <si>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</si>
  <si>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</si>
  <si>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</si>
  <si>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</si>
  <si>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</si>
  <si>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</si>
  <si>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</si>
  <si>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</si>
  <si>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</si>
  <si>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</si>
  <si>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</si>
  <si>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</si>
  <si>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</si>
  <si>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</si>
  <si>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</si>
  <si>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</si>
  <si>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</si>
  <si>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</si>
  <si>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</si>
  <si>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</si>
  <si>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</si>
  <si>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</si>
  <si>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</si>
  <si>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</si>
  <si>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</si>
  <si>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</si>
  <si>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</si>
  <si>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</si>
  <si>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</si>
  <si>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</si>
  <si>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</si>
  <si>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</si>
  <si>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</si>
  <si>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</si>
  <si>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</si>
  <si>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</si>
  <si>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</si>
  <si>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</si>
  <si>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</si>
  <si>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</si>
  <si>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</si>
  <si>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</si>
  <si>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</si>
  <si>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</si>
  <si>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</si>
  <si>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</si>
  <si>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</si>
  <si>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</si>
  <si>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</si>
  <si>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</si>
  <si>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</si>
  <si>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</si>
  <si>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</si>
  <si>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</si>
  <si>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</si>
  <si>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</si>
  <si>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</si>
  <si>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</si>
  <si>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</si>
  <si>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</si>
  <si>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</si>
  <si>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</si>
  <si>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</si>
  <si>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</si>
  <si>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</si>
  <si>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</si>
  <si>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</si>
  <si>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</si>
  <si>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</si>
  <si>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</si>
  <si>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</si>
  <si>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</si>
  <si>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</si>
  <si>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</si>
  <si>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</si>
  <si>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</si>
  <si>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</si>
  <si>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</si>
  <si>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</si>
  <si>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</si>
  <si>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</si>
  <si>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</si>
  <si>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</si>
  <si>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</si>
  <si>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</si>
  <si>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</si>
  <si>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</si>
  <si>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</si>
  <si>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</si>
  <si>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</si>
  <si>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</si>
  <si>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</si>
  <si>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</si>
  <si>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</si>
  <si>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</si>
  <si>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</si>
  <si>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</si>
  <si>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</si>
  <si>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</si>
  <si>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</si>
  <si>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</si>
  <si>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</si>
  <si>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</si>
  <si>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</si>
  <si>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</si>
  <si>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</si>
  <si>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</si>
  <si>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</si>
  <si>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</si>
  <si>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</si>
  <si>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</si>
  <si>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</si>
  <si>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</si>
  <si>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</si>
  <si>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</si>
  <si>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</si>
  <si>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</si>
  <si>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</si>
  <si>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</si>
  <si>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</si>
  <si>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</si>
  <si>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</si>
  <si>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</si>
  <si>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</si>
  <si>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</si>
  <si>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</si>
  <si>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</si>
  <si>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</si>
  <si>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</si>
  <si>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</si>
  <si>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</si>
  <si>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</si>
  <si>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</si>
  <si>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</si>
  <si>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</si>
  <si>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</si>
  <si>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</si>
  <si>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</si>
  <si>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</si>
  <si>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</si>
  <si>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</si>
  <si>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</si>
  <si>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</si>
  <si>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</si>
  <si>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</si>
  <si>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</si>
  <si>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</si>
  <si>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</si>
  <si>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</si>
  <si>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</si>
  <si>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</si>
  <si>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</si>
  <si>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</si>
  <si>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</si>
  <si>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</si>
  <si>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</si>
  <si>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</si>
  <si>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</si>
  <si>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</si>
  <si>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</si>
  <si>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</si>
  <si>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</si>
  <si>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</si>
  <si>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</si>
  <si>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</si>
  <si>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</si>
  <si>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</si>
  <si>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</si>
  <si>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</si>
  <si>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</si>
  <si>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</si>
  <si>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</si>
  <si>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</si>
  <si>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</si>
  <si>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</si>
  <si>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</si>
  <si>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</si>
  <si>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</si>
  <si>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</si>
  <si>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</si>
  <si>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</si>
  <si>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</si>
  <si>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</si>
  <si>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</si>
  <si>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</si>
  <si>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</si>
  <si>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</si>
  <si>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</si>
  <si>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</si>
  <si>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</si>
  <si>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</si>
  <si>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</si>
  <si>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</si>
  <si>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</si>
  <si>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</si>
  <si>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</si>
  <si>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</si>
  <si>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</si>
  <si>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</si>
  <si>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</si>
  <si>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</si>
  <si>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</si>
  <si>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</si>
  <si>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</si>
  <si>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</si>
  <si>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</si>
  <si>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</si>
  <si>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</si>
  <si>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</si>
  <si>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</si>
  <si>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</si>
  <si>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</si>
  <si>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</si>
  <si>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</si>
  <si>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</si>
  <si>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</si>
  <si>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</si>
  <si>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</si>
  <si>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</si>
  <si>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</si>
  <si>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</si>
  <si>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</si>
  <si>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</si>
  <si>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</si>
  <si>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</si>
  <si>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</si>
  <si>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</si>
  <si>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</si>
  <si>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</si>
  <si>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</si>
  <si>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</si>
  <si>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</si>
  <si>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</si>
  <si>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</si>
  <si>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</si>
  <si>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</si>
  <si>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</si>
  <si>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</si>
  <si>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</si>
  <si>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</si>
  <si>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</si>
  <si>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</si>
  <si>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</si>
  <si>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</si>
  <si>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</si>
  <si>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</si>
  <si>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</si>
  <si>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</si>
  <si>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</si>
  <si>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</si>
  <si>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</si>
  <si>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</si>
  <si>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</si>
  <si>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</si>
  <si>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</si>
  <si>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</si>
  <si>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</si>
  <si>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</si>
  <si>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</si>
  <si>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</si>
  <si>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</si>
  <si>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</si>
  <si>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</si>
  <si>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</si>
  <si>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</si>
  <si>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</si>
  <si>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</si>
  <si>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</si>
  <si>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</si>
  <si>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</si>
  <si>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</si>
  <si>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</si>
  <si>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</si>
  <si>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</si>
  <si>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</si>
  <si>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</si>
  <si>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</si>
  <si>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</si>
  <si>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</si>
  <si>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</si>
  <si>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</si>
  <si>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</si>
  <si>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</si>
  <si>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</si>
  <si>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</si>
  <si>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</si>
  <si>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</si>
  <si>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</si>
  <si>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</si>
  <si>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</si>
  <si>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</si>
  <si>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</si>
  <si>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</si>
  <si>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</si>
  <si>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</si>
  <si>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</si>
  <si>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</si>
  <si>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</si>
  <si>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</si>
  <si>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</si>
  <si>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</si>
  <si>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</si>
  <si>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</si>
  <si>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</si>
  <si>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</si>
  <si>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</si>
  <si>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</si>
  <si>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</si>
  <si>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</si>
  <si>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</si>
  <si>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</si>
  <si>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</si>
  <si>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</si>
  <si>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</si>
  <si>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</si>
  <si>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</si>
  <si>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</si>
  <si>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</si>
  <si>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</si>
  <si>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</si>
  <si>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</si>
  <si>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</si>
  <si>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</si>
  <si>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</si>
  <si>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</si>
  <si>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</si>
  <si>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</si>
  <si>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</si>
  <si>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</si>
  <si>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</si>
  <si>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</si>
  <si>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</si>
  <si>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</si>
  <si>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</si>
  <si>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</si>
  <si>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</si>
  <si>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</si>
  <si>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</si>
  <si>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</si>
  <si>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</si>
  <si>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</si>
  <si>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</si>
  <si>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</si>
  <si>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</si>
  <si>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</si>
  <si>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</si>
  <si>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</si>
  <si>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</si>
  <si>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</si>
  <si>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</si>
  <si>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</si>
  <si>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</si>
  <si>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</si>
  <si>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</si>
  <si>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</si>
  <si>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</si>
  <si>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</si>
  <si>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</si>
  <si>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</si>
  <si>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</si>
  <si>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</si>
  <si>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</si>
  <si>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</si>
  <si>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</si>
  <si>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</si>
  <si>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</si>
  <si>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</si>
  <si>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</si>
  <si>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</si>
  <si>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</si>
  <si>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</si>
  <si>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</si>
  <si>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</si>
  <si>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</si>
  <si>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</si>
  <si>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</si>
  <si>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</si>
  <si>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</si>
  <si>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</si>
  <si>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</si>
  <si>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</si>
  <si>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</si>
  <si>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</si>
  <si>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</si>
  <si>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</si>
  <si>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</si>
  <si>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</si>
  <si>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</si>
  <si>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</si>
  <si>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</si>
  <si>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</si>
  <si>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</si>
  <si>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</si>
  <si>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</si>
  <si>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</si>
  <si>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</si>
  <si>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</si>
  <si>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</si>
  <si>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</si>
  <si>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</si>
  <si>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</si>
  <si>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</si>
  <si>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</si>
  <si>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</si>
  <si>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</si>
  <si>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</si>
  <si>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</si>
  <si>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</si>
  <si>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</si>
  <si>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</si>
  <si>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</si>
  <si>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</si>
  <si>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</si>
  <si>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</si>
  <si>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</si>
  <si>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</si>
  <si>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</si>
  <si>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</si>
  <si>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</si>
  <si>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</si>
  <si>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</si>
  <si>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</si>
  <si>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</si>
  <si>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</si>
  <si>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</si>
  <si>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</si>
  <si>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</si>
  <si>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</si>
  <si>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</si>
  <si>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</si>
  <si>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</si>
  <si>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</si>
  <si>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</si>
  <si>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</si>
  <si>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</si>
  <si>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</si>
  <si>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</si>
  <si>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</si>
  <si>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</si>
  <si>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</si>
  <si>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</si>
  <si>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</si>
  <si>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</si>
  <si>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</si>
  <si>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</si>
  <si>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</si>
  <si>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</si>
  <si>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</si>
  <si>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</si>
  <si>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</si>
  <si>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</si>
  <si>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</si>
  <si>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</si>
  <si>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</si>
  <si>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</si>
  <si>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</si>
  <si>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</si>
  <si>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</si>
  <si>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</si>
  <si>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</si>
  <si>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</si>
  <si>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</si>
  <si>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</si>
  <si>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</si>
  <si>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</si>
  <si>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</si>
  <si>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</si>
  <si>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</si>
  <si>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</si>
  <si>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</si>
  <si>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</si>
  <si>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</si>
  <si>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</si>
  <si>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</si>
  <si>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</si>
  <si>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</si>
  <si>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</si>
  <si>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</si>
  <si>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</si>
  <si>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</si>
  <si>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</si>
  <si>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</si>
  <si>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</si>
  <si>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</si>
  <si>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</si>
  <si>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</si>
  <si>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</si>
  <si>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</si>
  <si>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</si>
  <si>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</si>
  <si>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</si>
  <si>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</si>
  <si>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</si>
  <si>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</si>
  <si>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</si>
  <si>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</si>
  <si>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</si>
  <si>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</si>
  <si>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</si>
  <si>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</si>
  <si>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</si>
  <si>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</si>
  <si>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</si>
  <si>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</si>
  <si>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</si>
  <si>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</si>
  <si>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</si>
  <si>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</si>
  <si>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</si>
  <si>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</si>
  <si>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</si>
  <si>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</si>
  <si>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</si>
  <si>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</si>
  <si>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</si>
  <si>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</si>
  <si>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</si>
  <si>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</si>
  <si>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</si>
  <si>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</si>
  <si>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</si>
  <si>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</si>
  <si>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</si>
  <si>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</si>
  <si>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</si>
  <si>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</si>
  <si>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</si>
  <si>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</si>
  <si>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</si>
  <si>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</si>
  <si>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</si>
  <si>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</si>
  <si>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</si>
  <si>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</si>
  <si>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</si>
  <si>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</si>
  <si>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</si>
  <si>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</si>
  <si>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</si>
  <si>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</si>
  <si>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</si>
  <si>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</si>
  <si>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</si>
  <si>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</si>
  <si>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</si>
  <si>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</si>
  <si>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</si>
  <si>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</si>
  <si>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</si>
  <si>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</si>
  <si>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</si>
  <si>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</si>
  <si>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</si>
  <si>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</si>
  <si>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</si>
  <si>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</si>
  <si>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</si>
  <si>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</si>
  <si>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</si>
  <si>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</si>
  <si>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</si>
  <si>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</si>
  <si>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</si>
  <si>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</si>
  <si>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</si>
  <si>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</si>
  <si>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</si>
  <si>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</si>
  <si>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</si>
  <si>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</si>
  <si>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</si>
  <si>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</si>
  <si>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</si>
  <si>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</si>
  <si>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</si>
  <si>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</si>
  <si>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</si>
  <si>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</si>
  <si>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</si>
  <si>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</si>
  <si>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</si>
  <si>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</si>
  <si>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</si>
  <si>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</si>
  <si>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</si>
  <si>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</si>
  <si>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</si>
  <si>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</si>
  <si>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</si>
  <si>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</si>
  <si>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</si>
  <si>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</si>
  <si>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</si>
  <si>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</si>
  <si>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</si>
  <si>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</si>
  <si>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</si>
  <si>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</si>
  <si>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</si>
  <si>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</si>
  <si>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</si>
  <si>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</si>
  <si>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</si>
  <si>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</si>
  <si>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</si>
  <si>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</si>
  <si>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</si>
  <si>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</si>
  <si>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</si>
  <si>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</si>
  <si>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</si>
  <si>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</si>
  <si>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</si>
  <si>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</si>
  <si>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</si>
  <si>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</si>
  <si>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</si>
  <si>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</si>
  <si>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</si>
  <si>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</si>
  <si>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</si>
  <si>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</si>
  <si>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</si>
  <si>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</si>
  <si>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</si>
  <si>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</si>
  <si>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</si>
  <si>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</si>
  <si>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</si>
  <si>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</si>
  <si>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</si>
  <si>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</si>
  <si>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</si>
  <si>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</si>
  <si>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</si>
  <si>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</si>
  <si>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</si>
  <si>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</si>
  <si>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</si>
  <si>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</si>
  <si>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</si>
  <si>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</si>
  <si>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</si>
  <si>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</si>
  <si>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</si>
  <si>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</si>
  <si>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</si>
  <si>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</si>
  <si>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</si>
  <si>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</si>
  <si>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</si>
  <si>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</si>
  <si>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</si>
  <si>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</si>
  <si>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</si>
  <si>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</si>
  <si>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</si>
  <si>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</si>
  <si>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</si>
  <si>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</si>
  <si>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</si>
  <si>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</si>
  <si>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</si>
  <si>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</si>
  <si>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</si>
  <si>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</si>
  <si>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</si>
  <si>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</si>
  <si>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</si>
  <si>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</si>
  <si>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</si>
  <si>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</si>
  <si>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</si>
  <si>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</si>
  <si>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</si>
  <si>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</si>
  <si>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</si>
  <si>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</si>
  <si>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</si>
  <si>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</si>
  <si>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</si>
  <si>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</si>
  <si>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</si>
  <si>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</si>
  <si>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</si>
  <si>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</si>
  <si>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</si>
  <si>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</si>
  <si>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</si>
  <si>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</si>
  <si>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</si>
  <si>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</si>
  <si>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</si>
  <si>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</si>
  <si>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</si>
  <si>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</si>
  <si>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</si>
  <si>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</si>
  <si>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</si>
  <si>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</si>
  <si>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</si>
  <si>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</si>
  <si>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</si>
  <si>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</si>
  <si>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</si>
  <si>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</si>
  <si>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</si>
  <si>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</si>
  <si>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</si>
  <si>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</si>
  <si>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</si>
  <si>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</si>
  <si>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</si>
  <si>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</si>
  <si>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</si>
  <si>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</si>
  <si>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</si>
  <si>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</si>
  <si>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</si>
  <si>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</si>
  <si>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</si>
  <si>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</si>
  <si>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</si>
  <si>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</si>
  <si>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</si>
  <si>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</si>
  <si>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</si>
  <si>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</si>
  <si>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</si>
  <si>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</si>
  <si>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</si>
  <si>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</si>
  <si>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</si>
  <si>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</si>
  <si>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</si>
  <si>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</si>
  <si>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</si>
  <si>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</si>
  <si>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</si>
  <si>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</si>
  <si>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</si>
  <si>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</si>
  <si>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</si>
  <si>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</si>
  <si>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</si>
  <si>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</si>
  <si>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</si>
  <si>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</si>
  <si>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</si>
  <si>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</si>
  <si>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</si>
  <si>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</si>
  <si>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</si>
  <si>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</si>
  <si>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</si>
  <si>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</si>
  <si>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</si>
  <si>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</si>
  <si>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</si>
  <si>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</si>
  <si>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</si>
  <si>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</si>
  <si>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</si>
  <si>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</si>
  <si>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</si>
  <si>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</si>
  <si>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</si>
  <si>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</si>
  <si>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</si>
  <si>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</si>
  <si>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</si>
  <si>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</si>
  <si>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</si>
  <si>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</si>
  <si>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</si>
  <si>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</si>
  <si>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</si>
  <si>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</si>
  <si>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</si>
  <si>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</si>
  <si>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</si>
  <si>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</si>
  <si>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</si>
  <si>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</si>
  <si>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</si>
  <si>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</si>
  <si>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</si>
  <si>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</si>
  <si>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</si>
  <si>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</si>
  <si>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</si>
  <si>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</si>
  <si>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</si>
  <si>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</si>
  <si>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</si>
  <si>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</si>
  <si>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</si>
  <si>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</si>
  <si>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</si>
  <si>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</si>
  <si>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</si>
  <si>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</si>
  <si>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</si>
  <si>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</si>
  <si>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</si>
  <si>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</si>
  <si>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</si>
  <si>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</si>
  <si>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</si>
  <si>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</si>
  <si>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</si>
  <si>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</si>
  <si>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</si>
  <si>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</si>
  <si>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</si>
  <si>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</si>
  <si>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</si>
  <si>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</si>
  <si>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</si>
  <si>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</si>
  <si>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</si>
  <si>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</si>
  <si>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</si>
  <si>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</si>
  <si>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</si>
  <si>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</si>
  <si>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</si>
  <si>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</si>
  <si>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</si>
  <si>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</si>
  <si>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</si>
  <si>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</si>
  <si>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</si>
  <si>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</si>
  <si>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</si>
  <si>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</si>
  <si>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</si>
  <si>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</si>
  <si>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</si>
  <si>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</si>
  <si>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</si>
  <si>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</si>
  <si>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</si>
  <si>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</si>
  <si>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</si>
  <si>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</si>
  <si>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</si>
  <si>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</si>
  <si>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</si>
  <si>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</si>
  <si>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</si>
  <si>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</si>
  <si>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</si>
  <si>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</si>
  <si>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</si>
  <si>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</si>
  <si>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</si>
  <si>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</si>
  <si>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</si>
  <si>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</si>
  <si>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</si>
  <si>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</si>
  <si>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</si>
  <si>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</si>
  <si>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</si>
  <si>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</si>
  <si>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</si>
  <si>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</si>
  <si>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</si>
  <si>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</si>
  <si>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</si>
  <si>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</si>
  <si>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</si>
  <si>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</si>
  <si>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</si>
  <si>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</si>
  <si>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</si>
  <si>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</si>
  <si>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</si>
  <si>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</si>
  <si>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</si>
  <si>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</si>
  <si>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</si>
  <si>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</si>
  <si>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</si>
  <si>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</si>
  <si>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</si>
  <si>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</si>
  <si>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</si>
  <si>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</si>
  <si>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</si>
  <si>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</si>
  <si>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</si>
  <si>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</si>
  <si>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</si>
  <si>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</si>
  <si>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</si>
  <si>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</si>
  <si>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</si>
  <si>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</si>
  <si>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</si>
  <si>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</si>
  <si>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</si>
  <si>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</si>
  <si>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</si>
  <si>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</si>
  <si>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</si>
  <si>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</si>
  <si>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</si>
  <si>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</si>
  <si>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</si>
  <si>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</si>
  <si>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</si>
  <si>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</si>
  <si>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</si>
  <si>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</si>
  <si>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</si>
  <si>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</si>
  <si>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</si>
  <si>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</si>
  <si>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</si>
  <si>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</si>
  <si>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</si>
  <si>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</si>
  <si>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</si>
  <si>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</si>
  <si>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</si>
  <si>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</si>
  <si>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</si>
  <si>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</si>
  <si>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</si>
  <si>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</si>
  <si>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</si>
  <si>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</si>
  <si>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</si>
  <si>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</si>
  <si>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</si>
  <si>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</si>
  <si>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</si>
  <si>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</si>
  <si>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</si>
  <si>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</si>
  <si>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</si>
  <si>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</si>
  <si>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</si>
  <si>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</si>
  <si>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</si>
  <si>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</si>
  <si>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</si>
  <si>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</si>
  <si>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</si>
  <si>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</si>
  <si>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</si>
  <si>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</si>
  <si>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</si>
  <si>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</si>
  <si>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</si>
  <si>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</si>
  <si>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</si>
  <si>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</si>
  <si>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</si>
  <si>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</si>
  <si>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</si>
  <si>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</si>
  <si>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</si>
  <si>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</si>
  <si>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</si>
  <si>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</si>
  <si>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</si>
  <si>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</si>
  <si>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</si>
  <si>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</si>
  <si>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</si>
  <si>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</si>
  <si>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</si>
  <si>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</si>
  <si>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</si>
  <si>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</si>
  <si>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</si>
  <si>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</si>
  <si>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</si>
  <si>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</si>
  <si>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</si>
  <si>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</si>
  <si>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</si>
  <si>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</si>
  <si>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</si>
  <si>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</si>
  <si>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</si>
  <si>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</si>
  <si>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</si>
  <si>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</si>
  <si>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</si>
  <si>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</si>
  <si>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</si>
  <si>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</si>
  <si>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</si>
  <si>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</si>
  <si>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</si>
  <si>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</si>
  <si>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</si>
  <si>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</si>
  <si>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</si>
  <si>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</si>
  <si>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</si>
  <si>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</si>
  <si>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</si>
  <si>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</si>
  <si>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</si>
  <si>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</si>
  <si>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</si>
  <si>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</si>
  <si>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</si>
  <si>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</si>
  <si>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</si>
  <si>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</si>
  <si>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</si>
  <si>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</si>
  <si>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</si>
  <si>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</si>
  <si>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</si>
  <si>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</si>
  <si>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</si>
  <si>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</si>
  <si>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</si>
  <si>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</si>
  <si>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</si>
  <si>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</si>
  <si>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</si>
  <si>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</si>
  <si>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</si>
  <si>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</si>
  <si>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</si>
  <si>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</si>
  <si>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</si>
  <si>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</si>
  <si>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</si>
  <si>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</si>
  <si>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</si>
  <si>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</si>
  <si>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</si>
  <si>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</si>
  <si>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</si>
  <si>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</si>
  <si>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</si>
  <si>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</si>
  <si>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</si>
  <si>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</si>
  <si>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</si>
  <si>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</si>
  <si>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</si>
  <si>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</si>
  <si>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</si>
  <si>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</si>
  <si>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</si>
  <si>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</si>
  <si>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</si>
  <si>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</si>
  <si>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</si>
  <si>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</si>
  <si>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</si>
  <si>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</si>
  <si>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</si>
  <si>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</si>
  <si>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</si>
  <si>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</si>
  <si>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</si>
  <si>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</si>
  <si>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</si>
  <si>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</si>
  <si>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</si>
  <si>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</si>
  <si>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</si>
  <si>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</si>
  <si>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</si>
  <si>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</si>
  <si>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</si>
  <si>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</si>
  <si>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</si>
  <si>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</si>
  <si>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</si>
  <si>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</si>
  <si>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</si>
  <si>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</si>
  <si>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</si>
  <si>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</si>
  <si>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</si>
  <si>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</si>
  <si>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</si>
  <si>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</si>
  <si>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</si>
  <si>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</si>
  <si>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</si>
  <si>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</si>
  <si>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</si>
  <si>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</si>
  <si>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</si>
  <si>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</si>
  <si>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</si>
  <si>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</si>
  <si>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</si>
  <si>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</si>
  <si>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</si>
  <si>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</si>
  <si>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</si>
  <si>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</si>
  <si>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</si>
  <si>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</si>
  <si>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</si>
  <si>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</si>
  <si>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</si>
  <si>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</si>
  <si>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</si>
  <si>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</si>
  <si>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</si>
  <si>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</si>
  <si>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</si>
  <si>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</si>
  <si>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</si>
  <si>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</si>
  <si>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</si>
  <si>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</si>
  <si>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</si>
  <si>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</si>
  <si>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</si>
  <si>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</si>
  <si>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</si>
  <si>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</si>
  <si>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</si>
  <si>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</si>
  <si>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</si>
  <si>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</si>
  <si>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</si>
  <si>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</si>
  <si>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</si>
  <si>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</si>
  <si>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</si>
  <si>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</si>
  <si>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</si>
  <si>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</si>
  <si>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</si>
  <si>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</si>
  <si>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</si>
  <si>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</si>
  <si>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</si>
  <si>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</si>
  <si>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</si>
  <si>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</si>
  <si>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</si>
  <si>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</si>
  <si>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</si>
  <si>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</si>
  <si>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</si>
  <si>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</si>
  <si>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</si>
  <si>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</si>
  <si>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</si>
  <si>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</si>
  <si>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</si>
  <si>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</si>
  <si>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</si>
  <si>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</si>
  <si>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</si>
  <si>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</si>
  <si>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</si>
  <si>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</si>
  <si>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</si>
  <si>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</si>
  <si>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</si>
  <si>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</si>
  <si>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</si>
  <si>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</si>
  <si>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</si>
  <si>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</si>
  <si>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</si>
  <si>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</si>
  <si>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</si>
  <si>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</si>
  <si>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</si>
  <si>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</si>
  <si>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</si>
  <si>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</si>
  <si>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</si>
  <si>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</si>
  <si>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</si>
  <si>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</si>
  <si>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</si>
  <si>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</si>
  <si>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</si>
  <si>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</si>
  <si>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</si>
  <si>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</si>
  <si>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</si>
  <si>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</si>
  <si>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</si>
  <si>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</si>
  <si>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</si>
  <si>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</si>
  <si>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</si>
  <si>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</si>
  <si>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</si>
  <si>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</si>
  <si>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</si>
  <si>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</si>
  <si>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</si>
  <si>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</si>
  <si>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</si>
  <si>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</si>
  <si>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</si>
  <si>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</si>
  <si>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</si>
  <si>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</si>
  <si>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</si>
  <si>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</si>
  <si>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</si>
  <si>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</si>
  <si>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</si>
  <si>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</si>
  <si>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</si>
  <si>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</si>
  <si>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</si>
  <si>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</si>
  <si>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</si>
  <si>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</si>
  <si>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</si>
  <si>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</si>
  <si>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</si>
  <si>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</si>
  <si>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</si>
  <si>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</si>
  <si>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</si>
  <si>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</si>
  <si>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</si>
  <si>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</si>
  <si>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</si>
  <si>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</si>
  <si>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</si>
  <si>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</si>
  <si>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</si>
  <si>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</si>
  <si>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</si>
  <si>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</si>
  <si>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</si>
  <si>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</si>
  <si>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</si>
  <si>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</si>
  <si>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</si>
  <si>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</si>
  <si>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</si>
  <si>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</si>
  <si>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</si>
  <si>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</si>
  <si>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</si>
  <si>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</si>
  <si>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</si>
  <si>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</si>
  <si>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</si>
  <si>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</si>
  <si>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</si>
  <si>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</si>
  <si>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</si>
  <si>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</si>
  <si>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</si>
  <si>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</si>
  <si>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</si>
  <si>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</si>
  <si>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</si>
  <si>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</si>
  <si>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</si>
  <si>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</si>
  <si>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</si>
  <si>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</si>
  <si>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</si>
  <si>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</si>
  <si>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</si>
  <si>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</si>
  <si>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</si>
  <si>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</si>
  <si>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</si>
  <si>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</si>
  <si>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</si>
  <si>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</si>
  <si>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</si>
  <si>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</si>
  <si>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</si>
  <si>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</si>
  <si>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</si>
  <si>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</si>
  <si>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</si>
  <si>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</si>
  <si>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</si>
  <si>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</si>
  <si>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</si>
  <si>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</si>
  <si>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</si>
  <si>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</si>
  <si>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</si>
  <si>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</si>
  <si>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</si>
  <si>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</si>
  <si>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</si>
  <si>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</si>
  <si>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</si>
  <si>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</si>
  <si>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</si>
  <si>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</si>
  <si>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</si>
  <si>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</si>
  <si>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</si>
  <si>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</si>
  <si>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</si>
  <si>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</si>
  <si>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</si>
  <si>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</si>
  <si>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</si>
  <si>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</si>
  <si>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</si>
  <si>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</si>
  <si>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</si>
  <si>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</si>
  <si>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</si>
  <si>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</si>
  <si>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</si>
  <si>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</si>
  <si>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</si>
  <si>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</si>
  <si>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</si>
  <si>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</si>
  <si>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</si>
  <si>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</si>
  <si>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</si>
  <si>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</si>
  <si>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</si>
  <si>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</si>
  <si>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</si>
  <si>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</si>
  <si>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</si>
  <si>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</si>
  <si>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</si>
  <si>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</si>
  <si>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</si>
  <si>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</si>
  <si>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</si>
  <si>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</si>
  <si>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</si>
  <si>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</si>
  <si>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</si>
  <si>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</si>
  <si>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</si>
  <si>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</si>
  <si>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</si>
  <si>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</si>
  <si>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</si>
  <si>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</si>
  <si>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</si>
  <si>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</si>
  <si>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</si>
  <si>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</si>
  <si>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</si>
  <si>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</si>
  <si>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</si>
  <si>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</si>
  <si>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</si>
  <si>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</si>
  <si>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</si>
  <si>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</si>
  <si>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</si>
  <si>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</si>
  <si>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</si>
  <si>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</si>
  <si>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</si>
  <si>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</si>
  <si>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</si>
  <si>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</si>
  <si>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</si>
  <si>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</si>
  <si>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</si>
  <si>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</si>
  <si>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</si>
  <si>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</si>
  <si>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</si>
  <si>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</si>
  <si>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</si>
  <si>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</si>
  <si>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</si>
  <si>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</si>
  <si>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</si>
  <si>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</si>
  <si>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</si>
  <si>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</si>
  <si>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</si>
  <si>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</si>
  <si>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</si>
  <si>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</si>
  <si>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</si>
  <si>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</si>
  <si>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</si>
  <si>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</si>
  <si>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</si>
  <si>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</si>
  <si>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</si>
  <si>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</si>
  <si>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</si>
  <si>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</si>
  <si>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</si>
  <si>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</si>
  <si>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</si>
  <si>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</si>
  <si>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</si>
  <si>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</si>
  <si>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</si>
  <si>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</si>
  <si>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</si>
  <si>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</si>
  <si>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</si>
  <si>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</si>
  <si>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</si>
  <si>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</si>
  <si>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</si>
  <si>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</si>
  <si>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</si>
  <si>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</si>
  <si>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</si>
  <si>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</si>
  <si>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</si>
  <si>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</si>
  <si>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</si>
  <si>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</si>
  <si>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</si>
  <si>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</si>
  <si>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</si>
  <si>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</si>
  <si>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</si>
  <si>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</si>
  <si>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</si>
  <si>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</si>
  <si>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</si>
  <si>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</si>
  <si>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</si>
  <si>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</si>
  <si>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</si>
  <si>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</si>
  <si>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</si>
  <si>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</si>
  <si>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</si>
  <si>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</si>
  <si>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</si>
  <si>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</si>
  <si>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</si>
  <si>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</si>
  <si>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</si>
  <si>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</si>
  <si>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</si>
  <si>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</si>
  <si>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</si>
  <si>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</si>
  <si>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</si>
  <si>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</si>
  <si>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</si>
  <si>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</si>
  <si>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</si>
  <si>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</si>
  <si>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</si>
  <si>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</si>
  <si>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</si>
  <si>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</si>
  <si>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</si>
  <si>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</si>
  <si>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</si>
  <si>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</si>
  <si>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</si>
  <si>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</si>
  <si>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</si>
  <si>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</si>
  <si>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</si>
  <si>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</si>
  <si>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</si>
  <si>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</si>
  <si>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</si>
  <si>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</si>
  <si>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</si>
  <si>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</si>
  <si>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</si>
  <si>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</si>
  <si>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</si>
  <si>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</si>
  <si>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</si>
  <si>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</si>
  <si>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</si>
  <si>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</si>
  <si>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</si>
  <si>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</si>
  <si>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</si>
  <si>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</si>
  <si>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</si>
  <si>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</si>
  <si>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</si>
  <si>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</si>
  <si>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</si>
  <si>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</si>
  <si>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</si>
  <si>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</si>
  <si>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</si>
  <si>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</si>
  <si>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</si>
  <si>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</si>
  <si>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</si>
  <si>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</si>
  <si>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</si>
  <si>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</si>
  <si>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</si>
  <si>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</si>
  <si>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</si>
  <si>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</si>
  <si>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</si>
  <si>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</si>
  <si>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</si>
  <si>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</si>
  <si>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</si>
  <si>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</si>
  <si>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</si>
  <si>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</si>
  <si>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</si>
  <si>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</si>
  <si>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</si>
  <si>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</si>
  <si>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</si>
  <si>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</si>
  <si>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</si>
  <si>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</si>
  <si>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</si>
  <si>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</si>
  <si>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</si>
  <si>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</si>
  <si>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</si>
  <si>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</si>
  <si>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</si>
  <si>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</si>
  <si>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</si>
  <si>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</si>
  <si>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</si>
  <si>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</si>
  <si>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</si>
  <si>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</si>
  <si>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</si>
  <si>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</si>
  <si>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</si>
  <si>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</si>
  <si>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</si>
  <si>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</si>
  <si>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</si>
  <si>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</si>
  <si>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</si>
  <si>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</si>
  <si>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</si>
  <si>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</si>
  <si>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</si>
  <si>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</si>
  <si>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</si>
  <si>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</si>
  <si>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</si>
  <si>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</si>
  <si>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</si>
  <si>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</si>
  <si>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</si>
  <si>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</si>
  <si>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</si>
  <si>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</si>
  <si>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</si>
  <si>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</si>
  <si>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</si>
  <si>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</si>
  <si>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</si>
  <si>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</si>
  <si>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</si>
  <si>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</si>
  <si>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</si>
  <si>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</si>
  <si>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</si>
  <si>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</si>
  <si>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</si>
  <si>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</si>
  <si>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</si>
  <si>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</si>
  <si>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</si>
  <si>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</si>
  <si>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</si>
  <si>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</si>
  <si>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</si>
  <si>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</si>
  <si>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</si>
  <si>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</si>
  <si>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</si>
  <si>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</si>
  <si>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</si>
  <si>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</si>
  <si>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</si>
  <si>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</si>
  <si>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</si>
  <si>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</si>
  <si>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</si>
  <si>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</si>
  <si>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</si>
  <si>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</si>
  <si>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</si>
  <si>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</si>
  <si>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</si>
  <si>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</si>
  <si>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</si>
  <si>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</si>
  <si>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</si>
  <si>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</si>
  <si>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</si>
  <si>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</si>
  <si>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</si>
  <si>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</si>
  <si>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</si>
  <si>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</si>
  <si>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</si>
  <si>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</si>
  <si>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</si>
  <si>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</si>
  <si>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</si>
  <si>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</si>
  <si>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</si>
  <si>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</si>
  <si>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</si>
  <si>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</si>
  <si>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</si>
  <si>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</si>
  <si>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</si>
  <si>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</si>
  <si>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</si>
  <si>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</si>
  <si>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</si>
  <si>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</si>
  <si>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</si>
  <si>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</si>
  <si>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</si>
  <si>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</si>
  <si>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</si>
  <si>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</si>
  <si>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</si>
  <si>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</si>
  <si>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</si>
  <si>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</si>
  <si>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</si>
  <si>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</si>
  <si>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</si>
  <si>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</si>
  <si>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</si>
  <si>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</si>
  <si>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</si>
  <si>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</si>
  <si>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</si>
  <si>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</si>
  <si>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</si>
  <si>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</si>
  <si>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</si>
  <si>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</si>
  <si>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</si>
  <si>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</si>
  <si>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</si>
  <si>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</si>
  <si>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</si>
  <si>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</si>
  <si>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</si>
  <si>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</si>
  <si>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</si>
  <si>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</si>
  <si>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</si>
  <si>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</si>
  <si>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</si>
  <si>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</si>
  <si>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</si>
  <si>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</si>
  <si>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</si>
  <si>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</si>
  <si>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</si>
  <si>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</si>
  <si>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</si>
  <si>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</si>
  <si>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</si>
  <si>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</si>
  <si>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</si>
  <si>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</si>
  <si>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</si>
  <si>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</si>
  <si>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</si>
  <si>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</si>
  <si>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</si>
  <si>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</si>
  <si>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</si>
  <si>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</si>
  <si>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</si>
  <si>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</si>
  <si>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</si>
  <si>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</si>
  <si>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</si>
  <si>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</si>
  <si>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</si>
  <si>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</si>
  <si>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</si>
  <si>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</si>
  <si>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</si>
  <si>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</si>
  <si>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</si>
  <si>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</si>
  <si>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</si>
  <si>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</si>
  <si>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</si>
  <si>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</si>
  <si>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</si>
  <si>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</si>
  <si>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</si>
  <si>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</si>
  <si>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</si>
  <si>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</si>
  <si>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</si>
  <si>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</si>
  <si>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</si>
  <si>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</si>
  <si>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</si>
  <si>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</si>
  <si>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</si>
  <si>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</si>
  <si>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</si>
  <si>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</si>
  <si>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</si>
  <si>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</si>
  <si>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</si>
  <si>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</si>
  <si>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</si>
  <si>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</si>
  <si>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</si>
  <si>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</si>
  <si>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</si>
  <si>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</si>
  <si>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</si>
  <si>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</si>
  <si>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</si>
  <si>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</si>
  <si>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</si>
  <si>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</si>
  <si>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</si>
  <si>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</si>
  <si>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</si>
  <si>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</si>
  <si>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</si>
  <si>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</si>
  <si>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</si>
  <si>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</si>
  <si>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</si>
  <si>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</si>
  <si>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</si>
  <si>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</si>
  <si>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</si>
  <si>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</si>
  <si>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</si>
  <si>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</si>
  <si>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</si>
  <si>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</si>
  <si>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</si>
  <si>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</si>
  <si>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</si>
  <si>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</si>
  <si>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</si>
  <si>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</si>
  <si>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</si>
  <si>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</si>
  <si>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</si>
  <si>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</si>
  <si>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</si>
  <si>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</si>
  <si>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</si>
  <si>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</si>
  <si>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</si>
  <si>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</si>
  <si>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</si>
  <si>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</si>
  <si>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</si>
  <si>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</si>
  <si>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</si>
  <si>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</si>
  <si>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</si>
  <si>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</si>
  <si>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</si>
  <si>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</si>
  <si>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</si>
  <si>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</si>
  <si>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</si>
  <si>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</si>
  <si>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</si>
  <si>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</si>
  <si>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</si>
  <si>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</si>
  <si>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</si>
  <si>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</si>
  <si>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</si>
  <si>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</si>
  <si>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</si>
  <si>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</si>
  <si>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</si>
  <si>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</si>
  <si>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</si>
  <si>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</si>
  <si>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</si>
  <si>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</si>
  <si>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</si>
  <si>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</si>
  <si>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</si>
  <si>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</si>
  <si>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</si>
  <si>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</si>
  <si>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</si>
  <si>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</si>
  <si>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</si>
  <si>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</si>
  <si>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</si>
  <si>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</si>
  <si>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</si>
  <si>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</si>
  <si>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</si>
  <si>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</si>
  <si>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</si>
  <si>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</si>
  <si>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</si>
  <si>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</si>
  <si>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</si>
  <si>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</si>
  <si>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</si>
  <si>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</si>
  <si>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</si>
  <si>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</si>
  <si>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</si>
  <si>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</si>
  <si>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</si>
  <si>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</si>
  <si>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</si>
  <si>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</si>
  <si>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</si>
  <si>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</si>
  <si>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</si>
  <si>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</si>
  <si>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</si>
  <si>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</si>
  <si>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</si>
  <si>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</si>
  <si>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</si>
  <si>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</si>
  <si>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</si>
  <si>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</si>
  <si>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</si>
  <si>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</si>
  <si>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</si>
  <si>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</si>
  <si>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</si>
  <si>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</si>
  <si>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</si>
  <si>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</si>
  <si>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</si>
  <si>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</si>
  <si>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</si>
  <si>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</si>
  <si>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</si>
  <si>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</si>
  <si>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</si>
  <si>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</si>
  <si>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</si>
  <si>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</si>
  <si>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</si>
  <si>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</si>
  <si>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</si>
  <si>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</si>
  <si>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</si>
  <si>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</si>
  <si>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</si>
  <si>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</si>
  <si>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</si>
  <si>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</si>
  <si>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</si>
  <si>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</si>
  <si>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</si>
  <si>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</si>
  <si>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</si>
  <si>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</si>
  <si>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</si>
  <si>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</si>
  <si>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</si>
  <si>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</si>
  <si>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</si>
  <si>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</si>
  <si>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</si>
  <si>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</si>
  <si>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</si>
  <si>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</si>
  <si>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</si>
  <si>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</si>
  <si>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</si>
  <si>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</si>
  <si>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</si>
  <si>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</si>
  <si>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</si>
  <si>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</si>
  <si>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</si>
  <si>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</si>
  <si>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</si>
  <si>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</si>
  <si>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</si>
  <si>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</si>
  <si>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</si>
  <si>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</si>
  <si>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</si>
  <si>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</si>
  <si>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</si>
  <si>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</si>
  <si>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</si>
  <si>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</si>
  <si>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</si>
  <si>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</si>
  <si>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</si>
  <si>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</si>
  <si>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</si>
  <si>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</si>
  <si>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</si>
  <si>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</si>
  <si>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</si>
  <si>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</si>
  <si>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</si>
  <si>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</si>
  <si>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</si>
  <si>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</si>
  <si>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</si>
  <si>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</si>
  <si>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</si>
  <si>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</si>
  <si>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</si>
  <si>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</si>
  <si>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</si>
  <si>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</si>
  <si>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</si>
  <si>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</si>
  <si>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</si>
  <si>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</si>
  <si>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</si>
  <si>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</si>
  <si>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</si>
  <si>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</si>
  <si>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</si>
  <si>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</si>
  <si>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</si>
  <si>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</si>
  <si>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</si>
  <si>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</si>
  <si>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</si>
  <si>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</si>
  <si>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</si>
  <si>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</si>
  <si>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</si>
  <si>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</si>
  <si>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</si>
  <si>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</si>
  <si>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</si>
  <si>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</si>
  <si>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</si>
  <si>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</si>
  <si>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</si>
  <si>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</si>
  <si>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</si>
  <si>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</si>
  <si>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</si>
  <si>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</si>
  <si>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</si>
  <si>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</si>
  <si>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</si>
  <si>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</si>
  <si>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</si>
  <si>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</si>
  <si>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</si>
  <si>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</si>
  <si>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</si>
  <si>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</si>
  <si>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</si>
  <si>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</si>
  <si>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</si>
  <si>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</si>
  <si>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</si>
  <si>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</si>
  <si>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</si>
  <si>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</si>
  <si>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</si>
  <si>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</si>
  <si>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</si>
  <si>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</si>
  <si>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</si>
  <si>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</si>
  <si>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</si>
  <si>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</si>
  <si>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</si>
  <si>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</si>
  <si>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</si>
  <si>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</si>
  <si>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</si>
  <si>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</si>
  <si>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</si>
  <si>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</si>
  <si>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</si>
  <si>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</si>
  <si>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</si>
  <si>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</si>
  <si>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</si>
  <si>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</si>
  <si>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</si>
  <si>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</si>
  <si>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</si>
  <si>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</si>
  <si>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</si>
  <si>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</si>
  <si>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</si>
  <si>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</si>
  <si>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</si>
  <si>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</si>
  <si>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</si>
  <si>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</si>
  <si>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</si>
  <si>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</si>
  <si>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</si>
  <si>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</si>
  <si>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</si>
  <si>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</si>
  <si>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</si>
  <si>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</si>
  <si>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</si>
  <si>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</si>
  <si>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</si>
  <si>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</si>
  <si>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</si>
  <si>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</si>
  <si>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</si>
  <si>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</si>
  <si>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</si>
  <si>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</si>
  <si>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</si>
  <si>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</si>
  <si>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</si>
  <si>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</si>
  <si>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</si>
  <si>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</si>
  <si>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</si>
  <si>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</si>
  <si>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</si>
  <si>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</si>
  <si>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</si>
  <si>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</si>
  <si>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</si>
  <si>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</si>
  <si>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</si>
  <si>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</si>
  <si>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</si>
  <si>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</si>
  <si>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</si>
  <si>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</si>
  <si>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</si>
  <si>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</si>
  <si>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</si>
  <si>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</si>
  <si>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</si>
  <si>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</si>
  <si>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</si>
  <si>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</si>
  <si>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</si>
  <si>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</si>
  <si>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</si>
  <si>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</si>
  <si>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</si>
  <si>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</si>
  <si>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</si>
  <si>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</si>
  <si>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</si>
  <si>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</si>
  <si>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</si>
  <si>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</si>
  <si>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</si>
  <si>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</si>
  <si>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</si>
  <si>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</si>
  <si>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</si>
  <si>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</si>
  <si>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</si>
  <si>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</si>
  <si>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</si>
  <si>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</si>
  <si>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</si>
  <si>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</si>
  <si>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</si>
  <si>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</si>
  <si>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</si>
  <si>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</si>
  <si>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</si>
  <si>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</si>
  <si>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</si>
  <si>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</si>
  <si>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</si>
  <si>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</si>
  <si>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</si>
  <si>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</si>
  <si>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</si>
  <si>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</si>
  <si>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</si>
  <si>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</si>
  <si>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</si>
  <si>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</si>
  <si>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</si>
  <si>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</si>
  <si>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</si>
  <si>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</si>
  <si>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</si>
  <si>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</si>
  <si>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</si>
  <si>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</si>
  <si>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</si>
  <si>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</si>
  <si>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</si>
  <si>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</si>
  <si>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</si>
  <si>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</si>
  <si>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</si>
  <si>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</si>
  <si>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</si>
  <si>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</si>
  <si>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</si>
  <si>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</si>
  <si>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</si>
  <si>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</si>
  <si>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</si>
  <si>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</si>
  <si>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</si>
  <si>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</si>
  <si>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</si>
  <si>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</si>
  <si>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</si>
  <si>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</si>
  <si>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</si>
  <si>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</si>
  <si>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</si>
  <si>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</si>
  <si>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</si>
  <si>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</si>
  <si>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</si>
  <si>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</si>
  <si>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</si>
  <si>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</si>
  <si>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</si>
  <si>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</si>
  <si>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</si>
  <si>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</si>
  <si>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</si>
  <si>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</si>
  <si>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</si>
  <si>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</si>
  <si>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</si>
  <si>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</si>
  <si>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</si>
  <si>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</si>
  <si>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</si>
  <si>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</si>
  <si>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</si>
  <si>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</si>
  <si>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</si>
  <si>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</si>
  <si>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</si>
  <si>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</si>
  <si>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</si>
  <si>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</si>
  <si>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</si>
  <si>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</si>
  <si>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</si>
  <si>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</si>
  <si>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</si>
  <si>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</si>
  <si>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</si>
  <si>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</si>
  <si>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</si>
  <si>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</si>
  <si>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</si>
  <si>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</si>
  <si>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</si>
  <si>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</si>
  <si>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</si>
  <si>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</si>
  <si>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</si>
  <si>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</si>
  <si>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</si>
  <si>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</si>
  <si>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</si>
  <si>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</si>
  <si>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</si>
  <si>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</si>
  <si>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</si>
  <si>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</si>
  <si>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</si>
  <si>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</si>
  <si>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</si>
  <si>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</si>
  <si>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</si>
  <si>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</si>
  <si>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</si>
  <si>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</si>
  <si>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</si>
  <si>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</si>
  <si>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</si>
  <si>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</si>
  <si>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</si>
  <si>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</si>
  <si>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</si>
  <si>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</si>
  <si>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</si>
  <si>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</si>
  <si>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</si>
  <si>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</si>
  <si>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</si>
  <si>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</si>
  <si>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</si>
  <si>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</si>
  <si>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</si>
  <si>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</si>
  <si>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</si>
  <si>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</si>
  <si>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</si>
  <si>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</si>
  <si>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</si>
  <si>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</si>
  <si>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</si>
  <si>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</si>
  <si>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</si>
  <si>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</si>
  <si>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</si>
  <si>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</si>
  <si>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</si>
  <si>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</si>
  <si>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</si>
  <si>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</si>
  <si>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</si>
  <si>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</si>
  <si>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</si>
  <si>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</si>
  <si>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</si>
  <si>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</si>
  <si>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</si>
  <si>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</si>
  <si>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</si>
  <si>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</si>
  <si>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</si>
  <si>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</si>
  <si>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</si>
  <si>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</si>
  <si>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</si>
  <si>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</si>
  <si>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</si>
  <si>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</si>
  <si>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</si>
  <si>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</si>
  <si>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</si>
  <si>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</si>
  <si>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</si>
  <si>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</si>
  <si>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</si>
  <si>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</si>
  <si>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</si>
  <si>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</si>
  <si>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</si>
  <si>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</si>
  <si>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</si>
  <si>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</si>
  <si>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</si>
  <si>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</si>
  <si>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</si>
  <si>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</si>
  <si>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</si>
  <si>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</si>
  <si>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</si>
  <si>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</si>
  <si>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</si>
  <si>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</si>
  <si>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</si>
  <si>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</si>
  <si>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</si>
  <si>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</si>
  <si>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</si>
  <si>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</si>
  <si>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</si>
  <si>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</si>
  <si>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</si>
  <si>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</si>
  <si>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</si>
  <si>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</si>
  <si>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</si>
  <si>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</si>
  <si>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</si>
  <si>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</si>
  <si>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</si>
  <si>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</si>
  <si>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</si>
  <si>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</si>
  <si>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</si>
  <si>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</si>
  <si>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</si>
  <si>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</si>
  <si>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</si>
  <si>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</si>
  <si>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</si>
  <si>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</si>
  <si>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</si>
  <si>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</si>
  <si>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</si>
  <si>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</si>
  <si>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</si>
  <si>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</si>
  <si>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</si>
  <si>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</si>
  <si>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</si>
  <si>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</si>
  <si>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</si>
  <si>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</si>
  <si>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</si>
  <si>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</si>
  <si>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</si>
  <si>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</si>
  <si>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</si>
  <si>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</si>
  <si>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</si>
  <si>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</si>
  <si>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</si>
  <si>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</si>
  <si>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</si>
  <si>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</si>
  <si>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</si>
  <si>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</si>
  <si>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</si>
  <si>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</si>
  <si>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</si>
  <si>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</si>
  <si>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</si>
  <si>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</si>
  <si>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</si>
  <si>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</si>
  <si>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</si>
  <si>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</si>
  <si>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</si>
  <si>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</si>
  <si>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</si>
  <si>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</si>
  <si>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</si>
  <si>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</si>
  <si>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</si>
  <si>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</si>
  <si>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</si>
  <si>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</si>
  <si>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</si>
  <si>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</si>
  <si>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</si>
  <si>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</si>
  <si>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</si>
  <si>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</si>
  <si>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</si>
  <si>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</si>
  <si>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</si>
  <si>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</si>
  <si>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</si>
  <si>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</si>
  <si>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</si>
  <si>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</si>
  <si>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</si>
  <si>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</si>
  <si>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</si>
  <si>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</si>
  <si>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</si>
  <si>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</si>
  <si>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</si>
  <si>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</si>
  <si>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</si>
  <si>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</si>
  <si>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</si>
  <si>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</si>
  <si>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</si>
  <si>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</si>
  <si>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</si>
  <si>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</si>
  <si>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</si>
  <si>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</si>
  <si>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</si>
  <si>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</si>
  <si>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</si>
  <si>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</si>
  <si>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</si>
  <si>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</si>
  <si>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</si>
  <si>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</si>
  <si>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</si>
  <si>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</si>
  <si>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</si>
  <si>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</si>
  <si>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</si>
  <si>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</si>
  <si>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</si>
  <si>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</si>
  <si>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</si>
  <si>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</si>
  <si>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</si>
  <si>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</si>
  <si>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</si>
  <si>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</si>
  <si>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</si>
  <si>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</si>
  <si>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</si>
  <si>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</si>
  <si>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</si>
  <si>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</si>
  <si>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</si>
  <si>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</si>
  <si>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</si>
  <si>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</si>
  <si>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</si>
  <si>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</si>
  <si>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</si>
  <si>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</si>
  <si>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</si>
  <si>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</si>
  <si>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</si>
  <si>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</si>
  <si>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</si>
  <si>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</si>
  <si>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</si>
  <si>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</si>
  <si>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</si>
  <si>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</si>
  <si>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</si>
  <si>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</si>
  <si>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</si>
  <si>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</si>
  <si>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</si>
  <si>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</si>
  <si>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</si>
  <si>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</si>
  <si>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</si>
  <si>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</si>
  <si>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</si>
  <si>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</si>
  <si>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</si>
  <si>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</si>
  <si>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</si>
  <si>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</si>
  <si>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</si>
  <si>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</si>
  <si>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</si>
  <si>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</si>
  <si>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</si>
  <si>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</si>
  <si>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</si>
  <si>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</si>
  <si>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</si>
  <si>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</si>
  <si>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</si>
  <si>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</si>
  <si>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</si>
  <si>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</si>
  <si>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</si>
  <si>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</si>
  <si>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</si>
  <si>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</si>
  <si>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</si>
  <si>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</si>
  <si>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</si>
  <si>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</si>
  <si>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</si>
  <si>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</si>
  <si>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</si>
  <si>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</si>
  <si>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</si>
  <si>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</si>
  <si>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</si>
  <si>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</si>
  <si>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</si>
  <si>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</si>
  <si>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</si>
  <si>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</si>
  <si>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</si>
  <si>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</si>
  <si>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</si>
  <si>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</si>
  <si>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</si>
  <si>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</si>
  <si>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</si>
  <si>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</si>
  <si>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</si>
  <si>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</si>
  <si>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</si>
  <si>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</si>
  <si>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</si>
  <si>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</si>
  <si>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</si>
  <si>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</si>
  <si>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</si>
  <si>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</si>
  <si>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</si>
  <si>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</si>
  <si>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</si>
  <si>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</si>
  <si>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</si>
  <si>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</si>
  <si>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</si>
  <si>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</si>
  <si>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</si>
  <si>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</si>
  <si>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</si>
  <si>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</si>
  <si>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</si>
  <si>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</si>
  <si>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</si>
  <si>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</si>
  <si>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</si>
  <si>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</si>
  <si>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</si>
  <si>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</si>
  <si>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</si>
  <si>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</si>
  <si>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</si>
  <si>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</si>
  <si>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</si>
  <si>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</si>
  <si>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</si>
  <si>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</si>
  <si>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</si>
  <si>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</si>
  <si>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</si>
  <si>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</si>
  <si>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</si>
  <si>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</si>
  <si>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</si>
  <si>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</si>
  <si>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</si>
  <si>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</si>
  <si>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</si>
  <si>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</si>
  <si>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</si>
  <si>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</si>
  <si>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</si>
  <si>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</si>
  <si>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</si>
  <si>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</si>
  <si>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</si>
  <si>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</si>
  <si>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</si>
  <si>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</si>
  <si>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</si>
  <si>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</si>
  <si>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</si>
  <si>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</si>
  <si>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</si>
  <si>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</si>
  <si>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</si>
  <si>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</si>
  <si>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</si>
  <si>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</si>
  <si>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</si>
  <si>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</si>
  <si>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</si>
  <si>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</si>
  <si>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</si>
  <si>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</si>
  <si>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</si>
  <si>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</si>
  <si>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</si>
  <si>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</si>
  <si>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</si>
  <si>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</si>
  <si>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</si>
  <si>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</si>
  <si>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</si>
  <si>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</si>
  <si>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</si>
  <si>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</si>
  <si>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</si>
  <si>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企业</t>
  </si>
  <si>
    <t>商业</t>
  </si>
  <si>
    <t>12、13、15期</t>
    <phoneticPr fontId="228" type="noConversion"/>
  </si>
  <si>
    <t>建筑面积</t>
    <phoneticPr fontId="228" type="noConversion"/>
  </si>
  <si>
    <t>地上</t>
    <phoneticPr fontId="228" type="noConversion"/>
  </si>
  <si>
    <t>地下</t>
    <phoneticPr fontId="228" type="noConversion"/>
  </si>
  <si>
    <t>计容</t>
    <phoneticPr fontId="228" type="noConversion"/>
  </si>
  <si>
    <t>验算</t>
    <phoneticPr fontId="228" type="noConversion"/>
  </si>
  <si>
    <t>容积率</t>
    <phoneticPr fontId="228" type="noConversion"/>
  </si>
  <si>
    <t>合计</t>
    <phoneticPr fontId="228" type="noConversion"/>
  </si>
  <si>
    <r>
      <t>1</t>
    </r>
    <r>
      <rPr>
        <sz val="11"/>
        <color theme="1"/>
        <rFont val="宋体"/>
        <family val="3"/>
        <charset val="134"/>
        <scheme val="minor"/>
      </rPr>
      <t>1期规证</t>
    </r>
    <phoneticPr fontId="228" type="noConversion"/>
  </si>
  <si>
    <t>产权酒店</t>
    <phoneticPr fontId="228" type="noConversion"/>
  </si>
  <si>
    <t>商业</t>
    <phoneticPr fontId="228" type="noConversion"/>
  </si>
  <si>
    <t>车位</t>
    <phoneticPr fontId="228" type="noConversion"/>
  </si>
  <si>
    <t>剩余土地</t>
    <phoneticPr fontId="228" type="noConversion"/>
  </si>
  <si>
    <t>分摊土地</t>
    <phoneticPr fontId="228" type="noConversion"/>
  </si>
  <si>
    <t>地上计容</t>
    <phoneticPr fontId="228" type="noConversion"/>
  </si>
  <si>
    <t>地上不计容</t>
    <phoneticPr fontId="228" type="noConversion"/>
  </si>
  <si>
    <t>产权公寓</t>
    <phoneticPr fontId="228" type="noConversion"/>
  </si>
  <si>
    <t>办公</t>
    <phoneticPr fontId="228" type="noConversion"/>
  </si>
  <si>
    <t>地上</t>
  </si>
  <si>
    <t>独立商业</t>
  </si>
  <si>
    <t>办公楼</t>
  </si>
  <si>
    <t>公寓</t>
  </si>
  <si>
    <t>地下</t>
  </si>
  <si>
    <t>车库—商业</t>
  </si>
  <si>
    <t>车库</t>
  </si>
  <si>
    <t>商业</t>
    <phoneticPr fontId="7" type="noConversion"/>
  </si>
  <si>
    <t>产权酒店</t>
  </si>
  <si>
    <t>产权酒店</t>
    <phoneticPr fontId="7" type="noConversion"/>
  </si>
  <si>
    <t>办公</t>
    <phoneticPr fontId="7" type="noConversion"/>
  </si>
  <si>
    <t>地下车库</t>
    <phoneticPr fontId="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</si>
  <si>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3" type="noConversion"/>
  </si>
  <si>
    <t>钢混</t>
  </si>
  <si>
    <t>土地（套用方法）</t>
  </si>
  <si>
    <t>自定义</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</si>
  <si>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</si>
  <si>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</si>
  <si>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3" type="noConversion"/>
  </si>
  <si>
    <t>比较法-住宅、综合</t>
  </si>
  <si>
    <t>剩余法-待开发</t>
  </si>
  <si>
    <t>正常</t>
  </si>
  <si>
    <t>楼面地价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</si>
</sst>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58" fontId="145" fillId="0" borderId="0" xfId="0" applyNumberFormat="1" applyFont="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9" borderId="2" xfId="0" applyFont="1" applyFill="1" applyBorder="1" applyAlignment="1">
      <alignment horizontal="center" vertical="center"/>
    </xf>
    <xf numFmtId="0" fontId="0" fillId="9" borderId="0" xfId="0" applyFill="1">
      <alignment vertical="center"/>
    </xf>
    <xf numFmtId="178" fontId="81" fillId="0" borderId="2" xfId="2" applyNumberFormat="1" applyFont="1" applyFill="1" applyBorder="1" applyAlignment="1" applyProtection="1">
      <alignment vertical="center"/>
      <protection locked="0"/>
    </xf>
    <xf numFmtId="0" fontId="280" fillId="6" borderId="2" xfId="0" applyFont="1" applyFill="1" applyBorder="1" applyAlignment="1" applyProtection="1">
      <alignment vertical="center"/>
      <protection locked="0"/>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horizontal="center" vertical="center"/>
      <protection locked="0"/>
    </xf>
    <xf numFmtId="178" fontId="78" fillId="20" borderId="2" xfId="2" applyNumberFormat="1" applyFont="1" applyFill="1" applyBorder="1" applyAlignment="1" applyProtection="1">
      <alignment horizontal="center" vertical="center"/>
      <protection locked="0"/>
    </xf>
    <xf numFmtId="185" fontId="76" fillId="2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609600</xdr:colOff>
      <xdr:row>1</xdr:row>
      <xdr:rowOff>9525</xdr:rowOff>
    </xdr:from>
    <xdr:to>
      <xdr:col>19</xdr:col>
      <xdr:colOff>161113</xdr:colOff>
      <xdr:row>59</xdr:row>
      <xdr:rowOff>123825</xdr:rowOff>
    </xdr:to>
    <xdr:pic>
      <xdr:nvPicPr>
        <xdr:cNvPr id="2" name="图片 1">
          <a:extLst>
            <a:ext uri="{FF2B5EF4-FFF2-40B4-BE49-F238E27FC236}">
              <a16:creationId xmlns:a16="http://schemas.microsoft.com/office/drawing/2014/main" id="{1AF42AAD-8BD4-451B-83BC-368C969689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1825" y="180975"/>
          <a:ext cx="7095313" cy="10058400"/>
        </a:xfrm>
        <a:prstGeom prst="rect">
          <a:avLst/>
        </a:prstGeom>
      </xdr:spPr>
    </xdr:pic>
    <xdr:clientData/>
  </xdr:twoCellAnchor>
  <xdr:twoCellAnchor editAs="oneCell">
    <xdr:from>
      <xdr:col>0</xdr:col>
      <xdr:colOff>0</xdr:colOff>
      <xdr:row>28</xdr:row>
      <xdr:rowOff>0</xdr:rowOff>
    </xdr:from>
    <xdr:to>
      <xdr:col>9</xdr:col>
      <xdr:colOff>628650</xdr:colOff>
      <xdr:row>32</xdr:row>
      <xdr:rowOff>38388</xdr:rowOff>
    </xdr:to>
    <xdr:pic>
      <xdr:nvPicPr>
        <xdr:cNvPr id="3" name="图片 2">
          <a:extLst>
            <a:ext uri="{FF2B5EF4-FFF2-40B4-BE49-F238E27FC236}">
              <a16:creationId xmlns:a16="http://schemas.microsoft.com/office/drawing/2014/main" id="{63CCBC79-3189-48A9-8F1D-0760EC4289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800600"/>
          <a:ext cx="7772400" cy="724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13;&#19968;&#26399;&#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11期具体面积表"/>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K4">
            <v>89328.65</v>
          </cell>
        </row>
        <row r="6">
          <cell r="K6">
            <v>934.24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受贵公司委托，我公司对出让国有建设用地使用权进行了预评估。</v>
      </c>
      <c r="AM6" s="2619"/>
    </row>
    <row r="7" spans="1:55" s="2593" customFormat="1">
      <c r="A7" s="2594" t="s">
        <v>2638</v>
      </c>
      <c r="B7" s="2595" t="str">
        <f>'预评函-1'!A6</f>
        <v>估价对象为使用的、位于出让国有建设用地使用权。根据《国有土地使用证》[]，估价对象（分摊）出让国有建设用地使用权面积为153925.47平方米。根据《建设工程规划许可证》[]、《出让合同》[]，估价对象规划建筑面积为559573.15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2020年12月22日（评估专业人员勘察现场之日）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根据《国有土地使用证》[]，估价对象（分摊）出让国有建设用地使用权面积为153925.47平方米。根据《建设工程规划许可证》[]、《出让合同》[]，估价对象规划建筑面积为559573.15平方米。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9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12月22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估价期日：2020年12月22日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153925.47</v>
      </c>
    </row>
    <row r="44" spans="1:2">
      <c r="A44" s="2594" t="s">
        <v>2721</v>
      </c>
      <c r="B44" s="2595" t="str">
        <f>'预评函-2'!O3</f>
        <v>规划建筑面积/㎡</v>
      </c>
    </row>
    <row r="45" spans="1:2">
      <c r="A45" s="2594" t="s">
        <v>2703</v>
      </c>
      <c r="B45" s="2595">
        <f>'预评函-2'!O5</f>
        <v>559573.15</v>
      </c>
    </row>
    <row r="46" spans="1:2">
      <c r="A46" s="2594" t="s">
        <v>2704</v>
      </c>
      <c r="B46" s="2595">
        <f ca="1">'预评函-2'!P5</f>
        <v>10751</v>
      </c>
    </row>
    <row r="47" spans="1:2">
      <c r="A47" s="2594" t="s">
        <v>2705</v>
      </c>
      <c r="B47" s="2595">
        <f ca="1">'预评函-2'!Q5</f>
        <v>2957</v>
      </c>
    </row>
    <row r="48" spans="1:2">
      <c r="A48" s="2594" t="s">
        <v>2706</v>
      </c>
      <c r="B48" s="2595">
        <f ca="1">'预评函-2'!R5</f>
        <v>165492</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7" zoomScaleNormal="100" zoomScaleSheetLayoutView="100" workbookViewId="0">
      <selection activeCell="E8" sqref="E8"/>
    </sheetView>
  </sheetViews>
  <sheetFormatPr defaultColWidth="10" defaultRowHeight="14.25"/>
  <cols>
    <col min="1" max="1" width="15.375" style="1612" customWidth="1"/>
    <col min="2" max="2" width="11.375" style="1612" customWidth="1"/>
    <col min="3" max="4" width="12.62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0" t="str">
        <f>IF(B10="北京市","北京市",C10)&amp;F10&amp;B16&amp;"国有建设用地使用权"&amp;B9&amp;"预评估"</f>
        <v>出让国有建设用地使用权预评估</v>
      </c>
      <c r="C1" s="3331"/>
      <c r="D1" s="3331"/>
      <c r="E1" s="3331"/>
      <c r="F1" s="3331"/>
      <c r="G1" s="3331"/>
      <c r="H1" s="3331"/>
      <c r="I1" s="3332"/>
      <c r="J1" s="3073"/>
      <c r="K1" s="2309" t="str">
        <f>IF(B10="北京市","北京市",C10)&amp;F10&amp;B16&amp;"国有建设用地使用权"&amp;B9</f>
        <v>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1928</v>
      </c>
      <c r="B3" s="1588">
        <v>44187</v>
      </c>
      <c r="C3" s="2996" t="s">
        <v>1984</v>
      </c>
      <c r="D3" s="1588">
        <f>B3</f>
        <v>44187</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2957</v>
      </c>
      <c r="C8" s="1597"/>
      <c r="D8" s="3336"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37"/>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3004</v>
      </c>
      <c r="C10" s="1601"/>
      <c r="D10" s="1593"/>
      <c r="E10" s="1602" t="s">
        <v>1935</v>
      </c>
      <c r="F10" s="1603"/>
      <c r="G10" s="1661"/>
      <c r="H10" s="1662"/>
      <c r="I10" s="1593"/>
      <c r="J10" s="3073"/>
      <c r="K10" s="3056"/>
      <c r="L10" s="3052"/>
      <c r="M10" s="3052"/>
      <c r="N10" s="3053"/>
      <c r="O10" s="3054"/>
      <c r="P10" s="3053"/>
      <c r="Q10" s="3053"/>
      <c r="R10" s="3053"/>
      <c r="S10" s="3053"/>
      <c r="T10" s="3053"/>
      <c r="U10" s="3053"/>
    </row>
    <row r="11" spans="1:21">
      <c r="A11" s="3000" t="s">
        <v>1989</v>
      </c>
      <c r="B11" s="1618" t="s">
        <v>3005</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33"/>
      <c r="C12" s="3334"/>
      <c r="D12" s="3335"/>
      <c r="E12" s="1619" t="s">
        <v>2050</v>
      </c>
      <c r="F12" s="3351" t="s">
        <v>2869</v>
      </c>
      <c r="G12" s="3352"/>
      <c r="H12" s="3352"/>
      <c r="I12" s="3353"/>
      <c r="J12" s="3073"/>
      <c r="K12" s="3056"/>
      <c r="L12" s="3052"/>
      <c r="M12" s="3052"/>
      <c r="N12" s="3053"/>
      <c r="O12" s="3054"/>
      <c r="P12" s="3053"/>
      <c r="Q12" s="3053"/>
      <c r="R12" s="3053"/>
      <c r="S12" s="3053"/>
      <c r="T12" s="3053"/>
      <c r="U12" s="3053"/>
    </row>
    <row r="13" spans="1:21">
      <c r="A13" s="1610" t="s">
        <v>2048</v>
      </c>
      <c r="B13" s="3333"/>
      <c r="C13" s="3334"/>
      <c r="D13" s="3335"/>
      <c r="E13" s="1619" t="s">
        <v>2050</v>
      </c>
      <c r="F13" s="3351" t="s">
        <v>2870</v>
      </c>
      <c r="G13" s="3352"/>
      <c r="H13" s="3352"/>
      <c r="I13" s="3353"/>
      <c r="J13" s="3073"/>
      <c r="K13" s="3056"/>
      <c r="L13" s="3052"/>
      <c r="M13" s="3052"/>
      <c r="N13" s="3053"/>
      <c r="O13" s="3054"/>
      <c r="P13" s="3053"/>
      <c r="Q13" s="3053"/>
      <c r="R13" s="3053"/>
      <c r="S13" s="3053"/>
      <c r="T13" s="3053"/>
      <c r="U13" s="3053"/>
    </row>
    <row r="14" spans="1:21">
      <c r="A14" s="1587" t="s">
        <v>2051</v>
      </c>
      <c r="B14" s="1619"/>
      <c r="C14" s="1757"/>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2952</v>
      </c>
      <c r="C16" s="1619" t="s">
        <v>1937</v>
      </c>
      <c r="D16" s="2487" t="s">
        <v>1938</v>
      </c>
      <c r="E16" s="1642" t="s">
        <v>3006</v>
      </c>
      <c r="F16" s="1642"/>
      <c r="G16" s="1642"/>
      <c r="H16" s="1642"/>
      <c r="I16" s="1609" t="s">
        <v>1943</v>
      </c>
      <c r="J16" s="3073"/>
      <c r="K16" s="2310" t="str">
        <f>IF(D17="","",D16&amp;TEXT(D17,"yyyy年m月d日;;"))</f>
        <v/>
      </c>
      <c r="L16" s="1619" t="str">
        <f>IF(OR(K16="",M16=""),"","、")</f>
        <v/>
      </c>
      <c r="M16" s="2310" t="str">
        <f>IF(E17="","",E16&amp;TEXT(E17,"yyyy年m月d日;;"))</f>
        <v>商业2063年11月9日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59849</v>
      </c>
      <c r="F17" s="1620"/>
      <c r="G17" s="1620"/>
      <c r="H17" s="1620"/>
      <c r="I17" s="1620"/>
      <c r="J17" s="3073"/>
      <c r="K17" s="3051" t="str">
        <f>CONCATENATE(K16,L16,M16,N16,O16,P16,Q16,R16,S16,T16,,U16)</f>
        <v>商业2063年11月9日</v>
      </c>
      <c r="L17" s="3052"/>
      <c r="M17" s="3052"/>
      <c r="N17" s="3053"/>
      <c r="O17" s="3054"/>
      <c r="P17" s="3053"/>
      <c r="Q17" s="3053"/>
      <c r="R17" s="3053"/>
      <c r="S17" s="3053"/>
      <c r="T17" s="3053"/>
      <c r="U17" s="3053"/>
    </row>
    <row r="18" spans="1:21">
      <c r="A18" s="1679"/>
      <c r="B18" s="1606"/>
      <c r="C18" s="3002" t="s">
        <v>1945</v>
      </c>
      <c r="D18" s="1607"/>
      <c r="E18" s="3295">
        <v>40</v>
      </c>
      <c r="F18" s="1607"/>
      <c r="G18" s="1607"/>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40</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48"/>
      <c r="E20" s="3349"/>
      <c r="F20" s="3349"/>
      <c r="G20" s="3349"/>
      <c r="H20" s="3349"/>
      <c r="I20" s="3350"/>
      <c r="J20" s="3073"/>
      <c r="K20" s="3056"/>
      <c r="L20" s="3052"/>
      <c r="M20" s="3052"/>
      <c r="N20" s="3053"/>
      <c r="O20" s="3054"/>
      <c r="P20" s="3053"/>
      <c r="Q20" s="3053"/>
      <c r="R20" s="3053"/>
      <c r="S20" s="3053"/>
      <c r="T20" s="3053"/>
      <c r="U20" s="3053"/>
    </row>
    <row r="21" spans="1:21">
      <c r="A21" s="1679" t="s">
        <v>1947</v>
      </c>
      <c r="B21" s="1680" t="s">
        <v>1948</v>
      </c>
      <c r="C21" s="1675">
        <f>'数据-汇总表'!E3</f>
        <v>559573.15</v>
      </c>
      <c r="D21" s="1676" t="s">
        <v>1949</v>
      </c>
      <c r="E21" s="3338" t="s">
        <v>1987</v>
      </c>
      <c r="F21" s="3339"/>
      <c r="G21" s="3339"/>
      <c r="H21" s="3339"/>
      <c r="I21" s="3340"/>
      <c r="J21" s="3073"/>
      <c r="K21" s="3056"/>
      <c r="L21" s="3052"/>
      <c r="M21" s="3052"/>
      <c r="N21" s="3053"/>
      <c r="O21" s="3054"/>
      <c r="P21" s="3053"/>
      <c r="Q21" s="3053"/>
      <c r="R21" s="3053"/>
      <c r="S21" s="3053"/>
      <c r="T21" s="3053"/>
      <c r="U21" s="3053"/>
    </row>
    <row r="22" spans="1:21">
      <c r="A22" s="2801" t="s">
        <v>943</v>
      </c>
      <c r="B22" s="1587" t="s">
        <v>1950</v>
      </c>
      <c r="C22" s="1609">
        <f>'数据-汇总表'!D3</f>
        <v>153925.47</v>
      </c>
      <c r="D22" s="1610" t="s">
        <v>1949</v>
      </c>
      <c r="E22" s="3338" t="s">
        <v>2871</v>
      </c>
      <c r="F22" s="3339"/>
      <c r="G22" s="3339"/>
      <c r="H22" s="3339"/>
      <c r="I22" s="3340"/>
      <c r="J22" s="3073"/>
      <c r="K22" s="3056"/>
      <c r="L22" s="3052"/>
      <c r="M22" s="3052"/>
      <c r="N22" s="3053"/>
      <c r="O22" s="3054"/>
      <c r="P22" s="3053"/>
      <c r="Q22" s="3053"/>
      <c r="R22" s="3053"/>
      <c r="S22" s="3053"/>
      <c r="T22" s="3053"/>
      <c r="U22" s="3053"/>
    </row>
    <row r="23" spans="1:21" ht="29.2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1" t="s">
        <v>1955</v>
      </c>
      <c r="C24" s="3342"/>
      <c r="D24" s="3343" t="s">
        <v>1956</v>
      </c>
      <c r="E24" s="3344"/>
      <c r="F24" s="1628" t="s">
        <v>1957</v>
      </c>
      <c r="G24" s="3073"/>
      <c r="H24" s="3073"/>
      <c r="I24" s="3077"/>
      <c r="J24" s="3073"/>
      <c r="K24" s="3329"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29"/>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29"/>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56" t="s">
        <v>1990</v>
      </c>
      <c r="B31" s="1680" t="s">
        <v>1991</v>
      </c>
      <c r="C31" s="3354"/>
      <c r="D31" s="3355"/>
      <c r="E31" s="3073"/>
      <c r="F31" s="3073"/>
      <c r="G31" s="3073"/>
      <c r="H31" s="3073"/>
      <c r="I31" s="3077"/>
      <c r="J31" s="3073"/>
      <c r="K31" s="3059"/>
      <c r="L31" s="3053"/>
      <c r="M31" s="3053"/>
      <c r="N31" s="3053"/>
      <c r="O31" s="3053"/>
      <c r="P31" s="3053"/>
      <c r="Q31" s="3053"/>
      <c r="R31" s="3053"/>
      <c r="S31" s="3053"/>
      <c r="T31" s="3053"/>
      <c r="U31" s="3053"/>
    </row>
    <row r="32" spans="1:21">
      <c r="A32" s="3356"/>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56"/>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57"/>
      <c r="B34" s="1587" t="s">
        <v>1994</v>
      </c>
      <c r="C34" s="3358"/>
      <c r="D34" s="3359"/>
      <c r="E34" s="3073"/>
      <c r="F34" s="3073"/>
      <c r="G34" s="3073"/>
      <c r="H34" s="3073"/>
      <c r="I34" s="3077"/>
      <c r="J34" s="3073"/>
      <c r="K34" s="3059"/>
      <c r="L34" s="3053"/>
      <c r="M34" s="3053"/>
      <c r="N34" s="3053"/>
      <c r="O34" s="3053"/>
      <c r="P34" s="3053"/>
      <c r="Q34" s="3053"/>
      <c r="R34" s="3053"/>
      <c r="S34" s="3053"/>
      <c r="T34" s="3053"/>
      <c r="U34" s="3053"/>
    </row>
    <row r="35" spans="1:28">
      <c r="A35" s="3360" t="s">
        <v>839</v>
      </c>
      <c r="B35" s="1642"/>
      <c r="C35" s="1689" t="str">
        <f>IF(B35="场地平整","——","具体情况：")</f>
        <v>具体情况：</v>
      </c>
      <c r="D35" s="3362"/>
      <c r="E35" s="3363"/>
      <c r="F35" s="3363"/>
      <c r="G35" s="3363"/>
      <c r="H35" s="3363"/>
      <c r="I35" s="3364"/>
      <c r="J35" s="3073"/>
      <c r="K35" s="3060"/>
      <c r="L35" s="3052"/>
      <c r="M35" s="3052"/>
      <c r="N35" s="3053"/>
      <c r="O35" s="3054"/>
      <c r="P35" s="3053"/>
      <c r="Q35" s="3053"/>
      <c r="R35" s="3053"/>
      <c r="S35" s="3053"/>
      <c r="T35" s="3053"/>
      <c r="U35" s="3053"/>
    </row>
    <row r="36" spans="1:28">
      <c r="A36" s="3356"/>
      <c r="B36" s="3365" t="s">
        <v>2043</v>
      </c>
      <c r="C36" s="3366"/>
      <c r="D36" s="1705"/>
      <c r="E36" s="3367"/>
      <c r="F36" s="3367"/>
      <c r="G36" s="1610" t="str">
        <f>IF(B35="场地未平整","估价结果处理","")</f>
        <v/>
      </c>
      <c r="H36" s="3368"/>
      <c r="I36" s="3368"/>
      <c r="J36" s="3073"/>
      <c r="K36" s="3060"/>
      <c r="L36" s="3052"/>
      <c r="M36" s="3052"/>
      <c r="N36" s="3053"/>
      <c r="O36" s="3054"/>
      <c r="P36" s="3053"/>
      <c r="Q36" s="3053"/>
      <c r="R36" s="3053"/>
      <c r="S36" s="3053"/>
      <c r="T36" s="3053"/>
      <c r="U36" s="3053"/>
    </row>
    <row r="37" spans="1:28" ht="28.5">
      <c r="A37" s="3356"/>
      <c r="B37" s="3345"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56"/>
      <c r="B38" s="3346"/>
      <c r="C38" s="1595"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57"/>
      <c r="B39" s="3347"/>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28" t="s">
        <v>1974</v>
      </c>
      <c r="T40" s="1651" t="str">
        <f>NUMBERSTRING(7-K40,1)&amp;"通"</f>
        <v>七通</v>
      </c>
      <c r="U40" s="3053"/>
    </row>
    <row r="41" spans="1:28">
      <c r="A41" s="1589"/>
      <c r="B41" s="3361" t="s">
        <v>1712</v>
      </c>
      <c r="C41" s="3361"/>
      <c r="D41" s="3361"/>
      <c r="E41" s="3361"/>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8"/>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3" sqref="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面积!B24</f>
        <v>153925.47000000003</v>
      </c>
      <c r="B3" s="22">
        <f>IF(C3="否",G5-AT5,G5)</f>
        <v>559573.15</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559573.15</v>
      </c>
      <c r="H5" s="27">
        <f t="shared" ref="H5:AT5" si="0">SUM(H13:H641)</f>
        <v>459547.11</v>
      </c>
      <c r="I5" s="27">
        <f t="shared" si="0"/>
        <v>137584.01999999999</v>
      </c>
      <c r="J5" s="27">
        <f t="shared" si="0"/>
        <v>0</v>
      </c>
      <c r="K5" s="27">
        <f t="shared" si="0"/>
        <v>169738.86999999997</v>
      </c>
      <c r="L5" s="27">
        <f t="shared" si="0"/>
        <v>0</v>
      </c>
      <c r="M5" s="27">
        <f t="shared" si="0"/>
        <v>93774.22</v>
      </c>
      <c r="N5" s="27">
        <f t="shared" si="0"/>
        <v>0</v>
      </c>
      <c r="O5" s="27">
        <f t="shared" si="0"/>
        <v>58450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100026.04000000004</v>
      </c>
      <c r="AD5" s="27">
        <f t="shared" si="0"/>
        <v>0</v>
      </c>
      <c r="AE5" s="27">
        <f t="shared" si="0"/>
        <v>0</v>
      </c>
      <c r="AF5" s="27">
        <f t="shared" si="0"/>
        <v>0</v>
      </c>
      <c r="AG5" s="27">
        <f t="shared" si="0"/>
        <v>0</v>
      </c>
      <c r="AH5" s="27">
        <f t="shared" si="0"/>
        <v>0</v>
      </c>
      <c r="AI5" s="27">
        <f t="shared" si="0"/>
        <v>0</v>
      </c>
      <c r="AJ5" s="27">
        <f t="shared" si="0"/>
        <v>0</v>
      </c>
      <c r="AK5" s="27">
        <f t="shared" si="0"/>
        <v>0</v>
      </c>
      <c r="AL5" s="27">
        <f t="shared" si="0"/>
        <v>508.04000000003725</v>
      </c>
      <c r="AM5" s="27">
        <f t="shared" si="0"/>
        <v>0</v>
      </c>
      <c r="AN5" s="27">
        <f t="shared" si="0"/>
        <v>99518</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559573.15</v>
      </c>
      <c r="BA5" s="29">
        <f t="shared" si="1"/>
        <v>459547.11</v>
      </c>
      <c r="BB5" s="29">
        <f t="shared" si="1"/>
        <v>137584.01999999999</v>
      </c>
      <c r="BC5" s="29">
        <f t="shared" si="1"/>
        <v>169738.86999999997</v>
      </c>
      <c r="BD5" s="29">
        <f t="shared" si="1"/>
        <v>93774.22</v>
      </c>
      <c r="BE5" s="29">
        <f t="shared" si="1"/>
        <v>58450</v>
      </c>
      <c r="BF5" s="29">
        <f t="shared" si="1"/>
        <v>0</v>
      </c>
      <c r="BG5" s="29">
        <f t="shared" si="1"/>
        <v>0</v>
      </c>
      <c r="BH5" s="29">
        <f t="shared" si="1"/>
        <v>0</v>
      </c>
      <c r="BI5" s="29">
        <f t="shared" si="1"/>
        <v>0</v>
      </c>
      <c r="BJ5" s="29">
        <f t="shared" si="1"/>
        <v>0</v>
      </c>
      <c r="BK5" s="29">
        <f t="shared" si="1"/>
        <v>0</v>
      </c>
      <c r="BL5" s="29">
        <f t="shared" si="1"/>
        <v>100026.04000000004</v>
      </c>
      <c r="BM5" s="29">
        <f t="shared" si="1"/>
        <v>0</v>
      </c>
      <c r="BN5" s="29">
        <f t="shared" si="1"/>
        <v>0</v>
      </c>
      <c r="BO5" s="29">
        <f t="shared" si="1"/>
        <v>0</v>
      </c>
      <c r="BP5" s="29">
        <f t="shared" si="1"/>
        <v>0</v>
      </c>
      <c r="BQ5" s="29">
        <f t="shared" si="1"/>
        <v>508.04000000003725</v>
      </c>
      <c r="BR5" s="29">
        <f t="shared" si="1"/>
        <v>99518</v>
      </c>
      <c r="BS5" s="29">
        <f t="shared" si="1"/>
        <v>0</v>
      </c>
      <c r="BT5" s="30">
        <f t="shared" si="1"/>
        <v>0</v>
      </c>
    </row>
    <row r="6" spans="1:72" s="37" customFormat="1" ht="12.75">
      <c r="A6" s="26" t="s">
        <v>169</v>
      </c>
      <c r="B6" s="31"/>
      <c r="C6" s="31"/>
      <c r="D6" s="32"/>
      <c r="E6" s="27">
        <f>H6+AC6+AT6</f>
        <v>153925.47</v>
      </c>
      <c r="F6" s="27" t="s">
        <v>1</v>
      </c>
      <c r="G6" s="27" t="s">
        <v>2</v>
      </c>
      <c r="H6" s="33">
        <f>SUMIF(I$12:AB$12,"总值",I6:AB6)</f>
        <v>126410.65</v>
      </c>
      <c r="I6" s="27">
        <f t="shared" ref="I6:AB6" si="2">ROUND($A$3*I5/$B$3,2)</f>
        <v>37846.14</v>
      </c>
      <c r="J6" s="27">
        <f t="shared" si="2"/>
        <v>0</v>
      </c>
      <c r="K6" s="27">
        <f t="shared" si="2"/>
        <v>46691.19</v>
      </c>
      <c r="L6" s="27">
        <f t="shared" si="2"/>
        <v>0</v>
      </c>
      <c r="M6" s="27">
        <f t="shared" si="2"/>
        <v>25795.09</v>
      </c>
      <c r="N6" s="27">
        <f t="shared" si="2"/>
        <v>0</v>
      </c>
      <c r="O6" s="27">
        <f t="shared" si="2"/>
        <v>16078.23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27514.82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139.75</v>
      </c>
      <c r="AM6" s="27">
        <f t="shared" si="3"/>
        <v>0</v>
      </c>
      <c r="AN6" s="27">
        <f t="shared" si="3"/>
        <v>27375.07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153925.47</v>
      </c>
      <c r="AZ6" s="27" t="s">
        <v>3</v>
      </c>
      <c r="BA6" s="27">
        <f>ROUND($AY$6*BA5/$AZ$5,2)</f>
        <v>126410.65</v>
      </c>
      <c r="BB6" s="27">
        <f>ROUND($AY$6*BB5/$AZ$5,2)</f>
        <v>37846.14</v>
      </c>
      <c r="BC6" s="27">
        <f t="shared" ref="BC6:BH6" si="4">ROUND($AY$6*BC5/$AZ$5,2)</f>
        <v>46691.19</v>
      </c>
      <c r="BD6" s="27">
        <f t="shared" si="4"/>
        <v>25795.09</v>
      </c>
      <c r="BE6" s="27">
        <f t="shared" si="4"/>
        <v>16078.23</v>
      </c>
      <c r="BF6" s="27">
        <f t="shared" si="4"/>
        <v>0</v>
      </c>
      <c r="BG6" s="27">
        <f t="shared" si="4"/>
        <v>0</v>
      </c>
      <c r="BH6" s="27">
        <f t="shared" si="4"/>
        <v>0</v>
      </c>
      <c r="BI6" s="27">
        <f t="shared" ref="BI6:BT6" si="5">ROUND($AY$6*BI5/$AZ$5,2)</f>
        <v>0</v>
      </c>
      <c r="BJ6" s="27">
        <f t="shared" si="5"/>
        <v>0</v>
      </c>
      <c r="BK6" s="27">
        <f t="shared" si="5"/>
        <v>0</v>
      </c>
      <c r="BL6" s="27">
        <f t="shared" si="5"/>
        <v>27514.82</v>
      </c>
      <c r="BM6" s="27">
        <f t="shared" si="5"/>
        <v>0</v>
      </c>
      <c r="BN6" s="27">
        <f t="shared" si="5"/>
        <v>0</v>
      </c>
      <c r="BO6" s="27">
        <f t="shared" si="5"/>
        <v>0</v>
      </c>
      <c r="BP6" s="27">
        <f t="shared" si="5"/>
        <v>0</v>
      </c>
      <c r="BQ6" s="27">
        <f t="shared" si="5"/>
        <v>139.75</v>
      </c>
      <c r="BR6" s="27">
        <f t="shared" si="5"/>
        <v>27375.07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3025</v>
      </c>
      <c r="J9" s="51"/>
      <c r="K9" s="2731" t="s">
        <v>3025</v>
      </c>
      <c r="L9" s="51"/>
      <c r="M9" s="2731" t="s">
        <v>3025</v>
      </c>
      <c r="N9" s="51"/>
      <c r="O9" s="59" t="s">
        <v>3029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3006</v>
      </c>
      <c r="J10" s="51"/>
      <c r="K10" s="2733" t="s">
        <v>3006</v>
      </c>
      <c r="L10" s="51"/>
      <c r="M10" s="2733" t="s">
        <v>3006</v>
      </c>
      <c r="N10" s="51"/>
      <c r="O10" s="66" t="s">
        <v>3030</v>
      </c>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3026</v>
      </c>
      <c r="J11" s="71"/>
      <c r="K11" s="2732" t="s">
        <v>3027</v>
      </c>
      <c r="L11" s="71"/>
      <c r="M11" s="70" t="s">
        <v>3028</v>
      </c>
      <c r="N11" s="71"/>
      <c r="O11" s="70" t="s">
        <v>3031</v>
      </c>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商业</v>
      </c>
      <c r="BC11" s="50" t="str">
        <f>K10</f>
        <v>商业</v>
      </c>
      <c r="BD11" s="50" t="str">
        <f>M10</f>
        <v>商业</v>
      </c>
      <c r="BE11" s="50" t="str">
        <f>O10</f>
        <v>车库—商业</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独立商业</v>
      </c>
      <c r="BC12" s="79" t="str">
        <f>K11</f>
        <v>办公楼</v>
      </c>
      <c r="BD12" s="79" t="str">
        <f>M11</f>
        <v>公寓</v>
      </c>
      <c r="BE12" s="50" t="str">
        <f>O11</f>
        <v>车库</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153925.47</v>
      </c>
      <c r="F13" s="81"/>
      <c r="G13" s="82">
        <f t="shared" ref="G13:G20" si="7">H13+AC13+AT13</f>
        <v>559573.15</v>
      </c>
      <c r="H13" s="33">
        <f t="shared" ref="H13:H20" si="8">SUMIF(I$12:AB$12,"总值",I13:AB13)</f>
        <v>459547.11</v>
      </c>
      <c r="I13" s="2730">
        <f>面积!D21</f>
        <v>137584.01999999999</v>
      </c>
      <c r="J13" s="2730"/>
      <c r="K13" s="2730">
        <f>面积!D23</f>
        <v>169738.86999999997</v>
      </c>
      <c r="L13" s="2730"/>
      <c r="M13" s="2730">
        <f>面积!D22</f>
        <v>93774.22</v>
      </c>
      <c r="N13" s="83"/>
      <c r="O13" s="83">
        <f>面积!D27</f>
        <v>58450</v>
      </c>
      <c r="P13" s="83"/>
      <c r="Q13" s="83"/>
      <c r="R13" s="83"/>
      <c r="S13" s="83"/>
      <c r="T13" s="83"/>
      <c r="U13" s="83"/>
      <c r="V13" s="83"/>
      <c r="W13" s="83"/>
      <c r="X13" s="83"/>
      <c r="Y13" s="83"/>
      <c r="Z13" s="83"/>
      <c r="AA13" s="83"/>
      <c r="AB13" s="83"/>
      <c r="AC13" s="27">
        <f t="shared" ref="AC13:AC20" si="9">SUMIF(AD$12:AS$12,"总值",AD13:AS13)</f>
        <v>100026.04000000004</v>
      </c>
      <c r="AD13" s="2734"/>
      <c r="AE13" s="2734"/>
      <c r="AF13" s="2734"/>
      <c r="AG13" s="2734"/>
      <c r="AH13" s="2734"/>
      <c r="AI13" s="2734"/>
      <c r="AJ13" s="2734"/>
      <c r="AK13" s="2734"/>
      <c r="AL13" s="2734">
        <f>面积!E24</f>
        <v>508.04000000003725</v>
      </c>
      <c r="AM13" s="2734"/>
      <c r="AN13" s="2734">
        <f>面积!F24-O13</f>
        <v>99518</v>
      </c>
      <c r="AO13" s="2734"/>
      <c r="AP13" s="2734"/>
      <c r="AQ13" s="2734"/>
      <c r="AR13" s="2734"/>
      <c r="AS13" s="2734"/>
      <c r="AT13" s="2735"/>
      <c r="AU13" s="2736"/>
      <c r="AV13" s="17">
        <f t="shared" ref="AV13:AX20" si="10">A13</f>
        <v>0</v>
      </c>
      <c r="AW13" s="17">
        <f t="shared" si="10"/>
        <v>0</v>
      </c>
      <c r="AX13" s="17">
        <f t="shared" si="10"/>
        <v>0</v>
      </c>
      <c r="AY13" s="984">
        <f t="shared" ref="AY13:AY20" si="11">ROUND($AY$6*AZ13/$AZ$5,2)</f>
        <v>153925.47</v>
      </c>
      <c r="AZ13" s="27">
        <f t="shared" ref="AZ13:AZ20" si="12">BA13+BL13</f>
        <v>559573.15</v>
      </c>
      <c r="BA13" s="27">
        <f t="shared" ref="BA13:BA20" si="13">SUM(BB13:BK13)</f>
        <v>459547.11</v>
      </c>
      <c r="BB13" s="27">
        <f t="shared" ref="BB13:BB20" si="14">IF($D13="是",I13-J13,0)</f>
        <v>137584.01999999999</v>
      </c>
      <c r="BC13" s="27">
        <f t="shared" ref="BC13:BC20" si="15">IF($D13="是",K13-L13,0)</f>
        <v>169738.86999999997</v>
      </c>
      <c r="BD13" s="27">
        <f t="shared" ref="BD13:BD20" si="16">IF($D13="是",M13-N13,0)</f>
        <v>93774.22</v>
      </c>
      <c r="BE13" s="27">
        <f t="shared" ref="BE13:BE20" si="17">IF($D13="是",O13-P13,0)</f>
        <v>58450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100026.04000000004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508.04000000003725</v>
      </c>
      <c r="BR13" s="27">
        <f t="shared" ref="BR13:BR20" si="30">IF($D13="是",AN13-AO13,0)</f>
        <v>99518</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F01D1-2E90-4777-8899-A121027404B9}">
  <dimension ref="A2:H27"/>
  <sheetViews>
    <sheetView topLeftCell="A4" workbookViewId="0">
      <selection activeCell="D19" sqref="D19"/>
    </sheetView>
  </sheetViews>
  <sheetFormatPr defaultRowHeight="13.5"/>
  <cols>
    <col min="1" max="1" width="9.25" bestFit="1" customWidth="1"/>
    <col min="2" max="2" width="12.125" customWidth="1"/>
    <col min="3" max="3" width="11" customWidth="1"/>
    <col min="4" max="4" width="12.75" bestFit="1" customWidth="1"/>
    <col min="5" max="5" width="12.625" customWidth="1"/>
  </cols>
  <sheetData>
    <row r="2" spans="1:8">
      <c r="A2" s="3248" t="s">
        <v>3007</v>
      </c>
    </row>
    <row r="3" spans="1:8">
      <c r="B3" s="3248" t="s">
        <v>2919</v>
      </c>
      <c r="C3" s="3248" t="s">
        <v>3008</v>
      </c>
      <c r="D3" s="3248" t="s">
        <v>3009</v>
      </c>
      <c r="E3" s="3248" t="s">
        <v>3010</v>
      </c>
      <c r="F3" s="3248" t="s">
        <v>3011</v>
      </c>
      <c r="G3" s="3248" t="s">
        <v>3012</v>
      </c>
      <c r="H3" s="3248" t="s">
        <v>3013</v>
      </c>
    </row>
    <row r="4" spans="1:8">
      <c r="A4">
        <v>12</v>
      </c>
      <c r="B4">
        <v>107262.19</v>
      </c>
      <c r="C4">
        <v>205726.29</v>
      </c>
      <c r="D4">
        <v>137758.29</v>
      </c>
      <c r="E4">
        <v>67968</v>
      </c>
      <c r="G4">
        <f>D4+E4-C4</f>
        <v>0</v>
      </c>
      <c r="H4">
        <f>D4/B4</f>
        <v>1.2843136057542737</v>
      </c>
    </row>
    <row r="5" spans="1:8">
      <c r="A5">
        <v>13</v>
      </c>
      <c r="B5">
        <v>16438.45</v>
      </c>
      <c r="C5">
        <v>124393</v>
      </c>
      <c r="D5">
        <v>93893</v>
      </c>
      <c r="E5">
        <v>30500</v>
      </c>
      <c r="G5">
        <f t="shared" ref="G5:G8" si="0">D5+E5-C5</f>
        <v>0</v>
      </c>
      <c r="H5">
        <f>D5/B5</f>
        <v>5.7117915618565007</v>
      </c>
    </row>
    <row r="6" spans="1:8">
      <c r="A6">
        <v>15</v>
      </c>
      <c r="B6">
        <v>26148.81</v>
      </c>
      <c r="C6">
        <v>229453.86</v>
      </c>
      <c r="D6">
        <v>169953.86</v>
      </c>
      <c r="E6">
        <v>59500</v>
      </c>
      <c r="G6">
        <f t="shared" si="0"/>
        <v>0</v>
      </c>
      <c r="H6">
        <f>D6/B6</f>
        <v>6.4994873571684515</v>
      </c>
    </row>
    <row r="7" spans="1:8">
      <c r="A7">
        <v>11</v>
      </c>
      <c r="B7">
        <v>143657.93</v>
      </c>
      <c r="C7">
        <v>125118.75</v>
      </c>
      <c r="D7">
        <v>97483.75</v>
      </c>
      <c r="E7">
        <v>27635</v>
      </c>
      <c r="G7">
        <f t="shared" si="0"/>
        <v>0</v>
      </c>
      <c r="H7">
        <f>D7/B7</f>
        <v>0.67858244929465439</v>
      </c>
    </row>
    <row r="8" spans="1:8">
      <c r="A8" s="3248" t="s">
        <v>3014</v>
      </c>
      <c r="B8">
        <f>SUM(B4:B7)</f>
        <v>293507.38</v>
      </c>
      <c r="C8">
        <f t="shared" ref="C8:E8" si="1">SUM(C4:C7)</f>
        <v>684691.9</v>
      </c>
      <c r="D8">
        <f>SUM(D4:D7)</f>
        <v>499088.9</v>
      </c>
      <c r="E8">
        <f t="shared" si="1"/>
        <v>185603</v>
      </c>
      <c r="G8">
        <f t="shared" si="0"/>
        <v>0</v>
      </c>
      <c r="H8">
        <f>D8/B8</f>
        <v>1.7004304968413402</v>
      </c>
    </row>
    <row r="9" spans="1:8">
      <c r="A9" s="3284" t="s">
        <v>3007</v>
      </c>
      <c r="B9">
        <f>B4+B5+B6</f>
        <v>149849.45000000001</v>
      </c>
      <c r="C9">
        <f>C4+C5+C6</f>
        <v>559573.15</v>
      </c>
      <c r="D9">
        <f t="shared" ref="D9:E9" si="2">D4+D5+D6</f>
        <v>401605.15</v>
      </c>
      <c r="E9">
        <f t="shared" si="2"/>
        <v>157968</v>
      </c>
    </row>
    <row r="10" spans="1:8">
      <c r="A10" s="3248"/>
    </row>
    <row r="11" spans="1:8">
      <c r="B11" s="3248" t="s">
        <v>2919</v>
      </c>
      <c r="C11" s="3248" t="s">
        <v>3008</v>
      </c>
      <c r="D11" s="3248" t="s">
        <v>3009</v>
      </c>
      <c r="E11" s="3248" t="s">
        <v>3010</v>
      </c>
      <c r="F11" s="3248" t="s">
        <v>3011</v>
      </c>
      <c r="G11" s="3248" t="s">
        <v>3012</v>
      </c>
      <c r="H11" s="3248" t="s">
        <v>3013</v>
      </c>
    </row>
    <row r="12" spans="1:8">
      <c r="A12" s="3248" t="s">
        <v>3015</v>
      </c>
      <c r="B12">
        <v>143657.93</v>
      </c>
      <c r="C12">
        <v>136714.97</v>
      </c>
      <c r="D12">
        <v>92883.91</v>
      </c>
      <c r="E12">
        <v>43831.06</v>
      </c>
      <c r="F12">
        <v>89218.47</v>
      </c>
      <c r="H12">
        <f>D12/B12</f>
        <v>0.64656305433330419</v>
      </c>
    </row>
    <row r="13" spans="1:8">
      <c r="A13" s="3248" t="s">
        <v>3016</v>
      </c>
      <c r="B13">
        <v>75128.28</v>
      </c>
      <c r="H13">
        <v>0.62</v>
      </c>
    </row>
    <row r="14" spans="1:8">
      <c r="A14" s="3248" t="s">
        <v>3017</v>
      </c>
      <c r="B14">
        <v>17755.63</v>
      </c>
      <c r="C14">
        <f>B13+B14</f>
        <v>92883.91</v>
      </c>
    </row>
    <row r="15" spans="1:8">
      <c r="A15" s="3248" t="s">
        <v>3018</v>
      </c>
      <c r="B15">
        <v>1329</v>
      </c>
    </row>
    <row r="18" spans="1:8">
      <c r="A18" s="3248" t="s">
        <v>3019</v>
      </c>
      <c r="B18">
        <f>B19-B12</f>
        <v>153925.47000000003</v>
      </c>
      <c r="D18">
        <f>'[1]11期具体面积表'!K4+'[1]11期具体面积表'!K6</f>
        <v>90262.89</v>
      </c>
    </row>
    <row r="19" spans="1:8">
      <c r="A19" s="3248" t="s">
        <v>2919</v>
      </c>
      <c r="B19">
        <v>297583.40000000002</v>
      </c>
      <c r="C19">
        <f>491360</f>
        <v>491360</v>
      </c>
      <c r="D19">
        <f>C19-D18</f>
        <v>401097.11</v>
      </c>
      <c r="F19" s="3248"/>
    </row>
    <row r="20" spans="1:8" s="3288" customFormat="1">
      <c r="A20" s="3287"/>
      <c r="B20" s="3287" t="s">
        <v>3020</v>
      </c>
      <c r="C20" s="3287" t="s">
        <v>3008</v>
      </c>
      <c r="D20" s="3287" t="s">
        <v>3021</v>
      </c>
      <c r="E20" s="3287" t="s">
        <v>3022</v>
      </c>
      <c r="F20" s="3287" t="s">
        <v>3010</v>
      </c>
      <c r="G20" s="3287" t="s">
        <v>3013</v>
      </c>
    </row>
    <row r="21" spans="1:8">
      <c r="A21" s="3286">
        <v>12</v>
      </c>
      <c r="B21" s="3286">
        <f>ROUND(B4/$B$9*$B$18,2)</f>
        <v>110179.8</v>
      </c>
      <c r="C21" s="3286">
        <f>D21+E21+F21</f>
        <v>205726.29</v>
      </c>
      <c r="D21" s="3286">
        <f>ROUND(D4/$D$9*$D$19,2)</f>
        <v>137584.01999999999</v>
      </c>
      <c r="E21" s="3286">
        <f>D4-D21</f>
        <v>174.27000000001863</v>
      </c>
      <c r="F21" s="3286">
        <f>E4</f>
        <v>67968</v>
      </c>
      <c r="G21" s="3286">
        <f>ROUND(D21/B21,2)</f>
        <v>1.25</v>
      </c>
      <c r="H21" s="3248" t="s">
        <v>3017</v>
      </c>
    </row>
    <row r="22" spans="1:8">
      <c r="A22" s="3286">
        <v>13</v>
      </c>
      <c r="B22" s="3286">
        <f t="shared" ref="B22" si="3">ROUND(B5/$B$9*$B$18,2)</f>
        <v>16885.59</v>
      </c>
      <c r="C22" s="3286">
        <f t="shared" ref="C22" si="4">D22+E22+F22</f>
        <v>124393</v>
      </c>
      <c r="D22" s="3286">
        <f t="shared" ref="D22" si="5">ROUND(D5/$D$9*$D$19,2)</f>
        <v>93774.22</v>
      </c>
      <c r="E22" s="3286">
        <f t="shared" ref="E22" si="6">D5-D22</f>
        <v>118.77999999999884</v>
      </c>
      <c r="F22" s="3286">
        <f>E5</f>
        <v>30500</v>
      </c>
      <c r="G22" s="3286">
        <f t="shared" ref="G22:G23" si="7">ROUND(D22/B22,2)</f>
        <v>5.55</v>
      </c>
      <c r="H22" s="3248" t="s">
        <v>3023</v>
      </c>
    </row>
    <row r="23" spans="1:8">
      <c r="A23" s="3286">
        <v>15</v>
      </c>
      <c r="B23" s="3285">
        <f>B18-B21-B22</f>
        <v>26860.080000000027</v>
      </c>
      <c r="C23" s="3286">
        <f>D23+E23+F23</f>
        <v>229453.86</v>
      </c>
      <c r="D23" s="3286">
        <f>D19-D21-D22</f>
        <v>169738.86999999997</v>
      </c>
      <c r="E23" s="3286">
        <f>D6-D23</f>
        <v>214.99000000001979</v>
      </c>
      <c r="F23" s="3286">
        <f>E6</f>
        <v>59500</v>
      </c>
      <c r="G23" s="3286">
        <f t="shared" si="7"/>
        <v>6.32</v>
      </c>
      <c r="H23" s="3248" t="s">
        <v>3024</v>
      </c>
    </row>
    <row r="24" spans="1:8">
      <c r="A24" s="3285" t="s">
        <v>3014</v>
      </c>
      <c r="B24" s="3286">
        <f>SUM(B21:B23)</f>
        <v>153925.47000000003</v>
      </c>
      <c r="C24" s="3286">
        <f>SUM(C21:C23)</f>
        <v>559573.15</v>
      </c>
      <c r="D24" s="3286">
        <f>SUM(D21:D23)</f>
        <v>401097.11</v>
      </c>
      <c r="E24" s="3286">
        <f t="shared" ref="E24:F24" si="8">SUM(E21:E23)</f>
        <v>508.04000000003725</v>
      </c>
      <c r="F24" s="3286">
        <f t="shared" si="8"/>
        <v>157968</v>
      </c>
      <c r="G24" s="3286"/>
    </row>
    <row r="26" spans="1:8">
      <c r="D26">
        <f>2999-B15</f>
        <v>1670</v>
      </c>
    </row>
    <row r="27" spans="1:8">
      <c r="D27">
        <f>D26*35</f>
        <v>58450</v>
      </c>
    </row>
  </sheetData>
  <phoneticPr fontId="228"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9" t="s">
        <v>0</v>
      </c>
      <c r="B1" s="3369" t="s">
        <v>4</v>
      </c>
      <c r="C1" s="3369" t="s">
        <v>5</v>
      </c>
      <c r="D1" s="3370" t="s">
        <v>40</v>
      </c>
      <c r="E1" s="3370" t="s">
        <v>41</v>
      </c>
      <c r="F1" s="3370"/>
      <c r="G1" s="3370"/>
      <c r="H1" s="3370"/>
      <c r="I1" s="3370"/>
      <c r="J1" s="3370"/>
      <c r="K1" s="3370"/>
      <c r="L1" s="3370"/>
      <c r="M1" s="3370"/>
    </row>
    <row r="2" spans="1:13" ht="27" customHeight="1">
      <c r="A2" s="3369"/>
      <c r="B2" s="3369"/>
      <c r="C2" s="3369"/>
      <c r="D2" s="3370"/>
      <c r="E2" s="3370" t="s">
        <v>24</v>
      </c>
      <c r="F2" s="3370" t="s">
        <v>25</v>
      </c>
      <c r="G2" s="3370"/>
      <c r="H2" s="3370"/>
      <c r="I2" s="3370"/>
      <c r="J2" s="3370" t="s">
        <v>26</v>
      </c>
      <c r="K2" s="3370"/>
      <c r="L2" s="3370"/>
      <c r="M2" s="3370"/>
    </row>
    <row r="3" spans="1:13" ht="28.5">
      <c r="A3" s="3369"/>
      <c r="B3" s="3369"/>
      <c r="C3" s="3369"/>
      <c r="D3" s="3370"/>
      <c r="E3" s="33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0" t="s">
        <v>42</v>
      </c>
      <c r="B9" s="3370"/>
      <c r="C9" s="33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B17" sqref="B17:G3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0" t="s">
        <v>203</v>
      </c>
      <c r="B2" s="3380"/>
      <c r="C2" s="3380"/>
      <c r="D2" s="1888" t="s">
        <v>204</v>
      </c>
      <c r="E2" s="106" t="s">
        <v>205</v>
      </c>
      <c r="F2" s="3082"/>
      <c r="G2" s="1181"/>
      <c r="H2" s="1182"/>
      <c r="I2" s="1183" t="s">
        <v>849</v>
      </c>
      <c r="J2" s="3082"/>
      <c r="K2" s="3082"/>
      <c r="L2" s="3082"/>
      <c r="M2" s="3082"/>
      <c r="N2" s="3082"/>
      <c r="O2" s="3082"/>
      <c r="P2" s="3082"/>
    </row>
    <row r="3" spans="1:16" ht="15.75" thickBot="1">
      <c r="A3" s="3381" t="s">
        <v>206</v>
      </c>
      <c r="B3" s="3381"/>
      <c r="C3" s="3381"/>
      <c r="D3" s="107">
        <f>'数据-基础表'!AY6</f>
        <v>153925.47</v>
      </c>
      <c r="E3" s="107">
        <f>'数据-基础表'!AZ5</f>
        <v>559573.15</v>
      </c>
      <c r="F3" s="3082"/>
      <c r="G3" s="278" t="s">
        <v>850</v>
      </c>
      <c r="H3" s="273" t="s">
        <v>851</v>
      </c>
      <c r="I3" s="1889">
        <f>ROUND('数据-基础表'!B3/'数据-基础表'!A3,2)</f>
        <v>3.64</v>
      </c>
      <c r="J3" s="3082"/>
      <c r="K3" s="3082"/>
      <c r="L3" s="3082"/>
      <c r="M3" s="3082"/>
      <c r="N3" s="3082"/>
      <c r="O3" s="3082"/>
      <c r="P3" s="3082"/>
    </row>
    <row r="4" spans="1:16" ht="15">
      <c r="A4" s="3382"/>
      <c r="B4" s="3383"/>
      <c r="C4" s="3384"/>
      <c r="D4" s="108" t="s">
        <v>204</v>
      </c>
      <c r="E4" s="109" t="s">
        <v>205</v>
      </c>
      <c r="F4" s="3082"/>
      <c r="G4" s="1184"/>
      <c r="H4" s="273" t="s">
        <v>852</v>
      </c>
      <c r="I4" s="1889">
        <f>ROUND(SUMIF('数据-基础表'!I9:AS9,"地上",'数据-基础表'!I5:AS5)/'数据-基础表'!A3,2)</f>
        <v>2.61</v>
      </c>
      <c r="J4" s="3082"/>
      <c r="K4" s="3082"/>
      <c r="L4" s="3082"/>
      <c r="M4" s="3082"/>
      <c r="N4" s="3082"/>
      <c r="O4" s="3082"/>
      <c r="P4" s="3082"/>
    </row>
    <row r="5" spans="1:16">
      <c r="A5" s="110" t="s">
        <v>207</v>
      </c>
      <c r="B5" s="3385" t="s">
        <v>230</v>
      </c>
      <c r="C5" s="3385"/>
      <c r="D5" s="111">
        <f>ROUND($D$3*E5/$E$3,2)</f>
        <v>0</v>
      </c>
      <c r="E5" s="112">
        <f>SUMIF('数据-基础表'!$11:$11,"住宅",'数据-基础表'!$5:$5)</f>
        <v>0</v>
      </c>
      <c r="F5" s="3082"/>
      <c r="G5" s="278" t="s">
        <v>853</v>
      </c>
      <c r="H5" s="273" t="s">
        <v>851</v>
      </c>
      <c r="I5" s="1889">
        <f>ROUND(E31/D31,2)</f>
        <v>3.64</v>
      </c>
      <c r="J5" s="3082"/>
      <c r="K5" s="3082"/>
      <c r="L5" s="3082"/>
      <c r="M5" s="3082"/>
      <c r="N5" s="3082"/>
      <c r="O5" s="3082"/>
      <c r="P5" s="3082"/>
    </row>
    <row r="6" spans="1:16" ht="15" thickBot="1">
      <c r="A6" s="113"/>
      <c r="B6" s="3385" t="s">
        <v>208</v>
      </c>
      <c r="C6" s="3385"/>
      <c r="D6" s="111">
        <f>ROUND($D$3*E6/$E$3,2)</f>
        <v>153925.47</v>
      </c>
      <c r="E6" s="112">
        <f>E3-E5</f>
        <v>559573.15</v>
      </c>
      <c r="F6" s="3082"/>
      <c r="G6" s="1184"/>
      <c r="H6" s="273" t="s">
        <v>852</v>
      </c>
      <c r="I6" s="1889">
        <f>ROUND(F31/D31,2)</f>
        <v>2.61</v>
      </c>
      <c r="J6" s="3082"/>
      <c r="K6" s="3082"/>
      <c r="L6" s="3082"/>
      <c r="M6" s="3082"/>
      <c r="N6" s="3082"/>
      <c r="O6" s="3082"/>
      <c r="P6" s="3082"/>
    </row>
    <row r="7" spans="1:16" ht="15">
      <c r="A7" s="3377"/>
      <c r="B7" s="3378"/>
      <c r="C7" s="3379"/>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110332.42</v>
      </c>
      <c r="E8" s="116">
        <f>SUMIF('数据-基础表'!BB10:BK10,"地上",'数据-基础表'!BB5:BK5)</f>
        <v>401097.11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16078.23</v>
      </c>
      <c r="E14" s="116">
        <f>SUMPRODUCT(('数据-基础表'!BB10:BK10="地下")*('数据-基础表'!BB11:BK11="车库—商业")*('数据-基础表'!BB5:BK5))</f>
        <v>58450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126410.65</v>
      </c>
      <c r="E16" s="120">
        <f>SUM(E8:E15)</f>
        <v>459547.11</v>
      </c>
      <c r="F16" s="3082"/>
      <c r="G16" s="3083"/>
      <c r="H16" s="956" t="s">
        <v>219</v>
      </c>
      <c r="I16" s="957"/>
      <c r="J16" s="1897"/>
      <c r="K16" s="3371" t="s">
        <v>2548</v>
      </c>
      <c r="L16" s="3372"/>
      <c r="M16" s="3372"/>
      <c r="N16" s="3372"/>
      <c r="O16" s="3372"/>
      <c r="P16" s="3373"/>
    </row>
    <row r="17" spans="1:19" ht="15">
      <c r="A17" s="121" t="s">
        <v>216</v>
      </c>
      <c r="B17" s="122" t="s">
        <v>217</v>
      </c>
      <c r="C17" s="2177" t="s">
        <v>2301</v>
      </c>
      <c r="D17" s="108" t="s">
        <v>204</v>
      </c>
      <c r="E17" s="124" t="s">
        <v>205</v>
      </c>
      <c r="F17" s="125"/>
      <c r="G17" s="1318"/>
      <c r="H17" s="958" t="s">
        <v>218</v>
      </c>
      <c r="I17" s="959" t="s">
        <v>2300</v>
      </c>
      <c r="J17" s="1897"/>
      <c r="K17" s="3374" t="s">
        <v>2549</v>
      </c>
      <c r="L17" s="3375"/>
      <c r="M17" s="3376"/>
      <c r="N17" s="3374" t="s">
        <v>2550</v>
      </c>
      <c r="O17" s="3375"/>
      <c r="P17" s="3376"/>
      <c r="R17" s="2178" t="s">
        <v>2299</v>
      </c>
      <c r="S17" s="142"/>
    </row>
    <row r="18" spans="1:19" ht="15">
      <c r="A18" s="117"/>
      <c r="B18" s="128"/>
      <c r="C18" s="129"/>
      <c r="D18" s="2483"/>
      <c r="E18" s="130" t="s">
        <v>220</v>
      </c>
      <c r="F18" s="131" t="s">
        <v>221</v>
      </c>
      <c r="G18" s="1319"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3032</v>
      </c>
      <c r="D19" s="111">
        <f t="shared" ref="D19:D26" si="1">ROUND($D$3*E19/$E$3,2)</f>
        <v>37846.14</v>
      </c>
      <c r="E19" s="134">
        <f t="shared" ref="E19:E26" si="2">SUM(F19:G19)</f>
        <v>137584.01999999999</v>
      </c>
      <c r="F19" s="3084">
        <f>'数据-基础表'!I13</f>
        <v>137584.01999999999</v>
      </c>
      <c r="G19" s="3085"/>
      <c r="H19" s="962">
        <f>ROUND($D$3*I19/$E$3,2)</f>
        <v>8237.67</v>
      </c>
      <c r="I19" s="116">
        <f>IF($I$17="自定义",P19,M19)</f>
        <v>29946.84</v>
      </c>
      <c r="J19" s="1897"/>
      <c r="K19" s="2451">
        <f t="shared" ref="K19:K26" si="3">ROUND(E$28*E19/E$27,2)</f>
        <v>29946.84</v>
      </c>
      <c r="L19" s="273">
        <f t="shared" ref="L19:L26" si="4">ROUND(IF(COUNTIF(C19,"*住宅*")&gt;0,E$29*E19/E$32,0),2)</f>
        <v>0</v>
      </c>
      <c r="M19" s="2452">
        <f>K19+L19</f>
        <v>29946.84</v>
      </c>
      <c r="N19" s="2453"/>
      <c r="O19" s="2454"/>
      <c r="P19" s="2455">
        <f>N19+O19</f>
        <v>0</v>
      </c>
      <c r="R19" s="273">
        <f t="shared" ref="R19:S26" si="5">D19+H19</f>
        <v>46083.81</v>
      </c>
      <c r="S19" s="2180">
        <f t="shared" si="5"/>
        <v>167530.85999999999</v>
      </c>
    </row>
    <row r="20" spans="1:19">
      <c r="A20" s="137"/>
      <c r="B20" s="115" t="s">
        <v>226</v>
      </c>
      <c r="C20" s="2737" t="s">
        <v>3034</v>
      </c>
      <c r="D20" s="111">
        <f t="shared" si="1"/>
        <v>25795.09</v>
      </c>
      <c r="E20" s="134">
        <f t="shared" si="2"/>
        <v>93774.22</v>
      </c>
      <c r="F20" s="3084">
        <f>'数据-基础表'!M13</f>
        <v>93774.22</v>
      </c>
      <c r="G20" s="3085"/>
      <c r="H20" s="962">
        <f t="shared" ref="H20:H26" si="6">ROUND($D$3*I20/$E$3,2)</f>
        <v>5614.62</v>
      </c>
      <c r="I20" s="116">
        <f t="shared" ref="I20:I26" si="7">IF($I$17="自定义",P20,M20)</f>
        <v>20411.099999999999</v>
      </c>
      <c r="J20" s="1897"/>
      <c r="K20" s="2451">
        <f t="shared" si="3"/>
        <v>20411.099999999999</v>
      </c>
      <c r="L20" s="273">
        <f t="shared" si="4"/>
        <v>0</v>
      </c>
      <c r="M20" s="2452">
        <f t="shared" ref="M20:M26" si="8">K20+L20</f>
        <v>20411.099999999999</v>
      </c>
      <c r="N20" s="2453"/>
      <c r="O20" s="2454"/>
      <c r="P20" s="2455">
        <f t="shared" ref="P20:P26" si="9">N20+O20</f>
        <v>0</v>
      </c>
      <c r="R20" s="273">
        <f t="shared" si="5"/>
        <v>31409.71</v>
      </c>
      <c r="S20" s="2180">
        <f t="shared" si="5"/>
        <v>114185.32</v>
      </c>
    </row>
    <row r="21" spans="1:19">
      <c r="A21" s="137"/>
      <c r="B21" s="115" t="s">
        <v>226</v>
      </c>
      <c r="C21" s="2737" t="s">
        <v>3035</v>
      </c>
      <c r="D21" s="111">
        <f t="shared" si="1"/>
        <v>46691.19</v>
      </c>
      <c r="E21" s="134">
        <f t="shared" si="2"/>
        <v>169738.86999999997</v>
      </c>
      <c r="F21" s="3084">
        <f>'数据-基础表'!K13</f>
        <v>169738.86999999997</v>
      </c>
      <c r="G21" s="3085"/>
      <c r="H21" s="962">
        <f t="shared" si="6"/>
        <v>10162.91</v>
      </c>
      <c r="I21" s="116">
        <f t="shared" si="7"/>
        <v>36945.74</v>
      </c>
      <c r="J21" s="1897"/>
      <c r="K21" s="2451">
        <f t="shared" si="3"/>
        <v>36945.74</v>
      </c>
      <c r="L21" s="273">
        <f t="shared" si="4"/>
        <v>0</v>
      </c>
      <c r="M21" s="2452">
        <f t="shared" si="8"/>
        <v>36945.74</v>
      </c>
      <c r="N21" s="2453"/>
      <c r="O21" s="2454"/>
      <c r="P21" s="2455">
        <f t="shared" si="9"/>
        <v>0</v>
      </c>
      <c r="R21" s="273">
        <f t="shared" si="5"/>
        <v>56854.100000000006</v>
      </c>
      <c r="S21" s="2180">
        <f t="shared" si="5"/>
        <v>206684.60999999996</v>
      </c>
    </row>
    <row r="22" spans="1:19">
      <c r="A22" s="137"/>
      <c r="B22" s="115" t="s">
        <v>226</v>
      </c>
      <c r="C22" s="3289" t="s">
        <v>3036</v>
      </c>
      <c r="D22" s="111">
        <f t="shared" si="1"/>
        <v>16078.23</v>
      </c>
      <c r="E22" s="134">
        <f t="shared" si="2"/>
        <v>58450</v>
      </c>
      <c r="F22" s="3086"/>
      <c r="G22" s="3087">
        <f>面积!D27</f>
        <v>58450</v>
      </c>
      <c r="H22" s="962">
        <f t="shared" si="6"/>
        <v>3499.62</v>
      </c>
      <c r="I22" s="116">
        <f t="shared" si="7"/>
        <v>12722.36</v>
      </c>
      <c r="J22" s="1897"/>
      <c r="K22" s="2451">
        <f t="shared" si="3"/>
        <v>12722.36</v>
      </c>
      <c r="L22" s="273">
        <f t="shared" si="4"/>
        <v>0</v>
      </c>
      <c r="M22" s="2452">
        <f t="shared" si="8"/>
        <v>12722.36</v>
      </c>
      <c r="N22" s="2453"/>
      <c r="O22" s="2454"/>
      <c r="P22" s="2455">
        <f t="shared" si="9"/>
        <v>0</v>
      </c>
      <c r="R22" s="273">
        <f t="shared" si="5"/>
        <v>19577.849999999999</v>
      </c>
      <c r="S22" s="2180">
        <f t="shared" si="5"/>
        <v>71172.36</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126410.65</v>
      </c>
      <c r="E27" s="141">
        <f>IF(SUM(E19:E26)='数据-基础表'!BA5,SUM(E19:E26),IF(F27="地上面积有误","面积有误","地下面积有误"))</f>
        <v>459547.11</v>
      </c>
      <c r="F27" s="134">
        <f>IF(SUM(F19:F26)=E8,SUM(F19:F26),"地上面积有误")</f>
        <v>401097.11</v>
      </c>
      <c r="G27" s="112">
        <f>SUM(G19:G26)</f>
        <v>58450</v>
      </c>
      <c r="H27" s="963">
        <f>SUM(H19:H26)</f>
        <v>27514.82</v>
      </c>
      <c r="I27" s="964">
        <f>SUM(I19:I26)</f>
        <v>100026.04</v>
      </c>
      <c r="J27" s="1897"/>
      <c r="K27" s="2460">
        <f>SUM(K19:K26)</f>
        <v>100026.04</v>
      </c>
      <c r="L27" s="2461">
        <f>SUM(L19:L26)</f>
        <v>0</v>
      </c>
      <c r="M27" s="2462">
        <f>SUM(M19:M26)</f>
        <v>100026.04</v>
      </c>
      <c r="N27" s="2460">
        <f t="shared" ref="N27:O27" si="10">SUM(N19:N26)</f>
        <v>0</v>
      </c>
      <c r="O27" s="2461">
        <f t="shared" si="10"/>
        <v>0</v>
      </c>
      <c r="P27" s="2463">
        <f>SUM(P19:P26)</f>
        <v>0</v>
      </c>
      <c r="R27" s="2184">
        <f>IF(SUM(R19:R26)=$D$3,SUM(R19:R26),SUM(R19:R26)&amp;"误差"&amp;ROUND(SUM(R19:R26)-$D$3,2))</f>
        <v>153925.47</v>
      </c>
      <c r="S27" s="273">
        <f>IF(SUM(S19:S26)=$E$3,SUM(S19:S26),SUM(S19:S26)&amp;"误差"&amp;ROUND(SUM(S19:S26)-E3,2))</f>
        <v>559573.14999999991</v>
      </c>
    </row>
    <row r="28" spans="1:19">
      <c r="A28" s="137"/>
      <c r="B28" s="115" t="s">
        <v>227</v>
      </c>
      <c r="C28" s="135" t="s">
        <v>228</v>
      </c>
      <c r="D28" s="111">
        <f>ROUND($D$3*E28/$E$3,2)</f>
        <v>27514.82</v>
      </c>
      <c r="E28" s="134">
        <f>SUM(F28:G28)</f>
        <v>100026.04000000004</v>
      </c>
      <c r="F28" s="142">
        <f>'数据-基础表'!BQ5+'数据-基础表'!BS5</f>
        <v>508.04000000003725</v>
      </c>
      <c r="G28" s="143">
        <f>'数据-基础表'!BR5+'数据-基础表'!BT5</f>
        <v>99518</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27514.82</v>
      </c>
      <c r="E30" s="134">
        <f>SUM(E28:E29)</f>
        <v>100026.04000000004</v>
      </c>
      <c r="F30" s="134">
        <f>SUM(F28:F29)</f>
        <v>508.04000000003725</v>
      </c>
      <c r="G30" s="112">
        <f>SUM(G28:G29)</f>
        <v>99518</v>
      </c>
      <c r="H30" s="3082"/>
      <c r="I30" s="3082"/>
      <c r="J30" s="3082"/>
      <c r="K30" s="3082"/>
      <c r="L30" s="3082"/>
      <c r="M30" s="3082"/>
      <c r="N30" s="3082"/>
      <c r="O30" s="3082"/>
      <c r="P30" s="3082"/>
    </row>
    <row r="31" spans="1:19" ht="32.25" customHeight="1" thickBot="1">
      <c r="A31" s="1320"/>
      <c r="B31" s="1321" t="s">
        <v>229</v>
      </c>
      <c r="C31" s="2209" t="s">
        <v>2310</v>
      </c>
      <c r="D31" s="1322">
        <f>D27+D30</f>
        <v>153925.47</v>
      </c>
      <c r="E31" s="1322">
        <f>E27+E30</f>
        <v>559573.15</v>
      </c>
      <c r="F31" s="1323">
        <f>F27+F30</f>
        <v>401605.15</v>
      </c>
      <c r="G31" s="1324">
        <f>G27+G30</f>
        <v>157968</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tabSelected="1" zoomScale="90" zoomScaleNormal="90" workbookViewId="0">
      <pane xSplit="3" ySplit="5" topLeftCell="L6" activePane="bottomRight" state="frozen"/>
      <selection pane="topRight" activeCell="D1" sqref="D1"/>
      <selection pane="bottomLeft" activeCell="A4" sqref="A4"/>
      <selection pane="bottomRight" activeCell="B21" sqref="B21"/>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44187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2976</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v>
      </c>
      <c r="B6" s="2216" t="str">
        <f>IF(A6=0,"","经营性")</f>
        <v>经营性</v>
      </c>
      <c r="C6" s="171" t="s">
        <v>3006</v>
      </c>
      <c r="D6" s="2187">
        <f>SUMIF(项目基本情况!D$15:I$15,C6,项目基本情况!D$18:I$18)</f>
        <v>40</v>
      </c>
      <c r="E6" s="2188">
        <f>IF(B6="","",SUMIF(项目基本情况!D$15:I$15,C6,项目基本情况!D$17:I$17))</f>
        <v>59849</v>
      </c>
      <c r="F6" s="172">
        <f>SUMIF(项目基本情况!D$15:I$15,C6,项目基本情况!D$19:I$19)</f>
        <v>40</v>
      </c>
      <c r="G6" s="173">
        <f>IF(ISERROR(ROUND(POWER(1+H6,D6-F6)*(POWER(1+H6,F6)-1)/(POWER(1+H6,D6)-1),3)),0,ROUND(POWER(1+H6,D6-F6)*(POWER(1+H6,F6)-1)/(POWER(1+H6,D6)-1),3))</f>
        <v>1</v>
      </c>
      <c r="H6" s="2738">
        <v>0.05</v>
      </c>
      <c r="I6" s="2738">
        <v>5.5E-2</v>
      </c>
      <c r="J6" s="174">
        <v>8.5000000000000006E-2</v>
      </c>
      <c r="K6" s="177">
        <f>SUMIF('数据-汇总表'!C$19:C$33,'数据-取费表'!A6,'数据-汇总表'!E$19:E$33)</f>
        <v>137584.01999999999</v>
      </c>
      <c r="L6" s="2739">
        <v>3500</v>
      </c>
      <c r="M6" s="175">
        <f t="shared" ref="M6:M14" si="0">ROUND(K6*L6/10000,0)</f>
        <v>48154</v>
      </c>
      <c r="N6" s="2740">
        <v>0</v>
      </c>
      <c r="O6" s="175">
        <f>IF($N$5="成新度","——",ROUND(M6*N6,0))</f>
        <v>0</v>
      </c>
      <c r="P6" s="176">
        <f>IF($N$5="成新度","——",M6-O6)</f>
        <v>48154</v>
      </c>
      <c r="Q6" s="2741">
        <v>0.2</v>
      </c>
      <c r="R6" s="177">
        <f>SUMIF('数据-汇总表'!C$19:C$33,A6,'数据-汇总表'!R$19:R$33)</f>
        <v>46083.81</v>
      </c>
      <c r="S6" s="132">
        <f>IF('数据-汇总表'!$I$17="按面积比例",SUMIF('数据-汇总表'!C$19:C$33,A6,'数据-汇总表'!K$19:K$33),SUMIF('数据-汇总表'!C$19:C$33,A6,'数据-汇总表'!N$19:N$33))</f>
        <v>29946.84</v>
      </c>
      <c r="T6" s="2113">
        <f>IF($T$4="按面积比例",IF(ISERROR(ROUND($M$14*S6/S$16,0)),"0",ROUND($M$14*S6/S$16,0)),"需自行计算录入")</f>
        <v>7487</v>
      </c>
      <c r="U6" s="178">
        <v>2.5</v>
      </c>
      <c r="V6" s="179">
        <v>2.5000000000000001E-2</v>
      </c>
      <c r="W6" s="179">
        <v>0.15</v>
      </c>
      <c r="X6" s="2200"/>
      <c r="Y6" s="180">
        <v>1</v>
      </c>
      <c r="Z6" s="181"/>
      <c r="AA6" s="174"/>
      <c r="AB6" s="174"/>
      <c r="AC6" s="2203"/>
      <c r="AD6" s="182"/>
      <c r="AE6" s="960">
        <f ca="1">IF(AN6="",0,SUMIF(INDIRECT("'"&amp;AN6&amp;"'"&amp;"!E:E"),$AE$5,INDIRECT("'"&amp;AN6&amp;"'"&amp;"!F:F")))</f>
        <v>37</v>
      </c>
      <c r="AF6" s="139"/>
      <c r="AG6" s="1196">
        <f>IF(AF6="",0,AE6-AF6)</f>
        <v>0</v>
      </c>
      <c r="AH6" s="139"/>
      <c r="AI6" s="185">
        <v>365</v>
      </c>
      <c r="AJ6" s="186"/>
      <c r="AK6" s="187">
        <v>1.4999999999999999E-2</v>
      </c>
      <c r="AL6" s="188">
        <v>1.5E-3</v>
      </c>
      <c r="AM6" s="2752">
        <v>0.02</v>
      </c>
      <c r="AN6" s="3290" t="s">
        <v>3042</v>
      </c>
      <c r="AO6" s="3092"/>
      <c r="AP6" s="1187">
        <f>ROUND(1-1/(1+H6)^F6,3)</f>
        <v>0.85799999999999998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产权酒店</v>
      </c>
      <c r="B7" s="2216" t="str">
        <f t="shared" ref="B7:B13" si="1">IF(A7=0,"","经营性")</f>
        <v>经营性</v>
      </c>
      <c r="C7" s="171" t="s">
        <v>3006</v>
      </c>
      <c r="D7" s="2187">
        <f>SUMIF(项目基本情况!D$15:I$15,C7,项目基本情况!D$18:I$18)</f>
        <v>40</v>
      </c>
      <c r="E7" s="2188">
        <f>IF(B7="","",SUMIF(项目基本情况!D$15:I$15,C7,项目基本情况!D$17:I$17))</f>
        <v>59849</v>
      </c>
      <c r="F7" s="172">
        <f>SUMIF(项目基本情况!D$15:I$15,C7,项目基本情况!D$19:I$19)</f>
        <v>40</v>
      </c>
      <c r="G7" s="173">
        <f t="shared" ref="G7:G11" si="2">IF(ISERROR(ROUND(POWER(1+H7,D7-F7)*(POWER(1+H7,F7)-1)/(POWER(1+H7,D7)-1),3)),0,ROUND(POWER(1+H7,D7-F7)*(POWER(1+H7,F7)-1)/(POWER(1+H7,D7)-1),3))</f>
        <v>1</v>
      </c>
      <c r="H7" s="2738">
        <v>0.05</v>
      </c>
      <c r="I7" s="2738">
        <v>5.5E-2</v>
      </c>
      <c r="J7" s="174">
        <v>8.5000000000000006E-2</v>
      </c>
      <c r="K7" s="177">
        <f>SUMIF('数据-汇总表'!C$19:C$33,'数据-取费表'!A7,'数据-汇总表'!E$19:E$33)</f>
        <v>93774.22</v>
      </c>
      <c r="L7" s="2739">
        <f>3500+1000</f>
        <v>4500</v>
      </c>
      <c r="M7" s="175">
        <f t="shared" si="0"/>
        <v>42198</v>
      </c>
      <c r="N7" s="2740">
        <v>0</v>
      </c>
      <c r="O7" s="175">
        <f t="shared" ref="O7:O14" si="3">IF($N$5="成新度","——",ROUND(M7*N7,0))</f>
        <v>0</v>
      </c>
      <c r="P7" s="176">
        <f t="shared" ref="P7:P14" si="4">IF($N$5="成新度","——",M7-O7)</f>
        <v>42198</v>
      </c>
      <c r="Q7" s="2741">
        <f>Q6</f>
        <v>0.2</v>
      </c>
      <c r="R7" s="177">
        <f>SUMIF('数据-汇总表'!C$19:C$33,A7,'数据-汇总表'!R$19:R$33)</f>
        <v>31409.71</v>
      </c>
      <c r="S7" s="132">
        <f>IF('数据-汇总表'!$I$17="按面积比例",SUMIF('数据-汇总表'!C$19:C$33,A7,'数据-汇总表'!K$19:K$33),SUMIF('数据-汇总表'!C$19:C$33,A7,'数据-汇总表'!N$19:N$33))</f>
        <v>20411.099999999999</v>
      </c>
      <c r="T7" s="2113">
        <f t="shared" ref="T7:T13" si="5">IF($T$4="按面积比例",IF(ISERROR(ROUND($M$14*S7/S$16,0)),"0",ROUND($M$14*S7/S$16,0)),"需自行计算录入")</f>
        <v>5103</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0.85799999999999998</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办公</v>
      </c>
      <c r="B8" s="2216" t="str">
        <f t="shared" si="1"/>
        <v>经营性</v>
      </c>
      <c r="C8" s="171" t="s">
        <v>3006</v>
      </c>
      <c r="D8" s="2187">
        <f>SUMIF(项目基本情况!D$15:I$15,C8,项目基本情况!D$18:I$18)</f>
        <v>40</v>
      </c>
      <c r="E8" s="2188">
        <f>IF(B8="","",SUMIF(项目基本情况!D$15:I$15,C8,项目基本情况!D$17:I$17))</f>
        <v>59849</v>
      </c>
      <c r="F8" s="172">
        <f>SUMIF(项目基本情况!D$15:I$15,C8,项目基本情况!D$19:I$19)</f>
        <v>40</v>
      </c>
      <c r="G8" s="173">
        <f t="shared" si="2"/>
        <v>1</v>
      </c>
      <c r="H8" s="2738">
        <v>0.05</v>
      </c>
      <c r="I8" s="2738">
        <v>5.5E-2</v>
      </c>
      <c r="J8" s="174">
        <v>8.5000000000000006E-2</v>
      </c>
      <c r="K8" s="177">
        <f>SUMIF('数据-汇总表'!C$19:C$33,'数据-取费表'!A8,'数据-汇总表'!E$19:E$33)</f>
        <v>169738.86999999997</v>
      </c>
      <c r="L8" s="2739">
        <v>3500</v>
      </c>
      <c r="M8" s="175">
        <f>ROUND(K8*L8/10000,0)</f>
        <v>59409</v>
      </c>
      <c r="N8" s="2740">
        <v>0</v>
      </c>
      <c r="O8" s="175">
        <f t="shared" si="3"/>
        <v>0</v>
      </c>
      <c r="P8" s="176">
        <f t="shared" si="4"/>
        <v>59409</v>
      </c>
      <c r="Q8" s="2741">
        <f>Q6</f>
        <v>0.2</v>
      </c>
      <c r="R8" s="177">
        <f>SUMIF('数据-汇总表'!C$19:C$33,A8,'数据-汇总表'!R$19:R$33)</f>
        <v>56854.100000000006</v>
      </c>
      <c r="S8" s="132">
        <f>IF('数据-汇总表'!$I$17="按面积比例",SUMIF('数据-汇总表'!C$19:C$33,A8,'数据-汇总表'!K$19:K$33),SUMIF('数据-汇总表'!C$19:C$33,A8,'数据-汇总表'!N$19:N$33))</f>
        <v>36945.74</v>
      </c>
      <c r="T8" s="2113">
        <f t="shared" si="5"/>
        <v>9237</v>
      </c>
      <c r="U8" s="178">
        <v>3</v>
      </c>
      <c r="V8" s="179">
        <v>2.5000000000000001E-2</v>
      </c>
      <c r="W8" s="179">
        <v>0.15</v>
      </c>
      <c r="X8" s="2200"/>
      <c r="Y8" s="180">
        <v>1</v>
      </c>
      <c r="Z8" s="181"/>
      <c r="AA8" s="174"/>
      <c r="AB8" s="174"/>
      <c r="AC8" s="2203"/>
      <c r="AD8" s="182"/>
      <c r="AE8" s="960">
        <f t="shared" ca="1" si="6"/>
        <v>37</v>
      </c>
      <c r="AF8" s="139"/>
      <c r="AG8" s="1196">
        <f t="shared" si="7"/>
        <v>0</v>
      </c>
      <c r="AH8" s="139"/>
      <c r="AI8" s="185">
        <v>365</v>
      </c>
      <c r="AJ8" s="186"/>
      <c r="AK8" s="187">
        <v>1.4999999999999999E-2</v>
      </c>
      <c r="AL8" s="188">
        <v>1.5E-3</v>
      </c>
      <c r="AM8" s="2244">
        <v>0.02</v>
      </c>
      <c r="AN8" s="3290" t="s">
        <v>3043</v>
      </c>
      <c r="AO8" s="3092"/>
      <c r="AP8" s="1187">
        <f t="shared" si="8"/>
        <v>0.85799999999999998</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地下车库</v>
      </c>
      <c r="B9" s="2216" t="str">
        <f t="shared" si="1"/>
        <v>经营性</v>
      </c>
      <c r="C9" s="171" t="s">
        <v>3006</v>
      </c>
      <c r="D9" s="2187">
        <f>SUMIF(项目基本情况!D$15:I$15,C9,项目基本情况!D$18:I$18)</f>
        <v>40</v>
      </c>
      <c r="E9" s="2188">
        <f>IF(B9="","",SUMIF(项目基本情况!D$15:I$15,C9,项目基本情况!D$17:I$17))</f>
        <v>59849</v>
      </c>
      <c r="F9" s="172">
        <f>SUMIF(项目基本情况!D$15:I$15,C9,项目基本情况!D$19:I$19)</f>
        <v>40</v>
      </c>
      <c r="G9" s="173">
        <f t="shared" si="2"/>
        <v>0</v>
      </c>
      <c r="H9" s="3294"/>
      <c r="I9" s="174">
        <v>0.05</v>
      </c>
      <c r="J9" s="174">
        <v>8.5000000000000006E-2</v>
      </c>
      <c r="K9" s="177">
        <f>SUMIF('数据-汇总表'!C$19:C$33,'数据-取费表'!A9,'数据-汇总表'!E$19:E$33)</f>
        <v>58450</v>
      </c>
      <c r="L9" s="191">
        <v>2500</v>
      </c>
      <c r="M9" s="175">
        <f t="shared" si="0"/>
        <v>14613</v>
      </c>
      <c r="N9" s="192">
        <v>0</v>
      </c>
      <c r="O9" s="175">
        <f t="shared" si="3"/>
        <v>0</v>
      </c>
      <c r="P9" s="176">
        <f t="shared" si="4"/>
        <v>14613</v>
      </c>
      <c r="Q9" s="190">
        <v>0.03</v>
      </c>
      <c r="R9" s="177">
        <f>SUMIF('数据-汇总表'!C$19:C$33,A9,'数据-汇总表'!R$19:R$33)</f>
        <v>19577.849999999999</v>
      </c>
      <c r="S9" s="132">
        <f>IF('数据-汇总表'!$I$17="按面积比例",SUMIF('数据-汇总表'!C$19:C$33,A9,'数据-汇总表'!K$19:K$33),SUMIF('数据-汇总表'!C$19:C$33,A9,'数据-汇总表'!N$19:N$33))</f>
        <v>12722.36</v>
      </c>
      <c r="T9" s="2113">
        <f t="shared" si="5"/>
        <v>3181</v>
      </c>
      <c r="U9" s="178">
        <v>500</v>
      </c>
      <c r="V9" s="179">
        <v>0.02</v>
      </c>
      <c r="W9" s="179">
        <v>0.1</v>
      </c>
      <c r="X9" s="2200"/>
      <c r="Y9" s="180">
        <v>1</v>
      </c>
      <c r="Z9" s="181"/>
      <c r="AA9" s="174"/>
      <c r="AB9" s="174"/>
      <c r="AC9" s="2203"/>
      <c r="AD9" s="182"/>
      <c r="AE9" s="960">
        <f t="shared" ca="1" si="6"/>
        <v>37</v>
      </c>
      <c r="AF9" s="139"/>
      <c r="AG9" s="1196">
        <f t="shared" si="7"/>
        <v>0</v>
      </c>
      <c r="AH9" s="139">
        <f>面积!D26</f>
        <v>1670</v>
      </c>
      <c r="AI9" s="185">
        <v>12</v>
      </c>
      <c r="AJ9" s="186"/>
      <c r="AK9" s="3291">
        <v>5.0000000000000001E-3</v>
      </c>
      <c r="AL9" s="3292">
        <v>1E-3</v>
      </c>
      <c r="AM9" s="3293">
        <v>0.01</v>
      </c>
      <c r="AN9" s="3290" t="s">
        <v>3037</v>
      </c>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100026.04000000004</v>
      </c>
      <c r="L14" s="191">
        <f>L9</f>
        <v>2500</v>
      </c>
      <c r="M14" s="175">
        <f t="shared" si="0"/>
        <v>25007</v>
      </c>
      <c r="N14" s="192">
        <v>0</v>
      </c>
      <c r="O14" s="175">
        <f t="shared" si="3"/>
        <v>0</v>
      </c>
      <c r="P14" s="176">
        <f t="shared" si="4"/>
        <v>25007</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559573.15</v>
      </c>
      <c r="L16" s="204">
        <f>ROUND(M16*10000/SUM(K6:K14),0)</f>
        <v>3384</v>
      </c>
      <c r="M16" s="204">
        <f>SUM(M6:M14)</f>
        <v>189381</v>
      </c>
      <c r="N16" s="205">
        <f>ROUND(SUMPRODUCT(M6:M14,N6:N14)/M16,3)</f>
        <v>0</v>
      </c>
      <c r="O16" s="204">
        <f>SUM(O6:O14)</f>
        <v>0</v>
      </c>
      <c r="P16" s="204">
        <f>SUM(P6:P14)</f>
        <v>189381</v>
      </c>
      <c r="Q16" s="206">
        <f>ROUND(SUMPRODUCT(Q6:Q13,K6:K13)/SUMPRODUCT((Q6:Q13&gt;0)*(K6:K13)),2)</f>
        <v>0.18</v>
      </c>
      <c r="R16" s="2190">
        <f>SUM(R6:R13)</f>
        <v>153925.47</v>
      </c>
      <c r="S16" s="207">
        <f>SUM(S6:S13)</f>
        <v>100026.04</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0.85799999999999998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2989</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3</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220</v>
      </c>
      <c r="C27" s="3105" t="s">
        <v>2990</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220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100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8">
        <v>100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29">
        <v>0.03</v>
      </c>
      <c r="C33" s="3107" t="s">
        <v>2977</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2978</v>
      </c>
      <c r="D34" s="3108" t="s">
        <v>2986</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2979</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2980</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2981</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2981</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2982</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2987</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2983</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2984</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2991</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2983</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2985</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18</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1087</v>
      </c>
      <c r="C53" s="3100" t="s">
        <v>2873</v>
      </c>
      <c r="D53" s="3111" t="s">
        <v>2988</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v>18</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86" t="s">
        <v>1654</v>
      </c>
      <c r="B1" s="3387"/>
      <c r="C1" s="3387"/>
      <c r="D1" s="3387"/>
      <c r="E1" s="3387"/>
      <c r="F1" s="3387"/>
      <c r="G1" s="338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B14" sqref="B14"/>
    </sheetView>
  </sheetViews>
  <sheetFormatPr defaultColWidth="14.625" defaultRowHeight="13.5"/>
  <cols>
    <col min="1" max="1" width="24.375" style="3186" customWidth="1"/>
    <col min="2" max="16384" width="14.625" style="3186"/>
  </cols>
  <sheetData>
    <row r="1" spans="1:10" ht="16.5">
      <c r="A1" s="3185" t="s">
        <v>2824</v>
      </c>
      <c r="B1" s="3185">
        <f>SUM(B14:B23)</f>
        <v>559573.15</v>
      </c>
      <c r="C1" s="3194"/>
      <c r="D1" s="3194"/>
      <c r="E1" s="3194"/>
      <c r="F1" s="3194"/>
      <c r="G1" s="3195"/>
      <c r="H1" s="3195"/>
      <c r="I1" s="3195"/>
      <c r="J1" s="3195"/>
    </row>
    <row r="2" spans="1:10" ht="16.5">
      <c r="A2" s="3185" t="s">
        <v>2825</v>
      </c>
      <c r="B2" s="3185">
        <f>SUM(C14:C23)</f>
        <v>153925.47</v>
      </c>
      <c r="C2" s="3194"/>
      <c r="D2" s="3194"/>
      <c r="E2" s="3194"/>
      <c r="F2" s="3194"/>
      <c r="G2" s="3195"/>
      <c r="H2" s="3195"/>
      <c r="I2" s="3195"/>
      <c r="J2" s="3195"/>
    </row>
    <row r="3" spans="1:10" ht="16.5">
      <c r="A3" s="3185" t="s">
        <v>2826</v>
      </c>
      <c r="B3" s="3187">
        <f>项目基本情况!D3</f>
        <v>44187</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165492</v>
      </c>
      <c r="C5" s="3185">
        <f ca="1">ROUND(B5*10000/$B$1,0)</f>
        <v>2957</v>
      </c>
      <c r="D5" s="3185">
        <f ca="1">ROUND(B5*10000/$B$2,0)</f>
        <v>10751</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559573.15</v>
      </c>
      <c r="C14" s="3191">
        <f>结果表!K38</f>
        <v>153925.47</v>
      </c>
      <c r="D14" s="3191">
        <f ca="1">结果表!C42</f>
        <v>165492</v>
      </c>
      <c r="E14" s="3191">
        <f ca="1">ROUND(D14*10000/B14,0)</f>
        <v>2957</v>
      </c>
      <c r="F14" s="3191">
        <f ca="1">ROUND(D14*10000/C14,0)</f>
        <v>10751</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E24" sqref="E24"/>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32" t="str">
        <f>项目基本情况!K2</f>
        <v>出让国有建设用地使用权</v>
      </c>
      <c r="B2" s="3433"/>
      <c r="C2" s="3434"/>
      <c r="D2" s="3434"/>
      <c r="E2" s="3434"/>
      <c r="F2" s="3434"/>
      <c r="G2" s="3433"/>
      <c r="H2" s="3433"/>
      <c r="I2" s="3435"/>
      <c r="J2" s="1912"/>
      <c r="K2" s="1911"/>
      <c r="L2" s="1911"/>
      <c r="M2" s="1911"/>
      <c r="N2" s="1911"/>
      <c r="O2" s="1911"/>
      <c r="P2" s="1911"/>
      <c r="Q2" s="1911"/>
      <c r="R2" s="1911"/>
      <c r="S2" s="1911"/>
      <c r="T2" s="1911"/>
      <c r="U2" s="1911"/>
      <c r="V2" s="1911"/>
    </row>
    <row r="3" spans="1:22" ht="14.25">
      <c r="A3" s="3443" t="s">
        <v>298</v>
      </c>
      <c r="B3" s="3444"/>
      <c r="C3" s="3444"/>
      <c r="D3" s="3444"/>
      <c r="E3" s="3444"/>
      <c r="F3" s="3444"/>
      <c r="G3" s="3444"/>
      <c r="H3" s="3444"/>
      <c r="I3" s="3444"/>
      <c r="J3" s="1912"/>
      <c r="K3" s="1911"/>
      <c r="L3" s="1911"/>
      <c r="M3" s="1911"/>
      <c r="N3" s="1911"/>
      <c r="O3" s="1911"/>
      <c r="P3" s="1911"/>
      <c r="Q3" s="1911"/>
      <c r="R3" s="1911"/>
      <c r="S3" s="1911"/>
      <c r="T3" s="1911"/>
      <c r="U3" s="1911"/>
      <c r="V3" s="1911"/>
    </row>
    <row r="4" spans="1:22" ht="14.25">
      <c r="A4" s="256" t="s">
        <v>299</v>
      </c>
      <c r="B4" s="257" t="s">
        <v>300</v>
      </c>
      <c r="C4" s="258" t="s">
        <v>3044</v>
      </c>
      <c r="D4" s="258" t="s">
        <v>3045</v>
      </c>
      <c r="E4" s="3407" t="s">
        <v>301</v>
      </c>
      <c r="F4" s="3449"/>
      <c r="G4" s="3449"/>
      <c r="H4" s="3449"/>
      <c r="I4" s="3408"/>
      <c r="J4" s="1912"/>
      <c r="K4" s="1911"/>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36" t="s">
        <v>302</v>
      </c>
      <c r="B5" s="3437">
        <v>25</v>
      </c>
      <c r="C5" s="3445"/>
      <c r="D5" s="3448"/>
      <c r="E5" s="259" t="s">
        <v>303</v>
      </c>
      <c r="F5" s="260"/>
      <c r="G5" s="260"/>
      <c r="H5" s="260"/>
      <c r="I5" s="261"/>
      <c r="J5" s="1912"/>
      <c r="K5" s="1911"/>
      <c r="L5" s="1911"/>
      <c r="M5" s="1911"/>
      <c r="N5" s="1911"/>
      <c r="O5" s="1911"/>
      <c r="P5" s="1911"/>
      <c r="Q5" s="1911"/>
      <c r="R5" s="1911"/>
      <c r="S5" s="1911"/>
      <c r="T5" s="1911"/>
      <c r="U5" s="1911"/>
      <c r="V5" s="1911"/>
    </row>
    <row r="6" spans="1:22" ht="14.25">
      <c r="A6" s="3436"/>
      <c r="B6" s="3437"/>
      <c r="C6" s="3446"/>
      <c r="D6" s="3448"/>
      <c r="E6" s="259" t="s">
        <v>304</v>
      </c>
      <c r="F6" s="260"/>
      <c r="G6" s="260"/>
      <c r="H6" s="260"/>
      <c r="I6" s="261"/>
      <c r="J6" s="1912"/>
      <c r="K6" s="1911"/>
      <c r="L6" s="1911"/>
      <c r="M6" s="1911"/>
      <c r="N6" s="1911"/>
      <c r="O6" s="1911"/>
      <c r="P6" s="1911"/>
      <c r="Q6" s="1911"/>
      <c r="R6" s="1911"/>
      <c r="S6" s="1911"/>
      <c r="T6" s="1911"/>
      <c r="U6" s="1911"/>
      <c r="V6" s="1911"/>
    </row>
    <row r="7" spans="1:22" ht="14.25">
      <c r="A7" s="3436"/>
      <c r="B7" s="3437"/>
      <c r="C7" s="3447"/>
      <c r="D7" s="3448"/>
      <c r="E7" s="259" t="s">
        <v>305</v>
      </c>
      <c r="F7" s="260"/>
      <c r="G7" s="260"/>
      <c r="H7" s="260"/>
      <c r="I7" s="261"/>
      <c r="J7" s="1912"/>
      <c r="K7" s="1911"/>
      <c r="L7" s="1911"/>
      <c r="M7" s="1911"/>
      <c r="N7" s="1911"/>
      <c r="O7" s="1911"/>
      <c r="P7" s="1911"/>
      <c r="Q7" s="1911"/>
      <c r="R7" s="1911"/>
      <c r="S7" s="1911"/>
      <c r="T7" s="1911"/>
      <c r="U7" s="1911"/>
      <c r="V7" s="1911"/>
    </row>
    <row r="8" spans="1:22" ht="14.25">
      <c r="A8" s="3436" t="s">
        <v>306</v>
      </c>
      <c r="B8" s="3437">
        <v>15</v>
      </c>
      <c r="C8" s="3445"/>
      <c r="D8" s="3448"/>
      <c r="E8" s="259" t="s">
        <v>307</v>
      </c>
      <c r="F8" s="260"/>
      <c r="G8" s="260"/>
      <c r="H8" s="260"/>
      <c r="I8" s="261"/>
      <c r="J8" s="1912"/>
      <c r="K8" s="1911"/>
      <c r="L8" s="1911"/>
      <c r="M8" s="1911"/>
      <c r="N8" s="1911"/>
      <c r="O8" s="1911"/>
      <c r="P8" s="1911"/>
      <c r="Q8" s="1911"/>
      <c r="R8" s="1911"/>
      <c r="S8" s="1911"/>
      <c r="T8" s="1911"/>
      <c r="U8" s="1911"/>
      <c r="V8" s="1911"/>
    </row>
    <row r="9" spans="1:22" ht="14.25">
      <c r="A9" s="3436"/>
      <c r="B9" s="3437"/>
      <c r="C9" s="3447"/>
      <c r="D9" s="3448"/>
      <c r="E9" s="259" t="s">
        <v>308</v>
      </c>
      <c r="F9" s="260"/>
      <c r="G9" s="260"/>
      <c r="H9" s="260"/>
      <c r="I9" s="261"/>
      <c r="J9" s="1912"/>
      <c r="K9" s="1911"/>
      <c r="L9" s="1911"/>
      <c r="M9" s="1911"/>
      <c r="N9" s="1911"/>
      <c r="O9" s="1911"/>
      <c r="P9" s="1911"/>
      <c r="Q9" s="1911"/>
      <c r="R9" s="1911"/>
      <c r="S9" s="1911"/>
      <c r="T9" s="1911"/>
      <c r="U9" s="1911"/>
      <c r="V9" s="1911"/>
    </row>
    <row r="10" spans="1:22" ht="14.25">
      <c r="A10" s="3436" t="s">
        <v>309</v>
      </c>
      <c r="B10" s="3437">
        <v>15</v>
      </c>
      <c r="C10" s="3445"/>
      <c r="D10" s="3448"/>
      <c r="E10" s="259" t="s">
        <v>310</v>
      </c>
      <c r="F10" s="260"/>
      <c r="G10" s="260"/>
      <c r="H10" s="260"/>
      <c r="I10" s="261"/>
      <c r="J10" s="1912"/>
      <c r="K10" s="1911"/>
      <c r="L10" s="1911"/>
      <c r="M10" s="1911"/>
      <c r="N10" s="1911"/>
      <c r="O10" s="1911"/>
      <c r="P10" s="1911"/>
      <c r="Q10" s="1911"/>
      <c r="R10" s="1911"/>
      <c r="S10" s="1911"/>
      <c r="T10" s="1911"/>
      <c r="U10" s="1911"/>
      <c r="V10" s="1911"/>
    </row>
    <row r="11" spans="1:22" ht="14.25">
      <c r="A11" s="3436"/>
      <c r="B11" s="3437"/>
      <c r="C11" s="3447"/>
      <c r="D11" s="3448"/>
      <c r="E11" s="259" t="s">
        <v>311</v>
      </c>
      <c r="F11" s="260"/>
      <c r="G11" s="260"/>
      <c r="H11" s="260"/>
      <c r="I11" s="261"/>
      <c r="J11" s="1912"/>
      <c r="K11" s="1911"/>
      <c r="L11" s="1911"/>
      <c r="M11" s="1911"/>
      <c r="N11" s="1911"/>
      <c r="O11" s="1911"/>
      <c r="P11" s="1911"/>
      <c r="Q11" s="1911"/>
      <c r="R11" s="1911"/>
      <c r="S11" s="1911"/>
      <c r="T11" s="1911"/>
      <c r="U11" s="1911"/>
      <c r="V11" s="1911"/>
    </row>
    <row r="12" spans="1:22" ht="14.25">
      <c r="A12" s="3436" t="s">
        <v>312</v>
      </c>
      <c r="B12" s="3437">
        <v>15</v>
      </c>
      <c r="C12" s="3445"/>
      <c r="D12" s="3448"/>
      <c r="E12" s="259" t="s">
        <v>313</v>
      </c>
      <c r="F12" s="260"/>
      <c r="G12" s="260"/>
      <c r="H12" s="260"/>
      <c r="I12" s="261"/>
      <c r="J12" s="1912"/>
      <c r="K12" s="1911"/>
      <c r="L12" s="1911"/>
      <c r="M12" s="1911"/>
      <c r="N12" s="1911"/>
      <c r="O12" s="1911"/>
      <c r="P12" s="1911"/>
      <c r="Q12" s="1911"/>
      <c r="R12" s="1911"/>
      <c r="S12" s="1911"/>
      <c r="T12" s="1911"/>
      <c r="U12" s="1911"/>
      <c r="V12" s="1911"/>
    </row>
    <row r="13" spans="1:22" ht="14.25">
      <c r="A13" s="3436"/>
      <c r="B13" s="3437"/>
      <c r="C13" s="3447"/>
      <c r="D13" s="3448"/>
      <c r="E13" s="259" t="s">
        <v>314</v>
      </c>
      <c r="F13" s="260"/>
      <c r="G13" s="260"/>
      <c r="H13" s="260"/>
      <c r="I13" s="261"/>
      <c r="J13" s="1912"/>
      <c r="K13" s="1911"/>
      <c r="L13" s="1911"/>
      <c r="M13" s="1911"/>
      <c r="N13" s="1911"/>
      <c r="O13" s="1911"/>
      <c r="P13" s="1911"/>
      <c r="Q13" s="1911"/>
      <c r="R13" s="1911"/>
      <c r="S13" s="1911"/>
      <c r="T13" s="1911"/>
      <c r="U13" s="1911"/>
      <c r="V13" s="1911"/>
    </row>
    <row r="14" spans="1:22" ht="14.25">
      <c r="A14" s="3436" t="s">
        <v>315</v>
      </c>
      <c r="B14" s="3437">
        <v>30</v>
      </c>
      <c r="C14" s="3445">
        <v>5</v>
      </c>
      <c r="D14" s="3448">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36"/>
      <c r="B15" s="3437"/>
      <c r="C15" s="3446"/>
      <c r="D15" s="3448"/>
      <c r="E15" s="259" t="s">
        <v>317</v>
      </c>
      <c r="F15" s="260"/>
      <c r="G15" s="260"/>
      <c r="H15" s="260"/>
      <c r="I15" s="261"/>
      <c r="J15" s="1912"/>
      <c r="K15" s="1911"/>
      <c r="L15" s="1911"/>
      <c r="M15" s="1911"/>
      <c r="N15" s="1911"/>
      <c r="O15" s="1911"/>
      <c r="P15" s="1911"/>
      <c r="Q15" s="1911"/>
      <c r="R15" s="1911"/>
      <c r="S15" s="1911"/>
      <c r="T15" s="1911"/>
      <c r="U15" s="1911"/>
      <c r="V15" s="1911"/>
    </row>
    <row r="16" spans="1:22" ht="14.25">
      <c r="A16" s="3436"/>
      <c r="B16" s="3437"/>
      <c r="C16" s="3447"/>
      <c r="D16" s="3448"/>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50" t="s">
        <v>2965</v>
      </c>
      <c r="F18" s="3451"/>
      <c r="G18" s="3451"/>
      <c r="H18" s="3451"/>
      <c r="I18" s="3451"/>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180494</v>
      </c>
      <c r="D19" s="269">
        <f ca="1">SUMIF(INDIRECT("'"&amp;D4&amp;"'"&amp;"!A:A"),结果表!B19,INDIRECT("'"&amp;D4&amp;"'"&amp;"!B:B"))</f>
        <v>150489</v>
      </c>
      <c r="E19" s="266" t="s">
        <v>323</v>
      </c>
      <c r="F19" s="267" t="s">
        <v>322</v>
      </c>
      <c r="G19" s="270">
        <f ca="1">ROUND(C19*$C$18+D19*$D$18,0)</f>
        <v>165492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3226</v>
      </c>
      <c r="D20" s="275">
        <f ca="1">SUMIF(INDIRECT("'"&amp;D4&amp;"'"&amp;"!A:A"),结果表!B20,INDIRECT("'"&amp;D4&amp;"'"&amp;"!B:B"))</f>
        <v>2689</v>
      </c>
      <c r="E20" s="272"/>
      <c r="F20" s="273" t="s">
        <v>325</v>
      </c>
      <c r="G20" s="276">
        <f ca="1">ROUND(C20*$C$18+D20*$D$18,0)</f>
        <v>2958</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11726</v>
      </c>
      <c r="D21" s="149">
        <f ca="1">SUMIF(INDIRECT("'"&amp;D4&amp;"'"&amp;"!A:A"),结果表!B21,INDIRECT("'"&amp;D4&amp;"'"&amp;"!B:B"))</f>
        <v>9777</v>
      </c>
      <c r="E21" s="272"/>
      <c r="F21" s="278" t="s">
        <v>327</v>
      </c>
      <c r="G21" s="280">
        <f ca="1">ROUND(C21*$C$18+D21*$D$18,0)</f>
        <v>10752</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0.1993833436330894</v>
      </c>
      <c r="E22" s="282"/>
      <c r="F22" s="283"/>
      <c r="G22" s="284">
        <f ca="1">ROUND(G19/('数据-汇总表'!D3/666.67),0)</f>
        <v>717</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09"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6"/>
      <c r="B25" s="1275" t="s">
        <v>331</v>
      </c>
      <c r="C25" s="288">
        <f>IF(B30=0,0,C30)</f>
        <v>0</v>
      </c>
      <c r="D25" s="289"/>
      <c r="E25" s="309"/>
      <c r="F25" s="309"/>
      <c r="G25" s="309"/>
      <c r="H25" s="309"/>
      <c r="I25" s="309"/>
      <c r="J25" s="1911"/>
      <c r="K25" s="1209" t="str">
        <f ca="1">项目基本情况!B16&amp;"国有建设用地使用权价格："&amp;O38&amp;"万元"</f>
        <v>出让国有建设用地使用权价格：165492万元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大写金额：人民币壹拾陆亿伍仟肆佰玖拾贰万元整</v>
      </c>
      <c r="L26" s="1206"/>
      <c r="M26" s="1206"/>
      <c r="N26" s="1206"/>
      <c r="O26" s="1205"/>
      <c r="P26" s="1911"/>
      <c r="Q26" s="1911"/>
      <c r="R26" s="1911"/>
      <c r="S26" s="1911"/>
      <c r="T26" s="1911"/>
      <c r="U26" s="1911"/>
      <c r="V26" s="1911"/>
      <c r="W26" s="290"/>
      <c r="X26" s="290"/>
      <c r="Y26" s="290"/>
      <c r="Z26" s="290"/>
    </row>
    <row r="27" spans="1:26" ht="18">
      <c r="A27" s="291">
        <f ca="1">G19/'数据-汇总表'!F27</f>
        <v>0.41259833560007453</v>
      </c>
      <c r="B27" s="292"/>
      <c r="C27" s="292"/>
      <c r="D27" s="293"/>
      <c r="E27" s="309"/>
      <c r="F27" s="309"/>
      <c r="G27" s="309"/>
      <c r="H27" s="309"/>
      <c r="I27" s="309"/>
      <c r="J27" s="1911"/>
      <c r="K27" s="1212" t="str">
        <f ca="1">"单位面积地价："&amp;M38&amp;"元/平方米"</f>
        <v>单位面积地价：10751元/平方米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楼面地价：2957元/平方米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2966</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52" t="s">
        <v>2967</v>
      </c>
      <c r="B31" s="3452"/>
      <c r="C31" s="3452"/>
      <c r="D31" s="3452"/>
      <c r="E31" s="3452"/>
      <c r="F31" s="3452"/>
      <c r="G31" s="3452"/>
      <c r="H31" s="3452"/>
      <c r="I31" s="3452"/>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165492</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2957</v>
      </c>
      <c r="D33" s="1333" t="s">
        <v>1682</v>
      </c>
      <c r="E33" s="3409"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4" t="s">
        <v>1683</v>
      </c>
      <c r="C34" s="262">
        <f ca="1">ROUND(C32*10000/'数据-汇总表'!D3,0)</f>
        <v>10751</v>
      </c>
      <c r="D34" s="1335" t="s">
        <v>1682</v>
      </c>
      <c r="E34" s="3410"/>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717</v>
      </c>
      <c r="D35" s="1338" t="s">
        <v>1684</v>
      </c>
      <c r="E35" s="3411"/>
      <c r="F35" s="299" t="s">
        <v>342</v>
      </c>
      <c r="G35" s="970"/>
      <c r="H35" s="969" t="s">
        <v>343</v>
      </c>
      <c r="I35" s="309"/>
      <c r="J35" s="1911"/>
      <c r="K35" s="3415" t="s">
        <v>350</v>
      </c>
      <c r="L35" s="3415" t="s">
        <v>351</v>
      </c>
      <c r="M35" s="1218" t="s">
        <v>352</v>
      </c>
      <c r="N35" s="3415" t="s">
        <v>353</v>
      </c>
      <c r="O35" s="3415" t="s">
        <v>354</v>
      </c>
      <c r="P35" s="1911"/>
      <c r="V35" s="1911"/>
    </row>
    <row r="36" spans="1:26" ht="16.5" customHeight="1">
      <c r="A36" s="301" t="s">
        <v>344</v>
      </c>
      <c r="B36" s="302" t="s">
        <v>333</v>
      </c>
      <c r="C36" s="303" t="s">
        <v>345</v>
      </c>
      <c r="D36" s="303" t="s">
        <v>346</v>
      </c>
      <c r="E36" s="304" t="s">
        <v>347</v>
      </c>
      <c r="F36" s="309"/>
      <c r="G36" s="309"/>
      <c r="H36" s="309"/>
      <c r="I36" s="309"/>
      <c r="J36" s="1913"/>
      <c r="K36" s="3416"/>
      <c r="L36" s="3416"/>
      <c r="M36" s="1220" t="s">
        <v>355</v>
      </c>
      <c r="N36" s="3416"/>
      <c r="O36" s="3416"/>
      <c r="P36" s="1911"/>
      <c r="V36" s="1911"/>
    </row>
    <row r="37" spans="1:26" ht="16.5" customHeight="1" thickBot="1">
      <c r="A37" s="1214" t="s">
        <v>348</v>
      </c>
      <c r="B37" s="305"/>
      <c r="C37" s="292"/>
      <c r="D37" s="292"/>
      <c r="E37" s="293"/>
      <c r="F37" s="309"/>
      <c r="G37" s="309"/>
      <c r="H37" s="309"/>
      <c r="I37" s="309"/>
      <c r="J37" s="1913"/>
      <c r="K37" s="3417"/>
      <c r="L37" s="3417"/>
      <c r="M37" s="1221"/>
      <c r="N37" s="3417"/>
      <c r="O37" s="3417"/>
      <c r="P37" s="1911"/>
      <c r="V37" s="1911"/>
    </row>
    <row r="38" spans="1:26" ht="16.5" customHeight="1" thickBot="1">
      <c r="A38" s="1214" t="s">
        <v>349</v>
      </c>
      <c r="B38" s="305"/>
      <c r="C38" s="292"/>
      <c r="D38" s="292"/>
      <c r="E38" s="293"/>
      <c r="F38" s="309"/>
      <c r="G38" s="309"/>
      <c r="H38" s="309"/>
      <c r="I38" s="309"/>
      <c r="J38" s="1913"/>
      <c r="K38" s="1222">
        <f>'数据-汇总表'!D3</f>
        <v>153925.47</v>
      </c>
      <c r="L38" s="1223">
        <f>'数据-汇总表'!E3</f>
        <v>559573.15</v>
      </c>
      <c r="M38" s="1223">
        <f ca="1">C34</f>
        <v>10751</v>
      </c>
      <c r="N38" s="1223">
        <f ca="1">C33</f>
        <v>2957</v>
      </c>
      <c r="O38" s="1224">
        <f ca="1">C32</f>
        <v>165492</v>
      </c>
      <c r="P38" s="1911"/>
      <c r="V38" s="1911"/>
    </row>
    <row r="39" spans="1:26" ht="16.5" customHeight="1" thickBot="1">
      <c r="A39" s="1219"/>
      <c r="B39" s="306"/>
      <c r="C39" s="307"/>
      <c r="D39" s="307"/>
      <c r="E39" s="308"/>
      <c r="F39" s="309"/>
      <c r="G39" s="309"/>
      <c r="H39" s="309"/>
      <c r="I39" s="309"/>
      <c r="J39" s="1913"/>
      <c r="K39" s="3428" t="str">
        <f>MID(A44,3,LEN(A44)-2)</f>
        <v/>
      </c>
      <c r="L39" s="3429"/>
      <c r="M39" s="3429"/>
      <c r="N39" s="3430"/>
      <c r="O39" s="1340" t="str">
        <f>C44</f>
        <v>——</v>
      </c>
      <c r="P39" s="1911"/>
      <c r="V39" s="1911"/>
    </row>
    <row r="40" spans="1:26" ht="19.5" thickBot="1">
      <c r="A40" s="104" t="s">
        <v>864</v>
      </c>
      <c r="B40" s="309"/>
      <c r="C40" s="309"/>
      <c r="D40" s="309"/>
      <c r="E40" s="309"/>
      <c r="F40" s="309"/>
      <c r="G40" s="309"/>
      <c r="H40" s="309"/>
      <c r="I40" s="309"/>
      <c r="J40" s="1913"/>
      <c r="K40" s="3428" t="str">
        <f t="shared" ref="K40:K41" si="0">MID(A45,3,LEN(A45)-2)</f>
        <v/>
      </c>
      <c r="L40" s="3429"/>
      <c r="M40" s="3429"/>
      <c r="N40" s="3430"/>
      <c r="O40" s="1340" t="str">
        <f>C45</f>
        <v>——</v>
      </c>
      <c r="P40" s="1911"/>
      <c r="V40" s="1911"/>
    </row>
    <row r="41" spans="1:26" ht="16.5" thickBot="1">
      <c r="A41" s="310" t="s">
        <v>356</v>
      </c>
      <c r="B41" s="311"/>
      <c r="C41" s="312" t="s">
        <v>357</v>
      </c>
      <c r="D41" s="313" t="s">
        <v>358</v>
      </c>
      <c r="E41" s="313" t="s">
        <v>359</v>
      </c>
      <c r="F41" s="314" t="s">
        <v>360</v>
      </c>
      <c r="G41" s="309"/>
      <c r="H41" s="309"/>
      <c r="I41" s="309"/>
      <c r="J41" s="1913"/>
      <c r="K41" s="3428" t="str">
        <f t="shared" si="0"/>
        <v/>
      </c>
      <c r="L41" s="3429"/>
      <c r="M41" s="3429"/>
      <c r="N41" s="3430"/>
      <c r="O41" s="1340" t="str">
        <f>C46</f>
        <v>——</v>
      </c>
      <c r="P41" s="1911"/>
      <c r="V41" s="1911"/>
    </row>
    <row r="42" spans="1:26" ht="29.25">
      <c r="A42" s="3457" t="s">
        <v>2056</v>
      </c>
      <c r="B42" s="3458"/>
      <c r="C42" s="262">
        <f ca="1">C32</f>
        <v>165492</v>
      </c>
      <c r="D42" s="315">
        <f ca="1">C33</f>
        <v>2957</v>
      </c>
      <c r="E42" s="315">
        <f ca="1">C34</f>
        <v>10751</v>
      </c>
      <c r="F42" s="316">
        <f ca="1">C35</f>
        <v>717</v>
      </c>
      <c r="G42" s="309"/>
      <c r="H42" s="309"/>
      <c r="I42" s="317"/>
      <c r="J42" s="1913"/>
      <c r="K42" s="1225" t="s">
        <v>361</v>
      </c>
      <c r="L42" s="1930" t="s">
        <v>362</v>
      </c>
      <c r="M42" s="1226" t="s">
        <v>363</v>
      </c>
      <c r="N42" s="1931" t="s">
        <v>364</v>
      </c>
      <c r="O42" s="1932" t="s">
        <v>365</v>
      </c>
      <c r="P42" s="1911"/>
      <c r="V42" s="1911"/>
    </row>
    <row r="43" spans="1:26" ht="30">
      <c r="A43" s="3467" t="s">
        <v>2711</v>
      </c>
      <c r="B43" s="3468"/>
      <c r="C43" s="262">
        <f>IF(H33="正常操作",G33+G34+G35,G34+G35)</f>
        <v>0</v>
      </c>
      <c r="D43" s="315" t="s">
        <v>43</v>
      </c>
      <c r="E43" s="315" t="s">
        <v>44</v>
      </c>
      <c r="F43" s="316" t="s">
        <v>44</v>
      </c>
      <c r="G43" s="2583" t="s">
        <v>943</v>
      </c>
      <c r="H43" s="309"/>
      <c r="I43" s="317"/>
      <c r="J43" s="1913"/>
      <c r="K43" s="1227" t="str">
        <f>C4</f>
        <v>比较法-住宅、综合</v>
      </c>
      <c r="L43" s="1228">
        <f ca="1">IF(L42="估价结果/万元",C19,C20)</f>
        <v>180494</v>
      </c>
      <c r="M43" s="1229">
        <f>C18</f>
        <v>0.5</v>
      </c>
      <c r="N43" s="1230">
        <f ca="1">IF(N42="测算结果/万元",G19,G20)</f>
        <v>165492</v>
      </c>
      <c r="O43" s="1231">
        <f ca="1">IF(O42="最终结果/万元",C32,C33)</f>
        <v>165492</v>
      </c>
      <c r="P43" s="1911"/>
      <c r="V43" s="1911"/>
    </row>
    <row r="44" spans="1:26" ht="30.75" thickBot="1">
      <c r="A44" s="3457" t="str">
        <f>IF(OR(项目基本情况!E8="抵押价格",项目基本情况!E8="已注销及未注销"),"3.抵押价格","——")</f>
        <v>——</v>
      </c>
      <c r="B44" s="3458"/>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150489</v>
      </c>
      <c r="M44" s="1234">
        <f>D18</f>
        <v>0.5</v>
      </c>
      <c r="N44" s="1235"/>
      <c r="O44" s="1236"/>
      <c r="P44" s="1911"/>
      <c r="V44" s="1911"/>
    </row>
    <row r="45" spans="1:26" ht="15">
      <c r="A45" s="3462" t="str">
        <f>IF(项目基本情况!E8="已注销及未注销","4.抵押担保权已注销时的抵押价格",IF(项目基本情况!E8="已注销","3.抵押担保权已注销时的抵押价格","——"))</f>
        <v>——</v>
      </c>
      <c r="B45" s="3463"/>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9" t="str">
        <f>IF(项目基本情况!E9="抵押净值",IF(A45="——","4.抵押净值","5.抵押净值"),"——")</f>
        <v>——</v>
      </c>
      <c r="B46" s="3460"/>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20" t="s">
        <v>374</v>
      </c>
      <c r="B63" s="3421"/>
      <c r="C63" s="3422"/>
      <c r="D63" s="339">
        <f ca="1">ROUND(C42*F63,0)</f>
        <v>165492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4" t="s">
        <v>378</v>
      </c>
      <c r="B64" s="3465"/>
      <c r="C64" s="3465"/>
      <c r="D64" s="3465"/>
      <c r="E64" s="3465"/>
      <c r="F64" s="3465"/>
      <c r="G64" s="3466"/>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61" t="s">
        <v>386</v>
      </c>
      <c r="B66" s="3427"/>
      <c r="C66" s="3427"/>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7"/>
      <c r="K66" s="1245">
        <v>1</v>
      </c>
      <c r="L66" s="3388" t="s">
        <v>385</v>
      </c>
      <c r="M66" s="3389"/>
      <c r="N66" s="2312"/>
      <c r="O66" s="2313"/>
      <c r="P66" s="2314"/>
      <c r="Q66" s="1911"/>
      <c r="R66" s="1911"/>
      <c r="S66" s="1911"/>
      <c r="T66" s="1911"/>
      <c r="U66" s="1911"/>
      <c r="V66" s="1911"/>
    </row>
    <row r="67" spans="1:22" ht="25.5" customHeight="1">
      <c r="A67" s="350" t="s">
        <v>389</v>
      </c>
      <c r="B67" s="3439" t="s">
        <v>390</v>
      </c>
      <c r="C67" s="3439"/>
      <c r="D67" s="351">
        <v>0</v>
      </c>
      <c r="E67" s="41" t="s">
        <v>391</v>
      </c>
      <c r="F67" s="62" t="s">
        <v>21</v>
      </c>
      <c r="G67" s="3423"/>
      <c r="H67" s="3006" t="s">
        <v>2968</v>
      </c>
      <c r="I67" s="3008"/>
      <c r="J67" s="1918"/>
      <c r="K67" s="1890">
        <v>2</v>
      </c>
      <c r="L67" s="3393" t="s">
        <v>388</v>
      </c>
      <c r="M67" s="3393"/>
      <c r="N67" s="1279">
        <f>'数据-取费表'!B2</f>
        <v>44187</v>
      </c>
      <c r="O67" s="1279"/>
      <c r="P67" s="1279"/>
      <c r="Q67" s="1911"/>
      <c r="R67" s="1911"/>
      <c r="S67" s="1911"/>
      <c r="T67" s="1911"/>
      <c r="U67" s="1911"/>
      <c r="V67" s="1911"/>
    </row>
    <row r="68" spans="1:22" ht="25.5" customHeight="1">
      <c r="A68" s="352"/>
      <c r="B68" s="3439" t="s">
        <v>393</v>
      </c>
      <c r="C68" s="3439"/>
      <c r="D68" s="353"/>
      <c r="E68" s="77"/>
      <c r="F68" s="354"/>
      <c r="G68" s="3424"/>
      <c r="H68" s="3007" t="s">
        <v>2969</v>
      </c>
      <c r="I68" s="3008"/>
      <c r="J68" s="1918"/>
      <c r="K68" s="1890">
        <v>3</v>
      </c>
      <c r="L68" s="3393" t="s">
        <v>392</v>
      </c>
      <c r="M68" s="3393"/>
      <c r="N68" s="1247">
        <f ca="1">C42</f>
        <v>165492</v>
      </c>
      <c r="O68" s="1247"/>
      <c r="P68" s="1247"/>
      <c r="Q68" s="1911"/>
      <c r="R68" s="1911"/>
      <c r="S68" s="1911"/>
      <c r="T68" s="1911"/>
      <c r="U68" s="1911"/>
      <c r="V68" s="1911"/>
    </row>
    <row r="69" spans="1:22" ht="23.45" customHeight="1">
      <c r="A69" s="355"/>
      <c r="B69" s="3439" t="s">
        <v>394</v>
      </c>
      <c r="C69" s="3439"/>
      <c r="D69" s="356"/>
      <c r="E69" s="73"/>
      <c r="F69" s="354"/>
      <c r="G69" s="3425"/>
      <c r="H69" s="3007" t="s">
        <v>2970</v>
      </c>
      <c r="I69" s="3008"/>
      <c r="J69" s="1918"/>
      <c r="K69" s="1248">
        <v>4</v>
      </c>
      <c r="L69" s="3394" t="s">
        <v>2863</v>
      </c>
      <c r="M69" s="3395"/>
      <c r="N69" s="1249" t="str">
        <f>C44</f>
        <v>——</v>
      </c>
      <c r="O69" s="1249"/>
      <c r="P69" s="1249"/>
      <c r="Q69" s="1911"/>
      <c r="R69" s="1911"/>
      <c r="S69" s="1911"/>
      <c r="T69" s="1911"/>
      <c r="U69" s="1911"/>
      <c r="V69" s="1911"/>
    </row>
    <row r="70" spans="1:22" ht="24" customHeight="1">
      <c r="A70" s="357" t="s">
        <v>395</v>
      </c>
      <c r="B70" s="3439" t="s">
        <v>396</v>
      </c>
      <c r="C70" s="3439"/>
      <c r="D70" s="356">
        <f ca="1">ROUND(D63*'数据-取费表'!B41/(1+'数据-取费表'!C42),0)</f>
        <v>8826</v>
      </c>
      <c r="E70" s="17" t="s">
        <v>397</v>
      </c>
      <c r="F70" s="358">
        <f>'数据-取费表'!B41</f>
        <v>5.6000000000000001E-2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38" t="s">
        <v>3000</v>
      </c>
      <c r="C71" s="3455"/>
      <c r="D71" s="356">
        <f ca="1">ROUND(D63*'数据-取费表'!B41/(1+'数据-取费表'!C42),0)</f>
        <v>8826</v>
      </c>
      <c r="E71" s="17" t="s">
        <v>397</v>
      </c>
      <c r="F71" s="358">
        <f>'数据-取费表'!B41</f>
        <v>5.6000000000000001E-2</v>
      </c>
      <c r="G71" s="359"/>
      <c r="H71" s="309"/>
      <c r="I71" s="1246"/>
      <c r="J71" s="1918"/>
      <c r="K71" s="2764" t="s">
        <v>398</v>
      </c>
      <c r="L71" s="3396" t="s">
        <v>399</v>
      </c>
      <c r="M71" s="3396"/>
      <c r="N71" s="2764" t="s">
        <v>400</v>
      </c>
      <c r="O71" s="2764" t="s">
        <v>401</v>
      </c>
      <c r="P71" s="2764" t="s">
        <v>402</v>
      </c>
      <c r="Q71" s="1911"/>
      <c r="R71" s="1911"/>
      <c r="S71" s="1911"/>
      <c r="T71" s="1911"/>
      <c r="U71" s="1911"/>
      <c r="V71" s="1911"/>
    </row>
    <row r="72" spans="1:22" ht="12" customHeight="1">
      <c r="A72" s="357" t="s">
        <v>405</v>
      </c>
      <c r="B72" s="3438" t="s">
        <v>3001</v>
      </c>
      <c r="C72" s="3455"/>
      <c r="D72" s="356">
        <f ca="1">C86</f>
        <v>8826</v>
      </c>
      <c r="E72" s="73" t="s">
        <v>406</v>
      </c>
      <c r="F72" s="358">
        <f>'数据-取费表'!B41</f>
        <v>5.6000000000000001E-2</v>
      </c>
      <c r="G72" s="359"/>
      <c r="H72" s="1252"/>
      <c r="I72" s="1246"/>
      <c r="J72" s="1918"/>
      <c r="K72" s="1890">
        <v>1</v>
      </c>
      <c r="L72" s="3392" t="s">
        <v>404</v>
      </c>
      <c r="M72" s="3392"/>
      <c r="N72" s="1250" t="b">
        <f>D66</f>
        <v>0</v>
      </c>
      <c r="O72" s="1773" t="str">
        <f>E66</f>
        <v>销售额×税（费）率</v>
      </c>
      <c r="P72" s="1251">
        <f>F66</f>
        <v>5.6000000000000001E-2</v>
      </c>
      <c r="Q72" s="1911"/>
      <c r="R72" s="1911"/>
      <c r="S72" s="1911"/>
      <c r="T72" s="1911"/>
      <c r="U72" s="1911"/>
      <c r="V72" s="1911"/>
    </row>
    <row r="73" spans="1:22" ht="24" customHeight="1">
      <c r="A73" s="3426" t="s">
        <v>408</v>
      </c>
      <c r="B73" s="3427"/>
      <c r="C73" s="3427"/>
      <c r="D73" s="360">
        <f ca="1">IF(H73="个人住宅",0,ROUND(D63*I73,0))</f>
        <v>83</v>
      </c>
      <c r="E73" s="17" t="s">
        <v>409</v>
      </c>
      <c r="F73" s="358" t="str">
        <f>IF(H73="正常",I73,"免征")</f>
        <v>免征</v>
      </c>
      <c r="G73" s="359"/>
      <c r="H73" s="189"/>
      <c r="I73" s="358">
        <f>'数据-取费表'!B49</f>
        <v>5.0000000000000001E-4</v>
      </c>
      <c r="J73" s="1918"/>
      <c r="K73" s="1890">
        <v>2</v>
      </c>
      <c r="L73" s="3392" t="s">
        <v>407</v>
      </c>
      <c r="M73" s="3392"/>
      <c r="N73" s="1250">
        <f t="shared" ref="N73:P74" ca="1" si="1">D73</f>
        <v>83</v>
      </c>
      <c r="O73" s="1773" t="str">
        <f t="shared" si="1"/>
        <v>销售额×税（费）率</v>
      </c>
      <c r="P73" s="1251" t="str">
        <f t="shared" si="1"/>
        <v>免征</v>
      </c>
      <c r="Q73" s="1911"/>
      <c r="R73" s="1911"/>
      <c r="S73" s="1911"/>
      <c r="T73" s="1911"/>
      <c r="U73" s="1911"/>
      <c r="V73" s="1911"/>
    </row>
    <row r="74" spans="1:22" ht="24.75">
      <c r="A74" s="3426" t="s">
        <v>411</v>
      </c>
      <c r="B74" s="3427"/>
      <c r="C74" s="3427"/>
      <c r="D74" s="360">
        <f ca="1">IF(H74="个人住宅",D75,D76)</f>
        <v>93668</v>
      </c>
      <c r="E74" s="17" t="s">
        <v>412</v>
      </c>
      <c r="F74" s="358" t="str">
        <f>IF(H74="正常",F76,"免征")</f>
        <v>免征</v>
      </c>
      <c r="G74" s="971" t="s">
        <v>413</v>
      </c>
      <c r="H74" s="361"/>
      <c r="I74" s="42"/>
      <c r="J74" s="1918"/>
      <c r="K74" s="1890">
        <v>3</v>
      </c>
      <c r="L74" s="3392" t="s">
        <v>410</v>
      </c>
      <c r="M74" s="3392"/>
      <c r="N74" s="1250">
        <f t="shared" ca="1" si="1"/>
        <v>93668</v>
      </c>
      <c r="O74" s="1773" t="str">
        <f t="shared" si="1"/>
        <v>增值额×税（费）率</v>
      </c>
      <c r="P74" s="1253" t="str">
        <f t="shared" si="1"/>
        <v>免征</v>
      </c>
      <c r="Q74" s="1911"/>
      <c r="R74" s="1911"/>
      <c r="S74" s="1911"/>
      <c r="T74" s="1911"/>
      <c r="U74" s="1911"/>
      <c r="V74" s="1911"/>
    </row>
    <row r="75" spans="1:22" ht="12.75">
      <c r="A75" s="357" t="s">
        <v>414</v>
      </c>
      <c r="B75" s="3407" t="s">
        <v>415</v>
      </c>
      <c r="C75" s="3408"/>
      <c r="D75" s="362">
        <v>0</v>
      </c>
      <c r="E75" s="41" t="s">
        <v>416</v>
      </c>
      <c r="F75" s="363"/>
      <c r="G75" s="359"/>
      <c r="H75" s="42"/>
      <c r="I75" s="42"/>
      <c r="J75" s="1918"/>
      <c r="K75" s="2758">
        <f>IF(H77="非个人房产","",4)</f>
        <v>4</v>
      </c>
      <c r="L75" s="3392" t="str">
        <f>IF(H77="非个人房产","——","个人所得税")</f>
        <v>个人所得税</v>
      </c>
      <c r="M75" s="3392"/>
      <c r="N75" s="1254">
        <f>D77</f>
        <v>0</v>
      </c>
      <c r="O75" s="1786" t="str">
        <f>E77</f>
        <v>差额计税</v>
      </c>
      <c r="P75" s="1255">
        <f>F77</f>
        <v>0.01</v>
      </c>
      <c r="Q75" s="1911"/>
      <c r="R75" s="1911"/>
      <c r="S75" s="1911"/>
      <c r="T75" s="1911"/>
      <c r="U75" s="1911"/>
      <c r="V75" s="1911"/>
    </row>
    <row r="76" spans="1:22" ht="24.75">
      <c r="A76" s="357" t="s">
        <v>395</v>
      </c>
      <c r="B76" s="3407" t="s">
        <v>418</v>
      </c>
      <c r="C76" s="3449"/>
      <c r="D76" s="360">
        <f ca="1">IF(H76="转让取得",C99,C115)</f>
        <v>93668</v>
      </c>
      <c r="E76" s="17" t="s">
        <v>419</v>
      </c>
      <c r="F76" s="53" t="s">
        <v>21</v>
      </c>
      <c r="G76" s="359"/>
      <c r="H76" s="361"/>
      <c r="I76" s="42"/>
      <c r="J76" s="1918"/>
      <c r="K76" s="2758" t="str">
        <f>IF(项目基本情况!K6="上海银行",IF(K75="",4,K75+1),"")</f>
        <v/>
      </c>
      <c r="L76" s="3403" t="str">
        <f>IF(项目基本情况!K6="上海银行","其他处置费用","")</f>
        <v/>
      </c>
      <c r="M76" s="3404"/>
      <c r="N76" s="1250" t="str">
        <f>IF(项目基本情况!K6="上海银行",N89,"")</f>
        <v/>
      </c>
      <c r="O76" s="3405" t="str">
        <f>IF(项目基本情况!K6="上海银行","包含处置中涉及的律师、诉讼、拍卖、评估等费用","")</f>
        <v/>
      </c>
      <c r="P76" s="3406"/>
      <c r="Q76" s="1911"/>
      <c r="R76" s="1911"/>
      <c r="S76" s="1911"/>
      <c r="T76" s="1911"/>
      <c r="U76" s="1911"/>
      <c r="V76" s="1911"/>
    </row>
    <row r="77" spans="1:22" ht="24.75" thickBot="1">
      <c r="A77" s="3418" t="s">
        <v>421</v>
      </c>
      <c r="B77" s="3419"/>
      <c r="C77" s="3419"/>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2971</v>
      </c>
      <c r="J77" s="1918"/>
      <c r="K77" s="3414">
        <f>IF(AND(K75="",K76=""),4,IF(项目基本情况!K6="上海银行",K76+1,K75+1))</f>
        <v>5</v>
      </c>
      <c r="L77" s="3392" t="s">
        <v>2864</v>
      </c>
      <c r="M77" s="2763" t="s">
        <v>417</v>
      </c>
      <c r="N77" s="1256"/>
      <c r="O77" s="1257">
        <f ca="1">SUMIF(N72:N76,"&lt;9e307")</f>
        <v>93751</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14"/>
      <c r="L78" s="3392"/>
      <c r="M78" s="2763" t="s">
        <v>420</v>
      </c>
      <c r="N78" s="1256"/>
      <c r="O78" s="1257" t="str">
        <f ca="1">NUMBERSTRING(INT(O77*10000),2)&amp;"元整"</f>
        <v>玖亿叁仟柒佰伍拾壹万元整</v>
      </c>
      <c r="P78" s="1258"/>
      <c r="Q78" s="1911"/>
      <c r="R78" s="1911"/>
      <c r="S78" s="1911"/>
      <c r="T78" s="1911"/>
      <c r="U78" s="1911"/>
      <c r="V78" s="1911"/>
    </row>
    <row r="79" spans="1:22" ht="13.5" thickBot="1">
      <c r="A79" s="3469" t="s">
        <v>422</v>
      </c>
      <c r="B79" s="3469"/>
      <c r="C79" s="3469"/>
      <c r="D79" s="3469"/>
      <c r="E79" s="3469"/>
      <c r="F79" s="42"/>
      <c r="G79" s="42"/>
      <c r="H79" s="991"/>
      <c r="I79" s="309"/>
      <c r="J79" s="1918"/>
      <c r="K79" s="3390">
        <f>K77+1</f>
        <v>6</v>
      </c>
      <c r="L79" s="3392" t="s">
        <v>2865</v>
      </c>
      <c r="M79" s="2763" t="s">
        <v>417</v>
      </c>
      <c r="N79" s="1256"/>
      <c r="O79" s="1257" t="e">
        <f ca="1">N69-O77</f>
        <v>#VALUE!</v>
      </c>
      <c r="P79" s="1258"/>
      <c r="Q79" s="1911"/>
      <c r="R79" s="1911"/>
      <c r="S79" s="1911"/>
      <c r="T79" s="1911"/>
      <c r="U79" s="1911"/>
      <c r="V79" s="1911"/>
    </row>
    <row r="80" spans="1:22" ht="12.75">
      <c r="A80" s="3400" t="s">
        <v>423</v>
      </c>
      <c r="B80" s="3401"/>
      <c r="C80" s="982"/>
      <c r="D80" s="982" t="s">
        <v>424</v>
      </c>
      <c r="E80" s="364" t="s">
        <v>425</v>
      </c>
      <c r="F80" s="42"/>
      <c r="G80" s="42"/>
      <c r="H80" s="991"/>
      <c r="I80" s="309"/>
      <c r="J80" s="1911"/>
      <c r="K80" s="3391"/>
      <c r="L80" s="3392"/>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157611</v>
      </c>
      <c r="D81" s="367"/>
      <c r="E81" s="368"/>
      <c r="F81" s="42"/>
      <c r="G81" s="42"/>
      <c r="H81" s="991"/>
      <c r="I81" s="309"/>
      <c r="J81" s="1911"/>
      <c r="K81" s="2758">
        <f>K79+1</f>
        <v>7</v>
      </c>
      <c r="L81" s="3412" t="s">
        <v>2866</v>
      </c>
      <c r="M81" s="3413"/>
      <c r="N81" s="1260"/>
      <c r="O81" s="1261" t="e">
        <f ca="1">ROUND(O79*10000/'数据-汇总表'!E3,0)</f>
        <v>#VALUE!</v>
      </c>
      <c r="P81" s="1262"/>
      <c r="Q81" s="1911"/>
      <c r="R81" s="1911"/>
      <c r="S81" s="1911"/>
      <c r="T81" s="1911"/>
      <c r="U81" s="1911"/>
      <c r="V81" s="1911"/>
    </row>
    <row r="82" spans="1:26" ht="13.5" thickTop="1">
      <c r="A82" s="369" t="s">
        <v>1815</v>
      </c>
      <c r="B82" s="370" t="s">
        <v>427</v>
      </c>
      <c r="C82" s="371">
        <f ca="1">D63</f>
        <v>165492</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02"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02"/>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157611</v>
      </c>
      <c r="D85" s="372" t="s">
        <v>19</v>
      </c>
      <c r="E85" s="373"/>
      <c r="F85" s="42"/>
      <c r="G85" s="42"/>
      <c r="H85" s="991"/>
      <c r="I85" s="309"/>
      <c r="J85" s="1911"/>
      <c r="K85" s="3402"/>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8826</v>
      </c>
      <c r="D86" s="383">
        <f>'数据-取费表'!B41</f>
        <v>5.6000000000000001E-2</v>
      </c>
      <c r="E86" s="384"/>
      <c r="F86" s="42"/>
      <c r="G86" s="42"/>
      <c r="H86" s="991"/>
      <c r="I86" s="309"/>
      <c r="J86" s="1911"/>
      <c r="K86" s="3402"/>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02"/>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41" t="s">
        <v>432</v>
      </c>
      <c r="B88" s="3442"/>
      <c r="C88" s="3442"/>
      <c r="D88" s="3442"/>
      <c r="E88" s="3442"/>
      <c r="F88" s="3442"/>
      <c r="G88" s="3442"/>
      <c r="H88" s="3442"/>
      <c r="I88" s="1269"/>
      <c r="J88" s="1919"/>
      <c r="K88" s="3402"/>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00" t="s">
        <v>423</v>
      </c>
      <c r="B89" s="3401"/>
      <c r="C89" s="982"/>
      <c r="D89" s="982" t="s">
        <v>424</v>
      </c>
      <c r="E89" s="385" t="s">
        <v>433</v>
      </c>
      <c r="F89" s="386"/>
      <c r="G89" s="386"/>
      <c r="H89" s="387"/>
      <c r="I89" s="1270"/>
      <c r="J89" s="1921"/>
      <c r="K89" s="3402"/>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157611</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946</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38" t="s">
        <v>441</v>
      </c>
      <c r="F94" s="3439"/>
      <c r="G94" s="3439"/>
      <c r="H94" s="3440"/>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4.0500000000000001E-2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946</v>
      </c>
      <c r="D96" s="400">
        <f>'数据-取费表'!B43</f>
        <v>6.000000000000001E-3</v>
      </c>
      <c r="E96" s="3397" t="s">
        <v>2413</v>
      </c>
      <c r="F96" s="3398"/>
      <c r="G96" s="3398"/>
      <c r="H96" s="3399"/>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1826</v>
      </c>
      <c r="B97" s="376" t="s">
        <v>445</v>
      </c>
      <c r="C97" s="379">
        <f ca="1">C90-C91</f>
        <v>156665</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1827</v>
      </c>
      <c r="B98" s="376" t="s">
        <v>446</v>
      </c>
      <c r="C98" s="401">
        <f ca="1">IF(C97&lt;=0,0,C97/C91)</f>
        <v>165.607822410148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1828</v>
      </c>
      <c r="B99" s="381" t="s">
        <v>447</v>
      </c>
      <c r="C99" s="402">
        <f ca="1">ROUND(IF(C97&lt;=0,0,IF(C98&gt;=200%,C97*60%-C91*35%,IF(C98&gt;=100%,C97*50%-C91*15%,IF(C98&gt;=50%,C97*40%-C91*5%,IF(C98&lt;50%,C97*30%,0))))),0)</f>
        <v>93668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41" t="s">
        <v>448</v>
      </c>
      <c r="B101" s="3442"/>
      <c r="C101" s="3442"/>
      <c r="D101" s="3442"/>
      <c r="E101" s="3442"/>
      <c r="F101" s="3442"/>
      <c r="G101" s="3442"/>
      <c r="H101" s="3442"/>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00" t="s">
        <v>423</v>
      </c>
      <c r="B102" s="3401"/>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157611</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946</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2993</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4.0500000000000001E-2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53" t="s">
        <v>2963</v>
      </c>
      <c r="H108" s="3454"/>
      <c r="I108" s="2859"/>
      <c r="J108" s="1916"/>
      <c r="K108" s="3244" t="s">
        <v>2994</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1829</v>
      </c>
      <c r="B109" s="370" t="s">
        <v>455</v>
      </c>
      <c r="C109" s="399">
        <f>IF(H109="——",IF(F1="现房",'剩余法-现房'!C18,0),I109)</f>
        <v>0</v>
      </c>
      <c r="D109" s="400"/>
      <c r="E109" s="3431" t="s">
        <v>456</v>
      </c>
      <c r="F109" s="3398"/>
      <c r="G109" s="3398"/>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1830</v>
      </c>
      <c r="B110" s="370" t="s">
        <v>457</v>
      </c>
      <c r="C110" s="399">
        <f>ROUND((C105+C108+C109)*D110,0)</f>
        <v>0</v>
      </c>
      <c r="D110" s="3275">
        <v>0</v>
      </c>
      <c r="E110" s="3431" t="s">
        <v>458</v>
      </c>
      <c r="F110" s="3398"/>
      <c r="G110" s="3398"/>
      <c r="H110" s="3399"/>
      <c r="I110" s="11"/>
      <c r="J110" s="1916"/>
      <c r="K110" s="3245" t="s">
        <v>2995</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1831</v>
      </c>
      <c r="B111" s="370" t="s">
        <v>444</v>
      </c>
      <c r="C111" s="399">
        <f ca="1">ROUND(D63*D111/(1+'数据-取费表'!C42),0)</f>
        <v>946</v>
      </c>
      <c r="D111" s="400">
        <f>'数据-取费表'!B43</f>
        <v>6.000000000000001E-3</v>
      </c>
      <c r="E111" s="3397" t="s">
        <v>2413</v>
      </c>
      <c r="F111" s="3398"/>
      <c r="G111" s="3398"/>
      <c r="H111" s="3399"/>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1832</v>
      </c>
      <c r="B112" s="370" t="s">
        <v>459</v>
      </c>
      <c r="C112" s="399">
        <f>ROUND(C108*D112,0)</f>
        <v>0</v>
      </c>
      <c r="D112" s="400">
        <v>0.2</v>
      </c>
      <c r="E112" s="3431" t="s">
        <v>2436</v>
      </c>
      <c r="F112" s="3398"/>
      <c r="G112" s="3398"/>
      <c r="H112" s="3399"/>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1826</v>
      </c>
      <c r="B113" s="376" t="s">
        <v>445</v>
      </c>
      <c r="C113" s="379">
        <f ca="1">ROUND(C103-C104,0)</f>
        <v>156665</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1827</v>
      </c>
      <c r="B114" s="376" t="s">
        <v>446</v>
      </c>
      <c r="C114" s="401">
        <f ca="1">IF(C113&lt;=0,0,C113/C104)</f>
        <v>165.607822410148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1828</v>
      </c>
      <c r="B115" s="381" t="s">
        <v>447</v>
      </c>
      <c r="C115" s="402">
        <f ca="1">ROUND(IF(C113&lt;=0,0,IF(C114&gt;=200%,C113*60%-C104*35%,IF(C114&gt;=100%,C113*50%-C104*15%,IF(C114&gt;=50%,C113*40%-C104*5%,IF(C114&lt;50%,C113*30%,0))))),0)</f>
        <v>93668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1839</v>
      </c>
      <c r="B13" s="443" t="s">
        <v>473</v>
      </c>
      <c r="C13" s="444">
        <f ca="1">IF(B1="",'数据-取费表'!M16,INDIRECT("'数据-取费表'!M"&amp;$K$1)+INDIRECT("'数据-取费表'!t"&amp;$K$1))</f>
        <v>189381</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5681</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11191</v>
      </c>
      <c r="D16" s="445">
        <f ca="1">IF(B1="",'数据-汇总表'!E3,INDIRECT("'数据-取费表'!K"&amp;$K$1)+INDIRECT("'数据-取费表'!S"&amp;$K$1))</f>
        <v>559573.15</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2841</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209094</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1845</v>
      </c>
      <c r="B19" s="453" t="s">
        <v>487</v>
      </c>
      <c r="C19" s="454">
        <f ca="1">ROUND(C18*F19,0)</f>
        <v>4182</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1849</v>
      </c>
      <c r="B21" s="455" t="s">
        <v>488</v>
      </c>
      <c r="C21" s="464">
        <f ca="1">C22</f>
        <v>15375</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1" t="s">
        <v>1839</v>
      </c>
      <c r="B22" s="1282" t="s">
        <v>2419</v>
      </c>
      <c r="C22" s="481">
        <f ca="1">ROUND(IF('数据-取费表'!B22&lt;=1,(C18+C19)*F21*'数据-取费表'!B20/2,(C18+C19)*(POWER((1+F21),'数据-取费表'!B20/2)-1)),0)</f>
        <v>15375</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1840</v>
      </c>
      <c r="B23" s="1282" t="s">
        <v>502</v>
      </c>
      <c r="C23" s="482">
        <f ca="1">ROUND(IF('数据-取费表'!B22&lt;=1,F20*F21*'数据-取费表'!B20/2,F20*(POWER((1+F21),'数据-取费表'!B20/2)-1)),4)</f>
        <v>1.4E-3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1850</v>
      </c>
      <c r="B24" s="2745" t="s">
        <v>2812</v>
      </c>
      <c r="C24" s="472">
        <f ca="1">C25</f>
        <v>38390</v>
      </c>
      <c r="D24" s="483">
        <f ca="1">C26</f>
        <v>3.5999999999999999E-3</v>
      </c>
      <c r="E24" s="463" t="s">
        <v>501</v>
      </c>
      <c r="F24" s="473">
        <f ca="1">IF(B1="",'数据-取费表'!Q16,INDIRECT("'数据-取费表'!q"&amp;$K$1))</f>
        <v>0.18</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1839</v>
      </c>
      <c r="B25" s="1282" t="s">
        <v>2420</v>
      </c>
      <c r="C25" s="484">
        <f ca="1">ROUND((C18+C19)*F24,0)</f>
        <v>38390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1840</v>
      </c>
      <c r="B26" s="1282" t="s">
        <v>503</v>
      </c>
      <c r="C26" s="485">
        <f ca="1">ROUND(F20*F24,4)</f>
        <v>3.5999999999999999E-3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1859</v>
      </c>
      <c r="B28" s="470" t="s">
        <v>506</v>
      </c>
      <c r="C28" s="464">
        <f ca="1">ROUND((C18+C19+C21+C24)/(1-C20-D21-D24-C27),0)</f>
        <v>289727</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97" t="str">
        <f>项目基本情况!B1</f>
        <v>出让国有建设用地使用权预评估</v>
      </c>
      <c r="C37" s="3297"/>
      <c r="D37" s="3297"/>
      <c r="E37" s="3297"/>
      <c r="F37" s="3297"/>
      <c r="G37" s="3297"/>
      <c r="H37" s="3297"/>
      <c r="I37" s="3297"/>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34" zoomScale="90" zoomScaleNormal="95" zoomScaleSheetLayoutView="90" workbookViewId="0">
      <selection activeCell="E48" sqref="E4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f>F68</f>
        <v>180494</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0" t="s">
        <v>1675</v>
      </c>
      <c r="B3" s="504">
        <f>ROUND(B2*10000/'数据-汇总表'!E3,0)</f>
        <v>3226</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f>IF(B48="单位面积地价",C50,ROUND(B2*10000/'数据-汇总表'!D3,0))</f>
        <v>11726</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782</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92" t="s">
        <v>516</v>
      </c>
      <c r="D6" s="3493"/>
      <c r="E6" s="3492" t="s">
        <v>517</v>
      </c>
      <c r="F6" s="3493"/>
      <c r="G6" s="3492" t="s">
        <v>518</v>
      </c>
      <c r="H6" s="3493"/>
      <c r="I6" s="3492" t="s">
        <v>519</v>
      </c>
      <c r="J6" s="3493"/>
      <c r="K6" s="508" t="s">
        <v>520</v>
      </c>
      <c r="L6" s="2015"/>
      <c r="M6" s="2014"/>
      <c r="N6" s="2014"/>
      <c r="O6" s="2016"/>
      <c r="P6" s="3494" t="s">
        <v>521</v>
      </c>
      <c r="Q6" s="3495"/>
      <c r="R6" s="3480" t="s">
        <v>517</v>
      </c>
      <c r="S6" s="3481"/>
      <c r="T6" s="3480" t="s">
        <v>518</v>
      </c>
      <c r="U6" s="3481"/>
      <c r="V6" s="3500" t="s">
        <v>519</v>
      </c>
      <c r="W6" s="3500"/>
      <c r="X6" s="1501"/>
      <c r="Y6" s="3480" t="s">
        <v>521</v>
      </c>
      <c r="Z6" s="3481"/>
      <c r="AA6" s="3475" t="s">
        <v>517</v>
      </c>
      <c r="AB6" s="3476" t="s">
        <v>518</v>
      </c>
      <c r="AC6" s="3475" t="s">
        <v>519</v>
      </c>
    </row>
    <row r="7" spans="1:30" ht="20.25">
      <c r="A7" s="509"/>
      <c r="B7" s="510"/>
      <c r="C7" s="3503" t="s">
        <v>2898</v>
      </c>
      <c r="D7" s="3504"/>
      <c r="E7" s="3503" t="s">
        <v>2899</v>
      </c>
      <c r="F7" s="3504"/>
      <c r="G7" s="3503" t="s">
        <v>2900</v>
      </c>
      <c r="H7" s="3504"/>
      <c r="I7" s="3503" t="s">
        <v>2901</v>
      </c>
      <c r="J7" s="3504"/>
      <c r="K7" s="508"/>
      <c r="L7" s="2015"/>
      <c r="M7" s="2014"/>
      <c r="N7" s="2014"/>
      <c r="O7" s="2016"/>
      <c r="P7" s="3496"/>
      <c r="Q7" s="3497"/>
      <c r="R7" s="3482"/>
      <c r="S7" s="3483"/>
      <c r="T7" s="3482"/>
      <c r="U7" s="3483"/>
      <c r="V7" s="3500"/>
      <c r="W7" s="3500"/>
      <c r="X7" s="1501"/>
      <c r="Y7" s="3482"/>
      <c r="Z7" s="3483"/>
      <c r="AA7" s="3476"/>
      <c r="AB7" s="3476"/>
      <c r="AC7" s="3476"/>
    </row>
    <row r="8" spans="1:30" ht="21" thickBot="1">
      <c r="A8" s="509"/>
      <c r="B8" s="510"/>
      <c r="C8" s="3505" t="s">
        <v>2902</v>
      </c>
      <c r="D8" s="3506"/>
      <c r="E8" s="3505" t="s">
        <v>2902</v>
      </c>
      <c r="F8" s="3506"/>
      <c r="G8" s="3501" t="s">
        <v>2902</v>
      </c>
      <c r="H8" s="3502"/>
      <c r="I8" s="3501" t="s">
        <v>2902</v>
      </c>
      <c r="J8" s="3502"/>
      <c r="K8" s="508" t="s">
        <v>522</v>
      </c>
      <c r="L8" s="2015"/>
      <c r="M8" s="2014"/>
      <c r="N8" s="2014"/>
      <c r="O8" s="2016"/>
      <c r="P8" s="3498"/>
      <c r="Q8" s="3499"/>
      <c r="R8" s="3482"/>
      <c r="S8" s="3483"/>
      <c r="T8" s="3484"/>
      <c r="U8" s="3485"/>
      <c r="V8" s="3500"/>
      <c r="W8" s="3500"/>
      <c r="X8" s="1501"/>
      <c r="Y8" s="3484"/>
      <c r="Z8" s="3485"/>
      <c r="AA8" s="3477"/>
      <c r="AB8" s="3477"/>
      <c r="AC8" s="3477"/>
    </row>
    <row r="9" spans="1:30" s="1203" customFormat="1" ht="21" thickBot="1">
      <c r="A9" s="2629"/>
      <c r="B9" s="2636" t="s">
        <v>523</v>
      </c>
      <c r="C9" s="2628">
        <f>'数据-取费表'!B2</f>
        <v>44187</v>
      </c>
      <c r="D9" s="514">
        <v>100</v>
      </c>
      <c r="E9" s="515">
        <f>C9</f>
        <v>44187</v>
      </c>
      <c r="F9" s="516">
        <f>SUMIF(72:72,YEAR(E9)&amp;"-"&amp;INT((MONTH(E9)+2)/3),73:73)</f>
        <v>100</v>
      </c>
      <c r="G9" s="517">
        <f>C9</f>
        <v>44187</v>
      </c>
      <c r="H9" s="514">
        <f>SUMIF(72:72,YEAR(G9)&amp;"-"&amp;INT((MONTH(G9)+2)/3),73:73)</f>
        <v>100</v>
      </c>
      <c r="I9" s="517">
        <f>C9</f>
        <v>44187</v>
      </c>
      <c r="J9" s="514">
        <f>SUMIF(72:72,YEAR(I9)&amp;"-"&amp;INT((MONTH(I9)+2)/3),73:73)</f>
        <v>100</v>
      </c>
      <c r="K9" s="518"/>
      <c r="L9" s="2017"/>
      <c r="M9" s="2014"/>
      <c r="N9" s="2014"/>
      <c r="O9" s="2018"/>
      <c r="P9" s="3478" t="s">
        <v>524</v>
      </c>
      <c r="Q9" s="3487"/>
      <c r="R9" s="1502" t="s">
        <v>8</v>
      </c>
      <c r="S9" s="1503">
        <f t="shared" ref="S9:S17" si="0">F9</f>
        <v>100</v>
      </c>
      <c r="T9" s="1502" t="s">
        <v>8</v>
      </c>
      <c r="U9" s="1503">
        <f t="shared" ref="U9:U17" si="1">H9</f>
        <v>100</v>
      </c>
      <c r="V9" s="1502" t="s">
        <v>8</v>
      </c>
      <c r="W9" s="1503">
        <f t="shared" ref="W9:W17" si="2">J9</f>
        <v>100</v>
      </c>
      <c r="X9" s="1504"/>
      <c r="Y9" s="3478" t="s">
        <v>524</v>
      </c>
      <c r="Z9" s="3479"/>
      <c r="AA9" s="1505">
        <f>D9/F9</f>
        <v>1</v>
      </c>
      <c r="AB9" s="1505">
        <f>D9/H9</f>
        <v>1</v>
      </c>
      <c r="AC9" s="1505">
        <f>D9/J9</f>
        <v>1</v>
      </c>
    </row>
    <row r="10" spans="1:30" s="1203" customFormat="1" ht="21" thickBot="1">
      <c r="A10" s="2630"/>
      <c r="B10" s="2637" t="s">
        <v>525</v>
      </c>
      <c r="C10" s="845" t="s">
        <v>526</v>
      </c>
      <c r="D10" s="514">
        <v>100</v>
      </c>
      <c r="E10" s="519" t="s">
        <v>3046</v>
      </c>
      <c r="F10" s="516">
        <f>SUMIF(75:75,E10,76:76)-SUMIF(75:75,C10,76:76)+100</f>
        <v>100</v>
      </c>
      <c r="G10" s="519" t="s">
        <v>3046</v>
      </c>
      <c r="H10" s="514">
        <f>SUMIF(75:75,G10,76:76)-SUMIF(75:75,C10,76:76)+100</f>
        <v>100</v>
      </c>
      <c r="I10" s="519" t="s">
        <v>3046</v>
      </c>
      <c r="J10" s="514">
        <f>SUMIF(75:75,I10,76:76)-SUMIF(75:75,C10,76:76)+100</f>
        <v>100</v>
      </c>
      <c r="K10" s="518"/>
      <c r="L10" s="2017"/>
      <c r="M10" s="2014"/>
      <c r="N10" s="2014"/>
      <c r="O10" s="2018"/>
      <c r="P10" s="3478" t="s">
        <v>527</v>
      </c>
      <c r="Q10" s="3479"/>
      <c r="R10" s="1502" t="s">
        <v>8</v>
      </c>
      <c r="S10" s="1503">
        <f t="shared" si="0"/>
        <v>100</v>
      </c>
      <c r="T10" s="1502" t="s">
        <v>8</v>
      </c>
      <c r="U10" s="1503">
        <f t="shared" si="1"/>
        <v>100</v>
      </c>
      <c r="V10" s="1502" t="s">
        <v>8</v>
      </c>
      <c r="W10" s="1503">
        <f t="shared" si="2"/>
        <v>100</v>
      </c>
      <c r="X10" s="1504"/>
      <c r="Y10" s="3478" t="s">
        <v>527</v>
      </c>
      <c r="Z10" s="3479"/>
      <c r="AA10" s="1505">
        <f t="shared" ref="AA10:AA47" si="3">D10/F10</f>
        <v>1</v>
      </c>
      <c r="AB10" s="1505">
        <f t="shared" ref="AB10:AB47" si="4">D10/H10</f>
        <v>1</v>
      </c>
      <c r="AC10" s="1505">
        <f t="shared" ref="AC10:AC47" si="5">D10/J10</f>
        <v>1</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86" t="s">
        <v>529</v>
      </c>
      <c r="Q11" s="1134" t="str">
        <f t="shared" ref="Q11:Q17" si="6">B11</f>
        <v>用途</v>
      </c>
      <c r="R11" s="1502" t="s">
        <v>8</v>
      </c>
      <c r="S11" s="1503">
        <f t="shared" si="0"/>
        <v>100</v>
      </c>
      <c r="T11" s="1502" t="s">
        <v>8</v>
      </c>
      <c r="U11" s="1503">
        <f t="shared" si="1"/>
        <v>100</v>
      </c>
      <c r="V11" s="1502" t="s">
        <v>8</v>
      </c>
      <c r="W11" s="1503">
        <f t="shared" si="2"/>
        <v>100</v>
      </c>
      <c r="X11" s="1504"/>
      <c r="Y11" s="3437" t="s">
        <v>530</v>
      </c>
      <c r="Z11" s="1133" t="str">
        <f t="shared" ref="Z11:Z17" si="7">Q11</f>
        <v>用途</v>
      </c>
      <c r="AA11" s="1505">
        <f t="shared" si="3"/>
        <v>1</v>
      </c>
      <c r="AB11" s="1505">
        <f t="shared" si="4"/>
        <v>1</v>
      </c>
      <c r="AC11" s="1505">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86"/>
      <c r="Q12" s="1134" t="str">
        <f t="shared" si="6"/>
        <v>土地使用年限（年）</v>
      </c>
      <c r="R12" s="1502" t="s">
        <v>8</v>
      </c>
      <c r="S12" s="1503">
        <f t="shared" si="0"/>
        <v>100</v>
      </c>
      <c r="T12" s="1502" t="s">
        <v>8</v>
      </c>
      <c r="U12" s="1503">
        <f t="shared" si="1"/>
        <v>100</v>
      </c>
      <c r="V12" s="1502" t="s">
        <v>8</v>
      </c>
      <c r="W12" s="1503">
        <f t="shared" si="2"/>
        <v>100</v>
      </c>
      <c r="X12" s="1504"/>
      <c r="Y12" s="3437"/>
      <c r="Z12" s="1133" t="str">
        <f t="shared" si="7"/>
        <v>土地使用年限（年）</v>
      </c>
      <c r="AA12" s="1505">
        <f t="shared" si="3"/>
        <v>1</v>
      </c>
      <c r="AB12" s="1505">
        <f t="shared" si="4"/>
        <v>1</v>
      </c>
      <c r="AC12" s="1505">
        <f t="shared" si="5"/>
        <v>1</v>
      </c>
    </row>
    <row r="13" spans="1:30" ht="20.25">
      <c r="A13" s="2633"/>
      <c r="B13" s="2637" t="s">
        <v>2739</v>
      </c>
      <c r="C13" s="528"/>
      <c r="D13" s="253">
        <v>100</v>
      </c>
      <c r="E13" s="527"/>
      <c r="F13" s="253">
        <f>LOOKUP(E13,82:82,83:83)-LOOKUP(C13,82:82,83:83)+100</f>
        <v>100</v>
      </c>
      <c r="G13" s="528"/>
      <c r="H13" s="253">
        <f>LOOKUP(G13,82:82,83:83)-LOOKUP(C13,82:82,83:83)+100</f>
        <v>100</v>
      </c>
      <c r="I13" s="527"/>
      <c r="J13" s="253">
        <f>LOOKUP(I13,82:82,83:83)-LOOKUP(C13,82:82,83:83)+100</f>
        <v>100</v>
      </c>
      <c r="K13" s="529"/>
      <c r="L13" s="2022"/>
      <c r="M13" s="2014"/>
      <c r="N13" s="2014"/>
      <c r="O13" s="2023"/>
      <c r="P13" s="3486"/>
      <c r="Q13" s="1134" t="str">
        <f t="shared" si="6"/>
        <v>容积率</v>
      </c>
      <c r="R13" s="1502" t="s">
        <v>8</v>
      </c>
      <c r="S13" s="1503">
        <f t="shared" si="0"/>
        <v>100</v>
      </c>
      <c r="T13" s="1502" t="s">
        <v>8</v>
      </c>
      <c r="U13" s="1503">
        <f t="shared" si="1"/>
        <v>100</v>
      </c>
      <c r="V13" s="1502" t="s">
        <v>8</v>
      </c>
      <c r="W13" s="1503">
        <f t="shared" si="2"/>
        <v>100</v>
      </c>
      <c r="X13" s="1504"/>
      <c r="Y13" s="3437"/>
      <c r="Z13" s="1133" t="str">
        <f t="shared" si="7"/>
        <v>容积率</v>
      </c>
      <c r="AA13" s="1505">
        <f t="shared" si="3"/>
        <v>1</v>
      </c>
      <c r="AB13" s="1505">
        <f t="shared" si="4"/>
        <v>1</v>
      </c>
      <c r="AC13" s="1505">
        <f t="shared" si="5"/>
        <v>1</v>
      </c>
    </row>
    <row r="14" spans="1:30" s="1203"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86"/>
      <c r="Q14" s="1134" t="str">
        <f t="shared" si="6"/>
        <v>配建</v>
      </c>
      <c r="R14" s="1502" t="s">
        <v>8</v>
      </c>
      <c r="S14" s="1503">
        <f t="shared" si="0"/>
        <v>100</v>
      </c>
      <c r="T14" s="1502" t="s">
        <v>8</v>
      </c>
      <c r="U14" s="1503">
        <f t="shared" si="1"/>
        <v>100</v>
      </c>
      <c r="V14" s="1502" t="s">
        <v>8</v>
      </c>
      <c r="W14" s="1503">
        <f t="shared" si="2"/>
        <v>100</v>
      </c>
      <c r="X14" s="1504"/>
      <c r="Y14" s="3437"/>
      <c r="Z14" s="1133" t="str">
        <f t="shared" si="7"/>
        <v>配建</v>
      </c>
      <c r="AA14" s="1505">
        <f>D14/F14</f>
        <v>1</v>
      </c>
      <c r="AB14" s="1505">
        <f>D14/H14</f>
        <v>1</v>
      </c>
      <c r="AC14" s="1505">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6"/>
      <c r="Q15" s="1134">
        <f t="shared" si="6"/>
        <v>111</v>
      </c>
      <c r="R15" s="1502" t="s">
        <v>8</v>
      </c>
      <c r="S15" s="1503">
        <f t="shared" si="0"/>
        <v>100</v>
      </c>
      <c r="T15" s="1502" t="s">
        <v>8</v>
      </c>
      <c r="U15" s="1503">
        <f t="shared" si="1"/>
        <v>100</v>
      </c>
      <c r="V15" s="1502" t="s">
        <v>8</v>
      </c>
      <c r="W15" s="1503">
        <f t="shared" si="2"/>
        <v>100</v>
      </c>
      <c r="X15" s="1504"/>
      <c r="Y15" s="3437"/>
      <c r="Z15" s="1133">
        <f t="shared" si="7"/>
        <v>111</v>
      </c>
      <c r="AA15" s="1505">
        <f>D15/F15</f>
        <v>1</v>
      </c>
      <c r="AB15" s="1505">
        <f>D15/H15</f>
        <v>1</v>
      </c>
      <c r="AC15" s="1505">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6"/>
      <c r="Q16" s="1134">
        <f t="shared" si="6"/>
        <v>111</v>
      </c>
      <c r="R16" s="1502" t="s">
        <v>8</v>
      </c>
      <c r="S16" s="1503">
        <f t="shared" si="0"/>
        <v>100</v>
      </c>
      <c r="T16" s="1502" t="s">
        <v>8</v>
      </c>
      <c r="U16" s="1503">
        <f t="shared" si="1"/>
        <v>100</v>
      </c>
      <c r="V16" s="1502" t="s">
        <v>8</v>
      </c>
      <c r="W16" s="1503">
        <f t="shared" si="2"/>
        <v>100</v>
      </c>
      <c r="X16" s="1504"/>
      <c r="Y16" s="3437"/>
      <c r="Z16" s="1133">
        <f t="shared" si="7"/>
        <v>111</v>
      </c>
      <c r="AA16" s="1505">
        <f>D16/F16</f>
        <v>1</v>
      </c>
      <c r="AB16" s="1505">
        <f>D16/H16</f>
        <v>1</v>
      </c>
      <c r="AC16" s="1505">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88" t="s">
        <v>534</v>
      </c>
      <c r="Q17" s="1506" t="str">
        <f t="shared" si="6"/>
        <v>居住社区成熟度</v>
      </c>
      <c r="R17" s="1507" t="s">
        <v>8</v>
      </c>
      <c r="S17" s="1508">
        <f t="shared" si="0"/>
        <v>100</v>
      </c>
      <c r="T17" s="1507" t="s">
        <v>8</v>
      </c>
      <c r="U17" s="1508">
        <f t="shared" si="1"/>
        <v>100</v>
      </c>
      <c r="V17" s="1507" t="s">
        <v>8</v>
      </c>
      <c r="W17" s="1508">
        <f t="shared" si="2"/>
        <v>100</v>
      </c>
      <c r="X17" s="1501"/>
      <c r="Y17" s="3488"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89"/>
      <c r="Q18" s="1506"/>
      <c r="R18" s="1507"/>
      <c r="S18" s="1508"/>
      <c r="T18" s="1507"/>
      <c r="U18" s="1508"/>
      <c r="V18" s="1507"/>
      <c r="W18" s="1508"/>
      <c r="X18" s="1501"/>
      <c r="Y18" s="3489"/>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89"/>
      <c r="Q19" s="1506" t="str">
        <f>B19</f>
        <v>商业繁华度</v>
      </c>
      <c r="R19" s="1507" t="s">
        <v>8</v>
      </c>
      <c r="S19" s="1508">
        <f>F19</f>
        <v>100</v>
      </c>
      <c r="T19" s="1507" t="s">
        <v>8</v>
      </c>
      <c r="U19" s="1508">
        <f>H19</f>
        <v>100</v>
      </c>
      <c r="V19" s="1507" t="s">
        <v>8</v>
      </c>
      <c r="W19" s="1508">
        <f>J19</f>
        <v>100</v>
      </c>
      <c r="X19" s="1501"/>
      <c r="Y19" s="3489"/>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489"/>
      <c r="Q20" s="1506"/>
      <c r="R20" s="1507"/>
      <c r="S20" s="1508"/>
      <c r="T20" s="1507"/>
      <c r="U20" s="1508"/>
      <c r="V20" s="1507"/>
      <c r="W20" s="1508"/>
      <c r="X20" s="1501"/>
      <c r="Y20" s="3489"/>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89"/>
      <c r="Q21" s="1506" t="str">
        <f>B21</f>
        <v>办公集聚程度</v>
      </c>
      <c r="R21" s="1507" t="s">
        <v>8</v>
      </c>
      <c r="S21" s="1508">
        <f>F21</f>
        <v>100</v>
      </c>
      <c r="T21" s="1507" t="s">
        <v>8</v>
      </c>
      <c r="U21" s="1508">
        <f>H21</f>
        <v>100</v>
      </c>
      <c r="V21" s="1507" t="s">
        <v>8</v>
      </c>
      <c r="W21" s="1508">
        <f>J21</f>
        <v>100</v>
      </c>
      <c r="X21" s="1501"/>
      <c r="Y21" s="3489"/>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489"/>
      <c r="Q22" s="1506"/>
      <c r="R22" s="1507"/>
      <c r="S22" s="1508"/>
      <c r="T22" s="1507"/>
      <c r="U22" s="1508"/>
      <c r="V22" s="1507"/>
      <c r="W22" s="1508"/>
      <c r="X22" s="1501"/>
      <c r="Y22" s="3489"/>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89"/>
      <c r="Q23" s="1506" t="str">
        <f>B23</f>
        <v>交通便捷度</v>
      </c>
      <c r="R23" s="1507" t="s">
        <v>8</v>
      </c>
      <c r="S23" s="1508">
        <f>F23</f>
        <v>100</v>
      </c>
      <c r="T23" s="1507" t="s">
        <v>8</v>
      </c>
      <c r="U23" s="1508">
        <f>H23</f>
        <v>100</v>
      </c>
      <c r="V23" s="1507" t="s">
        <v>8</v>
      </c>
      <c r="W23" s="1508">
        <f>J23</f>
        <v>100</v>
      </c>
      <c r="X23" s="1501"/>
      <c r="Y23" s="3489"/>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489"/>
      <c r="Q24" s="1506"/>
      <c r="R24" s="1507"/>
      <c r="S24" s="1508"/>
      <c r="T24" s="1507"/>
      <c r="U24" s="1508"/>
      <c r="V24" s="1507"/>
      <c r="W24" s="1508"/>
      <c r="X24" s="1501"/>
      <c r="Y24" s="3489"/>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89"/>
      <c r="Q25" s="1506" t="str">
        <f t="shared" ref="Q25:Q39" si="8">B25</f>
        <v>区域土地利用方向</v>
      </c>
      <c r="R25" s="1507" t="s">
        <v>8</v>
      </c>
      <c r="S25" s="1508">
        <f>F25</f>
        <v>100</v>
      </c>
      <c r="T25" s="1507" t="s">
        <v>8</v>
      </c>
      <c r="U25" s="1508">
        <f>H25</f>
        <v>100</v>
      </c>
      <c r="V25" s="1507" t="s">
        <v>8</v>
      </c>
      <c r="W25" s="1508">
        <f>J25</f>
        <v>100</v>
      </c>
      <c r="X25" s="1501"/>
      <c r="Y25" s="3489"/>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489"/>
      <c r="Q26" s="1506"/>
      <c r="R26" s="1507"/>
      <c r="S26" s="1508"/>
      <c r="T26" s="1507"/>
      <c r="U26" s="1508"/>
      <c r="V26" s="1507"/>
      <c r="W26" s="1508"/>
      <c r="X26" s="1501"/>
      <c r="Y26" s="3489"/>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89"/>
      <c r="Q27" s="1506" t="str">
        <f t="shared" si="8"/>
        <v>自然及人文环境状况</v>
      </c>
      <c r="R27" s="1507" t="s">
        <v>8</v>
      </c>
      <c r="S27" s="1508">
        <f>F27</f>
        <v>100</v>
      </c>
      <c r="T27" s="1507" t="s">
        <v>8</v>
      </c>
      <c r="U27" s="1508">
        <f>H27</f>
        <v>100</v>
      </c>
      <c r="V27" s="1507" t="s">
        <v>8</v>
      </c>
      <c r="W27" s="1508">
        <f>J27</f>
        <v>100</v>
      </c>
      <c r="X27" s="1501"/>
      <c r="Y27" s="3489"/>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489"/>
      <c r="Q28" s="1506"/>
      <c r="R28" s="1507"/>
      <c r="S28" s="1508"/>
      <c r="T28" s="1507"/>
      <c r="U28" s="1508"/>
      <c r="V28" s="1507"/>
      <c r="W28" s="1508"/>
      <c r="X28" s="1501"/>
      <c r="Y28" s="3489"/>
      <c r="Z28" s="1509"/>
      <c r="AA28" s="1510">
        <v>1</v>
      </c>
      <c r="AB28" s="1510">
        <v>1</v>
      </c>
      <c r="AC28" s="1510">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89"/>
      <c r="Q29" s="1134" t="str">
        <f t="shared" si="8"/>
        <v>公共配套设施</v>
      </c>
      <c r="R29" s="1502" t="s">
        <v>8</v>
      </c>
      <c r="S29" s="1503">
        <f>F29</f>
        <v>100</v>
      </c>
      <c r="T29" s="1502" t="s">
        <v>8</v>
      </c>
      <c r="U29" s="1503">
        <f>H29</f>
        <v>100</v>
      </c>
      <c r="V29" s="1502" t="s">
        <v>8</v>
      </c>
      <c r="W29" s="1503">
        <f>J29</f>
        <v>100</v>
      </c>
      <c r="X29" s="1504"/>
      <c r="Y29" s="3489"/>
      <c r="Z29" s="1133" t="str">
        <f>Q29</f>
        <v>公共配套设施</v>
      </c>
      <c r="AA29" s="1510">
        <f>D29/F29</f>
        <v>1</v>
      </c>
      <c r="AB29" s="1510">
        <f>D29/H29</f>
        <v>1</v>
      </c>
      <c r="AC29" s="1510">
        <f>D29/J29</f>
        <v>1</v>
      </c>
    </row>
    <row r="30" spans="1:29" s="1203" customFormat="1" ht="20.25">
      <c r="A30" s="571"/>
      <c r="B30" s="560"/>
      <c r="C30" s="573"/>
      <c r="D30" s="551"/>
      <c r="E30" s="570"/>
      <c r="F30" s="549"/>
      <c r="G30" s="548"/>
      <c r="H30" s="549"/>
      <c r="I30" s="570"/>
      <c r="J30" s="549"/>
      <c r="K30" s="525"/>
      <c r="L30" s="2017"/>
      <c r="M30" s="2014"/>
      <c r="N30" s="2014"/>
      <c r="O30" s="2019"/>
      <c r="P30" s="3489"/>
      <c r="Q30" s="1134"/>
      <c r="R30" s="1502"/>
      <c r="S30" s="1503"/>
      <c r="T30" s="1502"/>
      <c r="U30" s="1503"/>
      <c r="V30" s="1502"/>
      <c r="W30" s="1503"/>
      <c r="X30" s="1504"/>
      <c r="Y30" s="3489"/>
      <c r="Z30" s="1133"/>
      <c r="AA30" s="1510">
        <v>1</v>
      </c>
      <c r="AB30" s="1510">
        <v>1</v>
      </c>
      <c r="AC30" s="1510">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89"/>
      <c r="Q31" s="2428" t="str">
        <f t="shared" ref="Q31" si="9">B31</f>
        <v>基础设施水平</v>
      </c>
      <c r="R31" s="1502" t="s">
        <v>8</v>
      </c>
      <c r="S31" s="1503">
        <f>F31</f>
        <v>100</v>
      </c>
      <c r="T31" s="1502" t="s">
        <v>8</v>
      </c>
      <c r="U31" s="1503">
        <f>H31</f>
        <v>100</v>
      </c>
      <c r="V31" s="1502" t="s">
        <v>8</v>
      </c>
      <c r="W31" s="1503">
        <f>J31</f>
        <v>100</v>
      </c>
      <c r="X31" s="1504"/>
      <c r="Y31" s="3489"/>
      <c r="Z31" s="2427" t="str">
        <f>Q31</f>
        <v>基础设施水平</v>
      </c>
      <c r="AA31" s="1510">
        <f>D31/F31</f>
        <v>1</v>
      </c>
      <c r="AB31" s="1510">
        <f>D31/H31</f>
        <v>1</v>
      </c>
      <c r="AC31" s="1510">
        <f>D31/J31</f>
        <v>1</v>
      </c>
    </row>
    <row r="32" spans="1:29" s="1203" customFormat="1" ht="20.25">
      <c r="A32" s="571"/>
      <c r="B32" s="560"/>
      <c r="C32" s="573"/>
      <c r="D32" s="551"/>
      <c r="E32" s="2436"/>
      <c r="F32" s="549"/>
      <c r="G32" s="573"/>
      <c r="H32" s="549"/>
      <c r="I32" s="573"/>
      <c r="J32" s="549"/>
      <c r="K32" s="525"/>
      <c r="L32" s="2017"/>
      <c r="M32" s="2014"/>
      <c r="N32" s="2014"/>
      <c r="O32" s="2019"/>
      <c r="P32" s="3489"/>
      <c r="Q32" s="2428"/>
      <c r="R32" s="1502"/>
      <c r="S32" s="1503"/>
      <c r="T32" s="1502"/>
      <c r="U32" s="1503"/>
      <c r="V32" s="1502"/>
      <c r="W32" s="1503"/>
      <c r="X32" s="1504"/>
      <c r="Y32" s="3489"/>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89"/>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89"/>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89"/>
      <c r="Q34" s="1506" t="str">
        <f t="shared" si="8"/>
        <v>毗邻道路的类型与等级</v>
      </c>
      <c r="R34" s="1507" t="s">
        <v>8</v>
      </c>
      <c r="S34" s="1508">
        <f t="shared" si="10"/>
        <v>100</v>
      </c>
      <c r="T34" s="1507" t="s">
        <v>8</v>
      </c>
      <c r="U34" s="1508">
        <f t="shared" si="11"/>
        <v>100</v>
      </c>
      <c r="V34" s="1507" t="s">
        <v>8</v>
      </c>
      <c r="W34" s="1508">
        <f t="shared" si="12"/>
        <v>100</v>
      </c>
      <c r="X34" s="1501"/>
      <c r="Y34" s="3489"/>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489"/>
      <c r="Q35" s="1506"/>
      <c r="R35" s="1507"/>
      <c r="S35" s="1508"/>
      <c r="T35" s="1507"/>
      <c r="U35" s="1508"/>
      <c r="V35" s="1507"/>
      <c r="W35" s="1508"/>
      <c r="X35" s="1501"/>
      <c r="Y35" s="3489"/>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89"/>
      <c r="Q36" s="1506" t="str">
        <f t="shared" si="8"/>
        <v>土地级别</v>
      </c>
      <c r="R36" s="1507" t="s">
        <v>8</v>
      </c>
      <c r="S36" s="1508">
        <f t="shared" si="10"/>
        <v>100</v>
      </c>
      <c r="T36" s="1507" t="s">
        <v>8</v>
      </c>
      <c r="U36" s="1508">
        <f t="shared" si="11"/>
        <v>100</v>
      </c>
      <c r="V36" s="1507" t="s">
        <v>8</v>
      </c>
      <c r="W36" s="1508">
        <f t="shared" si="12"/>
        <v>100</v>
      </c>
      <c r="X36" s="1501"/>
      <c r="Y36" s="3489"/>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89"/>
      <c r="Q37" s="1506">
        <f t="shared" si="8"/>
        <v>111</v>
      </c>
      <c r="R37" s="1507" t="s">
        <v>8</v>
      </c>
      <c r="S37" s="1508">
        <f t="shared" si="10"/>
        <v>100</v>
      </c>
      <c r="T37" s="1507" t="s">
        <v>8</v>
      </c>
      <c r="U37" s="1508">
        <f t="shared" si="11"/>
        <v>100</v>
      </c>
      <c r="V37" s="1507" t="s">
        <v>8</v>
      </c>
      <c r="W37" s="1508">
        <f t="shared" si="12"/>
        <v>100</v>
      </c>
      <c r="X37" s="1501"/>
      <c r="Y37" s="3489"/>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0" t="s">
        <v>544</v>
      </c>
      <c r="Q38" s="1506">
        <f t="shared" si="8"/>
        <v>111</v>
      </c>
      <c r="R38" s="1507" t="s">
        <v>8</v>
      </c>
      <c r="S38" s="1508">
        <f t="shared" si="10"/>
        <v>100</v>
      </c>
      <c r="T38" s="1507" t="s">
        <v>8</v>
      </c>
      <c r="U38" s="1508">
        <f t="shared" si="11"/>
        <v>100</v>
      </c>
      <c r="V38" s="1507" t="s">
        <v>8</v>
      </c>
      <c r="W38" s="1508">
        <f t="shared" si="12"/>
        <v>100</v>
      </c>
      <c r="X38" s="1501"/>
      <c r="Y38" s="3491" t="s">
        <v>544</v>
      </c>
      <c r="Z38" s="1509">
        <f t="shared" si="13"/>
        <v>111</v>
      </c>
      <c r="AA38" s="1510">
        <f t="shared" si="3"/>
        <v>1</v>
      </c>
      <c r="AB38" s="1510">
        <f t="shared" si="4"/>
        <v>1</v>
      </c>
      <c r="AC38" s="1510">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1"/>
      <c r="Q39" s="1506">
        <f t="shared" si="8"/>
        <v>111</v>
      </c>
      <c r="R39" s="1511" t="s">
        <v>8</v>
      </c>
      <c r="S39" s="1512">
        <f t="shared" si="10"/>
        <v>100</v>
      </c>
      <c r="T39" s="1511" t="s">
        <v>8</v>
      </c>
      <c r="U39" s="1512">
        <f t="shared" si="11"/>
        <v>100</v>
      </c>
      <c r="V39" s="1511" t="s">
        <v>8</v>
      </c>
      <c r="W39" s="1512">
        <f t="shared" si="12"/>
        <v>100</v>
      </c>
      <c r="X39" s="1513"/>
      <c r="Y39" s="3491"/>
      <c r="Z39" s="1514">
        <f t="shared" si="13"/>
        <v>111</v>
      </c>
      <c r="AA39" s="1510">
        <f t="shared" si="3"/>
        <v>1</v>
      </c>
      <c r="AB39" s="1510">
        <f t="shared" si="4"/>
        <v>1</v>
      </c>
      <c r="AC39" s="1510">
        <f t="shared" si="5"/>
        <v>1</v>
      </c>
    </row>
    <row r="40" spans="1:29" ht="20.25">
      <c r="A40" s="2624" t="s">
        <v>2736</v>
      </c>
      <c r="B40" s="589" t="s">
        <v>546</v>
      </c>
      <c r="C40" s="590"/>
      <c r="D40" s="591">
        <v>100</v>
      </c>
      <c r="E40" s="590"/>
      <c r="F40" s="591">
        <f>LOOKUP(E40,119:119,120:120)-LOOKUP(C40,119:119,120:120)+100</f>
        <v>100</v>
      </c>
      <c r="G40" s="590"/>
      <c r="H40" s="591">
        <f>LOOKUP(G40,119:119,120:120)-LOOKUP(C40,119:119,120:120)+100</f>
        <v>100</v>
      </c>
      <c r="I40" s="592"/>
      <c r="J40" s="591">
        <f>LOOKUP(I40,119:119,120:120)-LOOKUP(C40,119:119,120:120)+100</f>
        <v>100</v>
      </c>
      <c r="K40" s="575"/>
      <c r="L40" s="2024"/>
      <c r="M40" s="2014"/>
      <c r="N40" s="2014"/>
      <c r="O40" s="2023"/>
      <c r="P40" s="3491"/>
      <c r="Q40" s="1506" t="str">
        <f>B40</f>
        <v>宗地面积</v>
      </c>
      <c r="R40" s="1507" t="s">
        <v>8</v>
      </c>
      <c r="S40" s="1508">
        <f t="shared" si="10"/>
        <v>100</v>
      </c>
      <c r="T40" s="1507" t="s">
        <v>8</v>
      </c>
      <c r="U40" s="1508">
        <f t="shared" si="11"/>
        <v>100</v>
      </c>
      <c r="V40" s="1507" t="s">
        <v>8</v>
      </c>
      <c r="W40" s="1508">
        <f t="shared" si="12"/>
        <v>100</v>
      </c>
      <c r="X40" s="1501"/>
      <c r="Y40" s="3491"/>
      <c r="Z40" s="1509" t="str">
        <f t="shared" si="13"/>
        <v>宗地面积</v>
      </c>
      <c r="AA40" s="1510">
        <f t="shared" si="3"/>
        <v>1</v>
      </c>
      <c r="AB40" s="1510">
        <f t="shared" si="4"/>
        <v>1</v>
      </c>
      <c r="AC40" s="1510">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1"/>
      <c r="Q41" s="1506" t="str">
        <f t="shared" ref="Q41:Q47" si="14">B41</f>
        <v>宗地形状</v>
      </c>
      <c r="R41" s="1507" t="s">
        <v>8</v>
      </c>
      <c r="S41" s="1508">
        <f t="shared" si="10"/>
        <v>100</v>
      </c>
      <c r="T41" s="1507" t="s">
        <v>8</v>
      </c>
      <c r="U41" s="1508">
        <f t="shared" si="11"/>
        <v>100</v>
      </c>
      <c r="V41" s="1507" t="s">
        <v>8</v>
      </c>
      <c r="W41" s="1508">
        <f t="shared" si="12"/>
        <v>100</v>
      </c>
      <c r="X41" s="1501"/>
      <c r="Y41" s="3491"/>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1"/>
      <c r="Q42" s="1506" t="str">
        <f t="shared" si="14"/>
        <v>临街宽度及深度</v>
      </c>
      <c r="R42" s="1507" t="s">
        <v>8</v>
      </c>
      <c r="S42" s="1508">
        <f t="shared" si="10"/>
        <v>100</v>
      </c>
      <c r="T42" s="1507" t="s">
        <v>8</v>
      </c>
      <c r="U42" s="1508">
        <f t="shared" si="11"/>
        <v>100</v>
      </c>
      <c r="V42" s="1507" t="s">
        <v>8</v>
      </c>
      <c r="W42" s="1508">
        <f t="shared" si="12"/>
        <v>100</v>
      </c>
      <c r="X42" s="1501"/>
      <c r="Y42" s="3491"/>
      <c r="Z42" s="1509" t="str">
        <f t="shared" si="13"/>
        <v>临街宽度及深度</v>
      </c>
      <c r="AA42" s="1510">
        <f t="shared" si="3"/>
        <v>1</v>
      </c>
      <c r="AB42" s="1510">
        <f t="shared" si="4"/>
        <v>1</v>
      </c>
      <c r="AC42" s="1510">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1"/>
      <c r="Q43" s="1506" t="str">
        <f t="shared" si="14"/>
        <v>宗地开发程度</v>
      </c>
      <c r="R43" s="1502" t="s">
        <v>8</v>
      </c>
      <c r="S43" s="1503">
        <f t="shared" si="10"/>
        <v>100</v>
      </c>
      <c r="T43" s="1502" t="s">
        <v>8</v>
      </c>
      <c r="U43" s="1503">
        <f t="shared" si="11"/>
        <v>100</v>
      </c>
      <c r="V43" s="1502" t="s">
        <v>8</v>
      </c>
      <c r="W43" s="1503">
        <f t="shared" si="12"/>
        <v>100</v>
      </c>
      <c r="X43" s="1504"/>
      <c r="Y43" s="3491"/>
      <c r="Z43" s="1133"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1" t="s">
        <v>544</v>
      </c>
      <c r="Q44" s="1506" t="str">
        <f t="shared" si="14"/>
        <v>工程地质条件</v>
      </c>
      <c r="R44" s="1507" t="s">
        <v>8</v>
      </c>
      <c r="S44" s="1508">
        <f t="shared" si="10"/>
        <v>100</v>
      </c>
      <c r="T44" s="1507" t="s">
        <v>8</v>
      </c>
      <c r="U44" s="1508">
        <f t="shared" si="11"/>
        <v>100</v>
      </c>
      <c r="V44" s="1507" t="s">
        <v>8</v>
      </c>
      <c r="W44" s="1508">
        <f t="shared" si="12"/>
        <v>100</v>
      </c>
      <c r="X44" s="1501"/>
      <c r="Y44" s="3491"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1"/>
      <c r="Q45" s="1506">
        <f t="shared" si="14"/>
        <v>111</v>
      </c>
      <c r="R45" s="1507" t="s">
        <v>8</v>
      </c>
      <c r="S45" s="1508">
        <f t="shared" si="10"/>
        <v>100</v>
      </c>
      <c r="T45" s="1507" t="s">
        <v>8</v>
      </c>
      <c r="U45" s="1508">
        <f t="shared" si="11"/>
        <v>100</v>
      </c>
      <c r="V45" s="1507" t="s">
        <v>8</v>
      </c>
      <c r="W45" s="1508">
        <f t="shared" si="12"/>
        <v>100</v>
      </c>
      <c r="X45" s="1501"/>
      <c r="Y45" s="3491"/>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1"/>
      <c r="Q46" s="1506">
        <f t="shared" si="14"/>
        <v>111</v>
      </c>
      <c r="R46" s="1507" t="s">
        <v>8</v>
      </c>
      <c r="S46" s="1508">
        <f t="shared" si="10"/>
        <v>100</v>
      </c>
      <c r="T46" s="1507" t="s">
        <v>8</v>
      </c>
      <c r="U46" s="1508">
        <f t="shared" si="11"/>
        <v>100</v>
      </c>
      <c r="V46" s="1507" t="s">
        <v>8</v>
      </c>
      <c r="W46" s="1508">
        <f t="shared" si="12"/>
        <v>100</v>
      </c>
      <c r="X46" s="1501"/>
      <c r="Y46" s="3491"/>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1"/>
      <c r="Q47" s="1506">
        <f t="shared" si="14"/>
        <v>111</v>
      </c>
      <c r="R47" s="1511" t="s">
        <v>8</v>
      </c>
      <c r="S47" s="1512">
        <f t="shared" si="10"/>
        <v>100</v>
      </c>
      <c r="T47" s="1511" t="s">
        <v>8</v>
      </c>
      <c r="U47" s="1512">
        <f t="shared" si="11"/>
        <v>100</v>
      </c>
      <c r="V47" s="1511" t="s">
        <v>8</v>
      </c>
      <c r="W47" s="1512">
        <f t="shared" si="12"/>
        <v>100</v>
      </c>
      <c r="X47" s="1513"/>
      <c r="Y47" s="3491"/>
      <c r="Z47" s="1514">
        <f t="shared" si="13"/>
        <v>111</v>
      </c>
      <c r="AA47" s="1510">
        <f t="shared" si="3"/>
        <v>1</v>
      </c>
      <c r="AB47" s="1510">
        <f t="shared" si="4"/>
        <v>1</v>
      </c>
      <c r="AC47" s="1510">
        <f t="shared" si="5"/>
        <v>1</v>
      </c>
    </row>
    <row r="48" spans="1:29" ht="20.25">
      <c r="A48" s="601" t="s">
        <v>550</v>
      </c>
      <c r="B48" s="602" t="s">
        <v>3047</v>
      </c>
      <c r="C48" s="603" t="s">
        <v>1</v>
      </c>
      <c r="D48" s="604"/>
      <c r="E48" s="605">
        <f>5000*0.9</f>
        <v>4500</v>
      </c>
      <c r="F48" s="606"/>
      <c r="G48" s="607">
        <f>5000*0.9</f>
        <v>4500</v>
      </c>
      <c r="H48" s="608"/>
      <c r="I48" s="605">
        <f>5000*0.9</f>
        <v>4500</v>
      </c>
      <c r="J48" s="608"/>
      <c r="K48" s="1294"/>
      <c r="L48" s="2026"/>
      <c r="M48" s="2014"/>
      <c r="N48" s="2014"/>
      <c r="O48" s="2027"/>
      <c r="P48" s="3486" t="str">
        <f>A48</f>
        <v>成交单价</v>
      </c>
      <c r="Q48" s="3486"/>
      <c r="R48" s="3500">
        <f>E48</f>
        <v>4500</v>
      </c>
      <c r="S48" s="3500"/>
      <c r="T48" s="3500">
        <f>G48</f>
        <v>4500</v>
      </c>
      <c r="U48" s="3500"/>
      <c r="V48" s="3500">
        <f>I48</f>
        <v>4500</v>
      </c>
      <c r="W48" s="3500"/>
      <c r="X48" s="1496"/>
      <c r="Y48" s="1515"/>
      <c r="Z48" s="1496"/>
      <c r="AA48" s="1496"/>
      <c r="AB48" s="1496"/>
      <c r="AC48" s="1496"/>
    </row>
    <row r="49" spans="1:29" ht="21" thickBot="1">
      <c r="A49" s="609" t="s">
        <v>2674</v>
      </c>
      <c r="B49" s="610"/>
      <c r="C49" s="611">
        <f>R50</f>
        <v>4500</v>
      </c>
      <c r="D49" s="3014" t="s">
        <v>2972</v>
      </c>
      <c r="E49" s="611">
        <f>R49</f>
        <v>4500</v>
      </c>
      <c r="F49" s="3015"/>
      <c r="G49" s="612">
        <f>T49</f>
        <v>4500</v>
      </c>
      <c r="H49" s="3015"/>
      <c r="I49" s="611">
        <f>V49</f>
        <v>4500</v>
      </c>
      <c r="J49" s="3015"/>
      <c r="K49" s="3016">
        <f>F49+H49+J49</f>
        <v>0</v>
      </c>
      <c r="L49" s="2026"/>
      <c r="M49" s="2014"/>
      <c r="N49" s="2014"/>
      <c r="O49" s="2027"/>
      <c r="P49" s="3486" t="str">
        <f>A49</f>
        <v>比较价格（元/平方米）</v>
      </c>
      <c r="Q49" s="3486"/>
      <c r="R49" s="3510">
        <f>ROUND(PRODUCT(R48,AA9:AA47),0)</f>
        <v>4500</v>
      </c>
      <c r="S49" s="3510"/>
      <c r="T49" s="3510">
        <f>ROUND(PRODUCT(T48,AB9:AB47),0)</f>
        <v>4500</v>
      </c>
      <c r="U49" s="3510"/>
      <c r="V49" s="3510">
        <f>ROUND(PRODUCT(V48,AC9:AC47),0)</f>
        <v>4500</v>
      </c>
      <c r="W49" s="3510"/>
      <c r="X49" s="1496"/>
      <c r="Y49" s="1496"/>
      <c r="Z49" s="1496"/>
      <c r="AA49" s="1496"/>
      <c r="AB49" s="1496"/>
      <c r="AC49" s="1496"/>
    </row>
    <row r="50" spans="1:29" ht="21" thickBot="1">
      <c r="A50" s="613" t="s">
        <v>2904</v>
      </c>
      <c r="B50" s="614"/>
      <c r="C50" s="615">
        <f>R50</f>
        <v>4500</v>
      </c>
      <c r="D50" s="615"/>
      <c r="E50" s="615"/>
      <c r="F50" s="615"/>
      <c r="G50" s="615"/>
      <c r="H50" s="615"/>
      <c r="I50" s="615"/>
      <c r="J50" s="615"/>
      <c r="K50" s="1295"/>
      <c r="L50" s="2026"/>
      <c r="M50" s="2014"/>
      <c r="N50" s="2014"/>
      <c r="O50" s="2027"/>
      <c r="P50" s="3507" t="str">
        <f>A50</f>
        <v>估价对象XX用房的比较价格（楼面单价，元/平方米）</v>
      </c>
      <c r="Q50" s="3508"/>
      <c r="R50" s="3509">
        <f>ROUND(IF(D49="简单平均",AVERAGE(R49:W49),R49*F49+T49*H49+V49*J49),0)</f>
        <v>4500</v>
      </c>
      <c r="S50" s="3509"/>
      <c r="T50" s="3509"/>
      <c r="U50" s="3509"/>
      <c r="V50" s="3509"/>
      <c r="W50" s="3509"/>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0</v>
      </c>
      <c r="F53" s="619" t="str">
        <f>IF(OR(E53&gt;=0.3,E53&lt;=-0.3),"超过30%","")</f>
        <v/>
      </c>
      <c r="G53" s="618">
        <f>IF(G48&lt;G49,G49/G48-1,G48/G49-1)</f>
        <v>0</v>
      </c>
      <c r="H53" s="619" t="str">
        <f>IF(OR(G53&gt;=0.3,G53&lt;=-0.3),"超过30%","")</f>
        <v/>
      </c>
      <c r="I53" s="618">
        <f>IF(I48&lt;I49,I49/I48-1,I48/I49-1)</f>
        <v>0</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0</v>
      </c>
      <c r="F54" s="619" t="str">
        <f>IF(OR(E54&gt;=0.2,E54&lt;=-0.2),"超过20%","")</f>
        <v/>
      </c>
      <c r="G54" s="618">
        <f>IF(G49&lt;I49,I49/G49-1,G49/I49-1)</f>
        <v>0</v>
      </c>
      <c r="H54" s="619" t="str">
        <f>IF(OR(G54&gt;=0.2,G54&lt;=-0.2),"超过20%","")</f>
        <v/>
      </c>
      <c r="I54" s="618">
        <f>IF(I49&lt;E49,E49/I49-1,I49/E49-1)</f>
        <v>0</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f>IF(E48&lt;G48,G48/E48-1,E48/G48-1)</f>
        <v>0</v>
      </c>
      <c r="F55" s="619" t="str">
        <f>IF(OR(E55&gt;=0.3,E55&lt;=-0.3),"超过30%","")</f>
        <v/>
      </c>
      <c r="G55" s="618">
        <f>IF(G48&lt;I48,I48/G48-1,G48/I48-1)</f>
        <v>0</v>
      </c>
      <c r="H55" s="619" t="str">
        <f>IF(OR(G55&gt;=0.3,G55&lt;=-0.3),"超过30%","")</f>
        <v/>
      </c>
      <c r="I55" s="618">
        <f>IF(I48&lt;E48,E48/I48-1,I48/E48-1)</f>
        <v>0</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70" t="s">
        <v>2269</v>
      </c>
      <c r="H57" s="3471"/>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4500</v>
      </c>
      <c r="C58" s="627">
        <v>1</v>
      </c>
      <c r="D58" s="2108">
        <v>1</v>
      </c>
      <c r="E58" s="627">
        <f>'数据-汇总表'!E8+'数据-汇总表'!E9</f>
        <v>401097.11</v>
      </c>
      <c r="F58" s="628">
        <f t="shared" ref="F58:F67" si="15">ROUND(B58*E58/10000,0)</f>
        <v>180494</v>
      </c>
      <c r="G58" s="3472"/>
      <c r="H58" s="3473"/>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474" t="s">
        <v>2270</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474"/>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474"/>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474"/>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58450</v>
      </c>
      <c r="F66" s="628">
        <f t="shared" si="15"/>
        <v>0</v>
      </c>
      <c r="G66" s="1859" t="s">
        <v>2270</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459547.11</v>
      </c>
      <c r="F68" s="636">
        <f>IF(B48="楼面地价",SUM(F58:F67),ROUND(C50*E68/10000,0))</f>
        <v>180494</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2020-12-1</v>
      </c>
      <c r="D70" s="2516">
        <f>EDATE(C70,-3)</f>
        <v>44075</v>
      </c>
      <c r="E70" s="2516">
        <f t="shared" ref="E70:N70" si="18">EDATE(D70,-3)</f>
        <v>43983</v>
      </c>
      <c r="F70" s="2516">
        <f t="shared" si="18"/>
        <v>43891</v>
      </c>
      <c r="G70" s="2516">
        <f t="shared" si="18"/>
        <v>43800</v>
      </c>
      <c r="H70" s="2516">
        <f t="shared" si="18"/>
        <v>43709</v>
      </c>
      <c r="I70" s="2516">
        <f t="shared" si="18"/>
        <v>43617</v>
      </c>
      <c r="J70" s="2516">
        <f t="shared" si="18"/>
        <v>43525</v>
      </c>
      <c r="K70" s="2516">
        <f t="shared" si="18"/>
        <v>43435</v>
      </c>
      <c r="L70" s="2516">
        <f t="shared" si="18"/>
        <v>43344</v>
      </c>
      <c r="M70" s="2516">
        <f t="shared" si="18"/>
        <v>43252</v>
      </c>
      <c r="N70" s="2516">
        <f t="shared" si="18"/>
        <v>43160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北京市平均增长率1.74%</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102</v>
      </c>
      <c r="E120" s="718">
        <v>104</v>
      </c>
      <c r="F120" s="718">
        <v>106</v>
      </c>
      <c r="G120" s="718">
        <v>108</v>
      </c>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1"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92" t="s">
        <v>516</v>
      </c>
      <c r="D6" s="3493"/>
      <c r="E6" s="3517" t="s">
        <v>517</v>
      </c>
      <c r="F6" s="3518"/>
      <c r="G6" s="3492" t="s">
        <v>518</v>
      </c>
      <c r="H6" s="3493"/>
      <c r="I6" s="3492" t="s">
        <v>519</v>
      </c>
      <c r="J6" s="3493"/>
      <c r="K6" s="508" t="s">
        <v>520</v>
      </c>
      <c r="L6" s="2015"/>
      <c r="M6" s="2016"/>
      <c r="N6" s="2016"/>
      <c r="O6" s="2016"/>
      <c r="P6" s="3494" t="s">
        <v>521</v>
      </c>
      <c r="Q6" s="3495"/>
      <c r="R6" s="3480" t="s">
        <v>517</v>
      </c>
      <c r="S6" s="3481"/>
      <c r="T6" s="3480" t="s">
        <v>518</v>
      </c>
      <c r="U6" s="3481"/>
      <c r="V6" s="3500" t="s">
        <v>519</v>
      </c>
      <c r="W6" s="3500"/>
      <c r="X6" s="1501"/>
      <c r="Y6" s="3480" t="s">
        <v>521</v>
      </c>
      <c r="Z6" s="3481"/>
      <c r="AA6" s="3475" t="s">
        <v>517</v>
      </c>
      <c r="AB6" s="3476" t="s">
        <v>518</v>
      </c>
      <c r="AC6" s="3475" t="s">
        <v>519</v>
      </c>
    </row>
    <row r="7" spans="1:29" ht="15">
      <c r="A7" s="509"/>
      <c r="B7" s="510"/>
      <c r="C7" s="3503" t="s">
        <v>2898</v>
      </c>
      <c r="D7" s="3504"/>
      <c r="E7" s="3519" t="s">
        <v>2899</v>
      </c>
      <c r="F7" s="3520"/>
      <c r="G7" s="3503" t="s">
        <v>2900</v>
      </c>
      <c r="H7" s="3504"/>
      <c r="I7" s="3503" t="s">
        <v>2901</v>
      </c>
      <c r="J7" s="3504"/>
      <c r="K7" s="508"/>
      <c r="L7" s="2015"/>
      <c r="M7" s="2016"/>
      <c r="N7" s="2016"/>
      <c r="O7" s="2016"/>
      <c r="P7" s="3496"/>
      <c r="Q7" s="3497"/>
      <c r="R7" s="3482"/>
      <c r="S7" s="3483"/>
      <c r="T7" s="3482"/>
      <c r="U7" s="3483"/>
      <c r="V7" s="3500"/>
      <c r="W7" s="3500"/>
      <c r="X7" s="1501"/>
      <c r="Y7" s="3482"/>
      <c r="Z7" s="3483"/>
      <c r="AA7" s="3476"/>
      <c r="AB7" s="3476"/>
      <c r="AC7" s="3476"/>
    </row>
    <row r="8" spans="1:29" ht="15.75" thickBot="1">
      <c r="A8" s="511"/>
      <c r="B8" s="512"/>
      <c r="C8" s="3501" t="s">
        <v>2902</v>
      </c>
      <c r="D8" s="3502"/>
      <c r="E8" s="3521" t="s">
        <v>2902</v>
      </c>
      <c r="F8" s="3522"/>
      <c r="G8" s="3501" t="s">
        <v>2902</v>
      </c>
      <c r="H8" s="3502"/>
      <c r="I8" s="3501" t="s">
        <v>2902</v>
      </c>
      <c r="J8" s="3502"/>
      <c r="K8" s="508" t="s">
        <v>522</v>
      </c>
      <c r="L8" s="2015"/>
      <c r="M8" s="2016"/>
      <c r="N8" s="2016"/>
      <c r="O8" s="2016"/>
      <c r="P8" s="3498"/>
      <c r="Q8" s="3499"/>
      <c r="R8" s="3482"/>
      <c r="S8" s="3483"/>
      <c r="T8" s="3484"/>
      <c r="U8" s="3485"/>
      <c r="V8" s="3500"/>
      <c r="W8" s="3500"/>
      <c r="X8" s="1501"/>
      <c r="Y8" s="3484"/>
      <c r="Z8" s="3485"/>
      <c r="AA8" s="3477"/>
      <c r="AB8" s="3477"/>
      <c r="AC8" s="3477"/>
    </row>
    <row r="9" spans="1:29" s="1203" customFormat="1" ht="15.75" thickBot="1">
      <c r="A9" s="2629"/>
      <c r="B9" s="2636" t="s">
        <v>523</v>
      </c>
      <c r="C9" s="513">
        <f>'数据-取费表'!B2</f>
        <v>44187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78" t="s">
        <v>524</v>
      </c>
      <c r="Q9" s="3487"/>
      <c r="R9" s="1502" t="s">
        <v>8</v>
      </c>
      <c r="S9" s="1503">
        <f t="shared" ref="S9:S17" si="0">F9</f>
        <v>0</v>
      </c>
      <c r="T9" s="1502" t="s">
        <v>8</v>
      </c>
      <c r="U9" s="1503">
        <f t="shared" ref="U9:U17" si="1">H9</f>
        <v>0</v>
      </c>
      <c r="V9" s="1502" t="s">
        <v>8</v>
      </c>
      <c r="W9" s="1503">
        <f t="shared" ref="W9:W17" si="2">J9</f>
        <v>0</v>
      </c>
      <c r="X9" s="1504"/>
      <c r="Y9" s="3478" t="s">
        <v>524</v>
      </c>
      <c r="Z9" s="3479"/>
      <c r="AA9" s="1505" t="e">
        <f>D9/F9</f>
        <v>#DIV/0!</v>
      </c>
      <c r="AB9" s="1505" t="e">
        <f>D9/H9</f>
        <v>#DIV/0!</v>
      </c>
      <c r="AC9" s="1505"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78" t="s">
        <v>527</v>
      </c>
      <c r="Q10" s="3479"/>
      <c r="R10" s="1502" t="s">
        <v>8</v>
      </c>
      <c r="S10" s="1503">
        <f t="shared" si="0"/>
        <v>0</v>
      </c>
      <c r="T10" s="1502" t="s">
        <v>8</v>
      </c>
      <c r="U10" s="1503">
        <f t="shared" si="1"/>
        <v>0</v>
      </c>
      <c r="V10" s="1502" t="s">
        <v>8</v>
      </c>
      <c r="W10" s="1503">
        <f t="shared" si="2"/>
        <v>0</v>
      </c>
      <c r="X10" s="1504"/>
      <c r="Y10" s="3478" t="s">
        <v>527</v>
      </c>
      <c r="Z10" s="3479"/>
      <c r="AA10" s="1505" t="e">
        <f t="shared" ref="AA10:AA42" si="3">D10/F10</f>
        <v>#DIV/0!</v>
      </c>
      <c r="AB10" s="1505" t="e">
        <f t="shared" ref="AB10:AB42" si="4">D10/H10</f>
        <v>#DIV/0!</v>
      </c>
      <c r="AC10" s="1505"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6" t="s">
        <v>529</v>
      </c>
      <c r="Q11" s="1134" t="str">
        <f t="shared" ref="Q11:Q17" si="6">B11</f>
        <v>用途</v>
      </c>
      <c r="R11" s="1502" t="s">
        <v>8</v>
      </c>
      <c r="S11" s="1503">
        <f t="shared" si="0"/>
        <v>100</v>
      </c>
      <c r="T11" s="1502" t="s">
        <v>8</v>
      </c>
      <c r="U11" s="1503">
        <f t="shared" si="1"/>
        <v>100</v>
      </c>
      <c r="V11" s="1502" t="s">
        <v>8</v>
      </c>
      <c r="W11" s="1503">
        <f t="shared" si="2"/>
        <v>100</v>
      </c>
      <c r="X11" s="1504"/>
      <c r="Y11" s="3437" t="s">
        <v>530</v>
      </c>
      <c r="Z11" s="1133" t="str">
        <f t="shared" ref="Z11:Z17" si="7">Q11</f>
        <v>用途</v>
      </c>
      <c r="AA11" s="1505">
        <f t="shared" si="3"/>
        <v>1</v>
      </c>
      <c r="AB11" s="1505">
        <f t="shared" si="4"/>
        <v>1</v>
      </c>
      <c r="AC11" s="1505">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86"/>
      <c r="Q12" s="1134" t="str">
        <f t="shared" si="6"/>
        <v>土地使用年限（年）</v>
      </c>
      <c r="R12" s="1502" t="s">
        <v>8</v>
      </c>
      <c r="S12" s="1503">
        <f t="shared" si="0"/>
        <v>100</v>
      </c>
      <c r="T12" s="1502" t="s">
        <v>8</v>
      </c>
      <c r="U12" s="1503">
        <f t="shared" si="1"/>
        <v>100</v>
      </c>
      <c r="V12" s="1502" t="s">
        <v>8</v>
      </c>
      <c r="W12" s="1503">
        <f t="shared" si="2"/>
        <v>100</v>
      </c>
      <c r="X12" s="1504"/>
      <c r="Y12" s="3437"/>
      <c r="Z12" s="1133" t="str">
        <f t="shared" si="7"/>
        <v>土地使用年限（年）</v>
      </c>
      <c r="AA12" s="1505">
        <f t="shared" si="3"/>
        <v>1</v>
      </c>
      <c r="AB12" s="1505">
        <f t="shared" si="4"/>
        <v>1</v>
      </c>
      <c r="AC12" s="1505">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6"/>
      <c r="Q13" s="1134" t="str">
        <f t="shared" si="6"/>
        <v>容积率</v>
      </c>
      <c r="R13" s="1502" t="s">
        <v>8</v>
      </c>
      <c r="S13" s="1503" t="e">
        <f t="shared" si="0"/>
        <v>#N/A</v>
      </c>
      <c r="T13" s="1502" t="s">
        <v>8</v>
      </c>
      <c r="U13" s="1503" t="e">
        <f t="shared" si="1"/>
        <v>#N/A</v>
      </c>
      <c r="V13" s="1502" t="s">
        <v>8</v>
      </c>
      <c r="W13" s="1503" t="e">
        <f t="shared" si="2"/>
        <v>#N/A</v>
      </c>
      <c r="X13" s="1504"/>
      <c r="Y13" s="3437"/>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6"/>
      <c r="Q14" s="1134">
        <f t="shared" si="6"/>
        <v>111</v>
      </c>
      <c r="R14" s="1502" t="s">
        <v>8</v>
      </c>
      <c r="S14" s="1503">
        <f t="shared" si="0"/>
        <v>100</v>
      </c>
      <c r="T14" s="1502" t="s">
        <v>8</v>
      </c>
      <c r="U14" s="1503">
        <f t="shared" si="1"/>
        <v>100</v>
      </c>
      <c r="V14" s="1502" t="s">
        <v>8</v>
      </c>
      <c r="W14" s="1503">
        <f t="shared" si="2"/>
        <v>100</v>
      </c>
      <c r="X14" s="1504"/>
      <c r="Y14" s="3437"/>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6"/>
      <c r="Q15" s="1134">
        <f t="shared" si="6"/>
        <v>111</v>
      </c>
      <c r="R15" s="1502" t="s">
        <v>8</v>
      </c>
      <c r="S15" s="1503">
        <f t="shared" si="0"/>
        <v>100</v>
      </c>
      <c r="T15" s="1502" t="s">
        <v>8</v>
      </c>
      <c r="U15" s="1503">
        <f t="shared" si="1"/>
        <v>100</v>
      </c>
      <c r="V15" s="1502" t="s">
        <v>8</v>
      </c>
      <c r="W15" s="1503">
        <f t="shared" si="2"/>
        <v>100</v>
      </c>
      <c r="X15" s="1504"/>
      <c r="Y15" s="3437"/>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6"/>
      <c r="Q16" s="1134">
        <f t="shared" si="6"/>
        <v>111</v>
      </c>
      <c r="R16" s="1502" t="s">
        <v>8</v>
      </c>
      <c r="S16" s="1503">
        <f t="shared" si="0"/>
        <v>100</v>
      </c>
      <c r="T16" s="1502" t="s">
        <v>8</v>
      </c>
      <c r="U16" s="1503">
        <f t="shared" si="1"/>
        <v>100</v>
      </c>
      <c r="V16" s="1502" t="s">
        <v>8</v>
      </c>
      <c r="W16" s="1503">
        <f t="shared" si="2"/>
        <v>100</v>
      </c>
      <c r="X16" s="1504"/>
      <c r="Y16" s="3437"/>
      <c r="Z16" s="1133">
        <f t="shared" si="7"/>
        <v>111</v>
      </c>
      <c r="AA16" s="1505">
        <f t="shared" si="3"/>
        <v>1</v>
      </c>
      <c r="AB16" s="1505">
        <f t="shared" si="4"/>
        <v>1</v>
      </c>
      <c r="AC16" s="1505">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88" t="s">
        <v>534</v>
      </c>
      <c r="Q17" s="1506" t="str">
        <f t="shared" si="6"/>
        <v>产业集聚程度</v>
      </c>
      <c r="R17" s="1507" t="s">
        <v>8</v>
      </c>
      <c r="S17" s="1508">
        <f t="shared" si="0"/>
        <v>100</v>
      </c>
      <c r="T17" s="1507" t="s">
        <v>8</v>
      </c>
      <c r="U17" s="1508">
        <f t="shared" si="1"/>
        <v>100</v>
      </c>
      <c r="V17" s="1507" t="s">
        <v>8</v>
      </c>
      <c r="W17" s="1508">
        <f t="shared" si="2"/>
        <v>100</v>
      </c>
      <c r="X17" s="1501"/>
      <c r="Y17" s="3488"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89"/>
      <c r="Q18" s="1506"/>
      <c r="R18" s="1507"/>
      <c r="S18" s="1508"/>
      <c r="T18" s="1507"/>
      <c r="U18" s="1508"/>
      <c r="V18" s="1507"/>
      <c r="W18" s="1508"/>
      <c r="X18" s="1501"/>
      <c r="Y18" s="3489"/>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89"/>
      <c r="Q19" s="1506" t="str">
        <f>B19</f>
        <v>交通便捷度</v>
      </c>
      <c r="R19" s="1507" t="s">
        <v>8</v>
      </c>
      <c r="S19" s="1508">
        <f>F19</f>
        <v>100</v>
      </c>
      <c r="T19" s="1507" t="s">
        <v>8</v>
      </c>
      <c r="U19" s="1508">
        <f>H19</f>
        <v>100</v>
      </c>
      <c r="V19" s="1507" t="s">
        <v>8</v>
      </c>
      <c r="W19" s="1508">
        <f>J19</f>
        <v>100</v>
      </c>
      <c r="X19" s="1501"/>
      <c r="Y19" s="3489"/>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489"/>
      <c r="Q20" s="1506"/>
      <c r="R20" s="1507"/>
      <c r="S20" s="1508"/>
      <c r="T20" s="1507"/>
      <c r="U20" s="1508"/>
      <c r="V20" s="1507"/>
      <c r="W20" s="1508"/>
      <c r="X20" s="1501"/>
      <c r="Y20" s="3489"/>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89"/>
      <c r="Q21" s="1506" t="str">
        <f t="shared" ref="Q21:Q35" si="8">B21</f>
        <v>区域土地利用方向</v>
      </c>
      <c r="R21" s="1507" t="s">
        <v>8</v>
      </c>
      <c r="S21" s="1508">
        <f>F21</f>
        <v>100</v>
      </c>
      <c r="T21" s="1507" t="s">
        <v>8</v>
      </c>
      <c r="U21" s="1508">
        <f>H21</f>
        <v>100</v>
      </c>
      <c r="V21" s="1507" t="s">
        <v>8</v>
      </c>
      <c r="W21" s="1508">
        <f>J21</f>
        <v>100</v>
      </c>
      <c r="X21" s="1501"/>
      <c r="Y21" s="3489"/>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489"/>
      <c r="Q22" s="1506"/>
      <c r="R22" s="1507"/>
      <c r="S22" s="1508"/>
      <c r="T22" s="1507"/>
      <c r="U22" s="1508"/>
      <c r="V22" s="1507"/>
      <c r="W22" s="1508"/>
      <c r="X22" s="1501"/>
      <c r="Y22" s="3489"/>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89"/>
      <c r="Q23" s="1506" t="str">
        <f t="shared" si="8"/>
        <v>环境状况</v>
      </c>
      <c r="R23" s="1507" t="s">
        <v>8</v>
      </c>
      <c r="S23" s="1508">
        <f>F23</f>
        <v>100</v>
      </c>
      <c r="T23" s="1507" t="s">
        <v>8</v>
      </c>
      <c r="U23" s="1508">
        <f>H23</f>
        <v>100</v>
      </c>
      <c r="V23" s="1507" t="s">
        <v>8</v>
      </c>
      <c r="W23" s="1508">
        <f>J23</f>
        <v>100</v>
      </c>
      <c r="X23" s="1501"/>
      <c r="Y23" s="3489"/>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89"/>
      <c r="Q24" s="1506"/>
      <c r="R24" s="1507"/>
      <c r="S24" s="1508"/>
      <c r="T24" s="1507"/>
      <c r="U24" s="1508"/>
      <c r="V24" s="1507"/>
      <c r="W24" s="1508"/>
      <c r="X24" s="1501"/>
      <c r="Y24" s="3489"/>
      <c r="Z24" s="1509"/>
      <c r="AA24" s="1510">
        <v>1</v>
      </c>
      <c r="AB24" s="1510">
        <v>1</v>
      </c>
      <c r="AC24" s="1510">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89"/>
      <c r="Q25" s="1134" t="str">
        <f t="shared" si="8"/>
        <v>公共配套设施</v>
      </c>
      <c r="R25" s="1502" t="s">
        <v>8</v>
      </c>
      <c r="S25" s="1503">
        <f>F25</f>
        <v>100</v>
      </c>
      <c r="T25" s="1502" t="s">
        <v>8</v>
      </c>
      <c r="U25" s="1503">
        <f>H25</f>
        <v>100</v>
      </c>
      <c r="V25" s="1502" t="s">
        <v>8</v>
      </c>
      <c r="W25" s="1503">
        <f>J25</f>
        <v>100</v>
      </c>
      <c r="X25" s="1504"/>
      <c r="Y25" s="3489"/>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489"/>
      <c r="Q26" s="1134"/>
      <c r="R26" s="1502"/>
      <c r="S26" s="1503"/>
      <c r="T26" s="1502"/>
      <c r="U26" s="1503"/>
      <c r="V26" s="1502"/>
      <c r="W26" s="1503"/>
      <c r="X26" s="1504"/>
      <c r="Y26" s="3489"/>
      <c r="Z26" s="1133"/>
      <c r="AA26" s="1505">
        <v>1</v>
      </c>
      <c r="AB26" s="1505">
        <v>1</v>
      </c>
      <c r="AC26" s="1505">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89"/>
      <c r="Q27" s="2428" t="str">
        <f t="shared" ref="Q27" si="9">B27</f>
        <v>基础设施水平</v>
      </c>
      <c r="R27" s="1502" t="s">
        <v>8</v>
      </c>
      <c r="S27" s="1503">
        <f>F27</f>
        <v>100</v>
      </c>
      <c r="T27" s="1502" t="s">
        <v>8</v>
      </c>
      <c r="U27" s="1503">
        <f>H27</f>
        <v>100</v>
      </c>
      <c r="V27" s="1502" t="s">
        <v>8</v>
      </c>
      <c r="W27" s="1503">
        <f>J27</f>
        <v>100</v>
      </c>
      <c r="X27" s="1504"/>
      <c r="Y27" s="3489"/>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489"/>
      <c r="Q28" s="2428"/>
      <c r="R28" s="1502"/>
      <c r="S28" s="1503"/>
      <c r="T28" s="1502"/>
      <c r="U28" s="1503"/>
      <c r="V28" s="1502"/>
      <c r="W28" s="1503"/>
      <c r="X28" s="1504"/>
      <c r="Y28" s="3489"/>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89"/>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89"/>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89"/>
      <c r="Q30" s="1506" t="str">
        <f t="shared" si="8"/>
        <v>毗邻道路的类型与等级</v>
      </c>
      <c r="R30" s="1507" t="s">
        <v>8</v>
      </c>
      <c r="S30" s="1508">
        <f t="shared" si="10"/>
        <v>100</v>
      </c>
      <c r="T30" s="1507" t="s">
        <v>8</v>
      </c>
      <c r="U30" s="1508">
        <f t="shared" si="11"/>
        <v>100</v>
      </c>
      <c r="V30" s="1507" t="s">
        <v>8</v>
      </c>
      <c r="W30" s="1508">
        <f t="shared" si="12"/>
        <v>100</v>
      </c>
      <c r="X30" s="1501"/>
      <c r="Y30" s="3489"/>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89"/>
      <c r="Q31" s="1506"/>
      <c r="R31" s="1507"/>
      <c r="S31" s="1508"/>
      <c r="T31" s="1507"/>
      <c r="U31" s="1508"/>
      <c r="V31" s="1507"/>
      <c r="W31" s="1508"/>
      <c r="X31" s="1501"/>
      <c r="Y31" s="3489"/>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89"/>
      <c r="Q32" s="1506" t="str">
        <f t="shared" si="8"/>
        <v>土地级别</v>
      </c>
      <c r="R32" s="1507" t="s">
        <v>8</v>
      </c>
      <c r="S32" s="1508">
        <f t="shared" si="10"/>
        <v>100</v>
      </c>
      <c r="T32" s="1507" t="s">
        <v>8</v>
      </c>
      <c r="U32" s="1508">
        <f t="shared" si="11"/>
        <v>100</v>
      </c>
      <c r="V32" s="1507" t="s">
        <v>8</v>
      </c>
      <c r="W32" s="1508">
        <f t="shared" si="12"/>
        <v>100</v>
      </c>
      <c r="X32" s="1501"/>
      <c r="Y32" s="3489"/>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89"/>
      <c r="Q33" s="1506">
        <f t="shared" si="8"/>
        <v>111</v>
      </c>
      <c r="R33" s="1507" t="s">
        <v>8</v>
      </c>
      <c r="S33" s="1508">
        <f t="shared" si="10"/>
        <v>100</v>
      </c>
      <c r="T33" s="1507" t="s">
        <v>8</v>
      </c>
      <c r="U33" s="1508">
        <f t="shared" si="11"/>
        <v>100</v>
      </c>
      <c r="V33" s="1507" t="s">
        <v>8</v>
      </c>
      <c r="W33" s="1508">
        <f t="shared" si="12"/>
        <v>100</v>
      </c>
      <c r="X33" s="1501"/>
      <c r="Y33" s="3489"/>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0" t="s">
        <v>544</v>
      </c>
      <c r="Q34" s="1506">
        <f t="shared" si="8"/>
        <v>111</v>
      </c>
      <c r="R34" s="1507" t="s">
        <v>8</v>
      </c>
      <c r="S34" s="1508">
        <f t="shared" si="10"/>
        <v>100</v>
      </c>
      <c r="T34" s="1507" t="s">
        <v>8</v>
      </c>
      <c r="U34" s="1508">
        <f t="shared" si="11"/>
        <v>100</v>
      </c>
      <c r="V34" s="1507" t="s">
        <v>8</v>
      </c>
      <c r="W34" s="1508">
        <f t="shared" si="12"/>
        <v>100</v>
      </c>
      <c r="X34" s="1501"/>
      <c r="Y34" s="3491"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1"/>
      <c r="Q35" s="1506">
        <f t="shared" si="8"/>
        <v>111</v>
      </c>
      <c r="R35" s="1511" t="s">
        <v>8</v>
      </c>
      <c r="S35" s="1512">
        <f t="shared" si="10"/>
        <v>100</v>
      </c>
      <c r="T35" s="1511" t="s">
        <v>8</v>
      </c>
      <c r="U35" s="1512">
        <f t="shared" si="11"/>
        <v>100</v>
      </c>
      <c r="V35" s="1511" t="s">
        <v>8</v>
      </c>
      <c r="W35" s="1512">
        <f t="shared" si="12"/>
        <v>100</v>
      </c>
      <c r="X35" s="1513"/>
      <c r="Y35" s="3491"/>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1"/>
      <c r="Q36" s="1506" t="str">
        <f>B36</f>
        <v>宗地面积</v>
      </c>
      <c r="R36" s="1507" t="s">
        <v>8</v>
      </c>
      <c r="S36" s="1508" t="e">
        <f t="shared" si="10"/>
        <v>#N/A</v>
      </c>
      <c r="T36" s="1507" t="s">
        <v>8</v>
      </c>
      <c r="U36" s="1508" t="e">
        <f t="shared" si="11"/>
        <v>#N/A</v>
      </c>
      <c r="V36" s="1507" t="s">
        <v>8</v>
      </c>
      <c r="W36" s="1508" t="e">
        <f t="shared" si="12"/>
        <v>#N/A</v>
      </c>
      <c r="X36" s="1501"/>
      <c r="Y36" s="3491"/>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1"/>
      <c r="Q37" s="1506" t="str">
        <f t="shared" ref="Q37:Q42" si="14">B37</f>
        <v>宗地形状</v>
      </c>
      <c r="R37" s="1507" t="s">
        <v>8</v>
      </c>
      <c r="S37" s="1508">
        <f t="shared" si="10"/>
        <v>100</v>
      </c>
      <c r="T37" s="1507" t="s">
        <v>8</v>
      </c>
      <c r="U37" s="1508">
        <f t="shared" si="11"/>
        <v>100</v>
      </c>
      <c r="V37" s="1507" t="s">
        <v>8</v>
      </c>
      <c r="W37" s="1508">
        <f t="shared" si="12"/>
        <v>100</v>
      </c>
      <c r="X37" s="1501"/>
      <c r="Y37" s="3491"/>
      <c r="Z37" s="1509" t="str">
        <f t="shared" si="13"/>
        <v>宗地形状</v>
      </c>
      <c r="AA37" s="1510">
        <f t="shared" si="3"/>
        <v>1</v>
      </c>
      <c r="AB37" s="1510">
        <f t="shared" si="4"/>
        <v>1</v>
      </c>
      <c r="AC37" s="1510">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1"/>
      <c r="Q38" s="1506" t="str">
        <f t="shared" si="14"/>
        <v>宗地开发程度</v>
      </c>
      <c r="R38" s="1502" t="s">
        <v>8</v>
      </c>
      <c r="S38" s="1503">
        <f t="shared" si="10"/>
        <v>100</v>
      </c>
      <c r="T38" s="1502" t="s">
        <v>8</v>
      </c>
      <c r="U38" s="1503">
        <f t="shared" si="11"/>
        <v>100</v>
      </c>
      <c r="V38" s="1502" t="s">
        <v>8</v>
      </c>
      <c r="W38" s="1503">
        <f t="shared" si="12"/>
        <v>100</v>
      </c>
      <c r="X38" s="1504"/>
      <c r="Y38" s="3491"/>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1" t="s">
        <v>595</v>
      </c>
      <c r="Q39" s="1506" t="str">
        <f t="shared" si="14"/>
        <v>工程地质条件</v>
      </c>
      <c r="R39" s="1507" t="s">
        <v>8</v>
      </c>
      <c r="S39" s="1508">
        <f t="shared" si="10"/>
        <v>100</v>
      </c>
      <c r="T39" s="1507" t="s">
        <v>8</v>
      </c>
      <c r="U39" s="1508">
        <f t="shared" si="11"/>
        <v>100</v>
      </c>
      <c r="V39" s="1507" t="s">
        <v>8</v>
      </c>
      <c r="W39" s="1508">
        <f t="shared" si="12"/>
        <v>100</v>
      </c>
      <c r="X39" s="1501"/>
      <c r="Y39" s="3491"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1"/>
      <c r="Q40" s="1506">
        <f t="shared" si="14"/>
        <v>111</v>
      </c>
      <c r="R40" s="1507" t="s">
        <v>8</v>
      </c>
      <c r="S40" s="1508">
        <f t="shared" si="10"/>
        <v>100</v>
      </c>
      <c r="T40" s="1507" t="s">
        <v>8</v>
      </c>
      <c r="U40" s="1508">
        <f t="shared" si="11"/>
        <v>100</v>
      </c>
      <c r="V40" s="1507" t="s">
        <v>8</v>
      </c>
      <c r="W40" s="1508">
        <f t="shared" si="12"/>
        <v>100</v>
      </c>
      <c r="X40" s="1501"/>
      <c r="Y40" s="3491"/>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1"/>
      <c r="Q41" s="1506">
        <f t="shared" si="14"/>
        <v>111</v>
      </c>
      <c r="R41" s="1507" t="s">
        <v>8</v>
      </c>
      <c r="S41" s="1508">
        <f t="shared" si="10"/>
        <v>100</v>
      </c>
      <c r="T41" s="1507" t="s">
        <v>8</v>
      </c>
      <c r="U41" s="1508">
        <f t="shared" si="11"/>
        <v>100</v>
      </c>
      <c r="V41" s="1507" t="s">
        <v>8</v>
      </c>
      <c r="W41" s="1508">
        <f t="shared" si="12"/>
        <v>100</v>
      </c>
      <c r="X41" s="1501"/>
      <c r="Y41" s="3491"/>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1"/>
      <c r="Q42" s="1506">
        <f t="shared" si="14"/>
        <v>111</v>
      </c>
      <c r="R42" s="1511" t="s">
        <v>8</v>
      </c>
      <c r="S42" s="1512">
        <f t="shared" si="10"/>
        <v>100</v>
      </c>
      <c r="T42" s="1511" t="s">
        <v>8</v>
      </c>
      <c r="U42" s="1512">
        <f t="shared" si="11"/>
        <v>100</v>
      </c>
      <c r="V42" s="1511" t="s">
        <v>8</v>
      </c>
      <c r="W42" s="1512">
        <f t="shared" si="12"/>
        <v>100</v>
      </c>
      <c r="X42" s="1513"/>
      <c r="Y42" s="3491"/>
      <c r="Z42" s="1514">
        <f t="shared" si="13"/>
        <v>111</v>
      </c>
      <c r="AA42" s="1510">
        <f t="shared" si="3"/>
        <v>1</v>
      </c>
      <c r="AB42" s="1510">
        <f t="shared" si="4"/>
        <v>1</v>
      </c>
      <c r="AC42" s="1510">
        <f t="shared" si="5"/>
        <v>1</v>
      </c>
    </row>
    <row r="43" spans="1:29" ht="15">
      <c r="A43" s="601" t="s">
        <v>550</v>
      </c>
      <c r="B43" s="602" t="s">
        <v>2903</v>
      </c>
      <c r="C43" s="603" t="s">
        <v>1</v>
      </c>
      <c r="D43" s="604"/>
      <c r="E43" s="605"/>
      <c r="F43" s="606"/>
      <c r="G43" s="607"/>
      <c r="H43" s="608"/>
      <c r="I43" s="605"/>
      <c r="J43" s="608"/>
      <c r="K43" s="1294"/>
      <c r="L43" s="2026"/>
      <c r="M43" s="2016"/>
      <c r="N43" s="2016"/>
      <c r="O43" s="2027"/>
      <c r="P43" s="3486" t="str">
        <f>A43</f>
        <v>成交单价</v>
      </c>
      <c r="Q43" s="3486"/>
      <c r="R43" s="3500">
        <f>E43</f>
        <v>0</v>
      </c>
      <c r="S43" s="3500"/>
      <c r="T43" s="3500">
        <f>G43</f>
        <v>0</v>
      </c>
      <c r="U43" s="3500"/>
      <c r="V43" s="3500">
        <f>I43</f>
        <v>0</v>
      </c>
      <c r="W43" s="3500"/>
      <c r="X43" s="1496"/>
      <c r="Y43" s="1515"/>
      <c r="Z43" s="1496"/>
      <c r="AA43" s="1496"/>
      <c r="AB43" s="1496"/>
      <c r="AC43" s="1496"/>
    </row>
    <row r="44" spans="1:29" ht="15.75" thickBot="1">
      <c r="A44" s="609" t="s">
        <v>2674</v>
      </c>
      <c r="B44" s="610"/>
      <c r="C44" s="611" t="e">
        <f>R45</f>
        <v>#DIV/0!</v>
      </c>
      <c r="D44" s="3014" t="s">
        <v>2972</v>
      </c>
      <c r="E44" s="611" t="e">
        <f>R44</f>
        <v>#DIV/0!</v>
      </c>
      <c r="F44" s="3015"/>
      <c r="G44" s="612" t="e">
        <f>T44</f>
        <v>#DIV/0!</v>
      </c>
      <c r="H44" s="3015"/>
      <c r="I44" s="611" t="e">
        <f>V44</f>
        <v>#DIV/0!</v>
      </c>
      <c r="J44" s="3015"/>
      <c r="K44" s="3016">
        <f>F44+H44+J44</f>
        <v>0</v>
      </c>
      <c r="L44" s="2026"/>
      <c r="M44" s="2016"/>
      <c r="N44" s="2016"/>
      <c r="O44" s="2027"/>
      <c r="P44" s="3486" t="str">
        <f>A44</f>
        <v>比较价格（元/平方米）</v>
      </c>
      <c r="Q44" s="3486"/>
      <c r="R44" s="3510" t="e">
        <f>ROUND(PRODUCT(R43,AA9:AA42),0)</f>
        <v>#DIV/0!</v>
      </c>
      <c r="S44" s="3510"/>
      <c r="T44" s="3510" t="e">
        <f>ROUND(PRODUCT(T43,AB9:AB42),0)</f>
        <v>#DIV/0!</v>
      </c>
      <c r="U44" s="3510"/>
      <c r="V44" s="3510" t="e">
        <f>ROUND(PRODUCT(V43,AC9:AC42),0)</f>
        <v>#DIV/0!</v>
      </c>
      <c r="W44" s="3510"/>
      <c r="X44" s="1496"/>
      <c r="Y44" s="1496"/>
      <c r="Z44" s="1496"/>
      <c r="AA44" s="1496"/>
      <c r="AB44" s="1496"/>
      <c r="AC44" s="1496"/>
    </row>
    <row r="45" spans="1:29" ht="15.75" thickBot="1">
      <c r="A45" s="613" t="s">
        <v>2904</v>
      </c>
      <c r="B45" s="614"/>
      <c r="C45" s="615" t="e">
        <f>R45</f>
        <v>#DIV/0!</v>
      </c>
      <c r="D45" s="615"/>
      <c r="E45" s="615"/>
      <c r="F45" s="615"/>
      <c r="G45" s="615"/>
      <c r="H45" s="615"/>
      <c r="I45" s="615"/>
      <c r="J45" s="615"/>
      <c r="K45" s="1295"/>
      <c r="L45" s="2026"/>
      <c r="M45" s="2016"/>
      <c r="N45" s="2016"/>
      <c r="O45" s="2027"/>
      <c r="P45" s="3507" t="str">
        <f>A45</f>
        <v>估价对象XX用房的比较价格（楼面单价，元/平方米）</v>
      </c>
      <c r="Q45" s="3508"/>
      <c r="R45" s="3516" t="e">
        <f>ROUND(IF(D44="简单平均",AVERAGE(R44:W44),R44*F44+T44*H44+V44*J44),0)</f>
        <v>#DIV/0!</v>
      </c>
      <c r="S45" s="3516"/>
      <c r="T45" s="3516"/>
      <c r="U45" s="3516"/>
      <c r="V45" s="3516"/>
      <c r="W45" s="3516"/>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1" t="s">
        <v>2272</v>
      </c>
      <c r="H52" s="3512"/>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401097.11</v>
      </c>
      <c r="F53" s="1864" t="e">
        <f t="shared" ref="F53:F62" si="15">ROUND(B53*E53/10000,0)</f>
        <v>#DIV/0!</v>
      </c>
      <c r="G53" s="3513"/>
      <c r="H53" s="3514"/>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15" t="s">
        <v>2273</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15"/>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15"/>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15"/>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58450</v>
      </c>
      <c r="F61" s="1864" t="e">
        <f t="shared" si="15"/>
        <v>#DIV/0!</v>
      </c>
      <c r="G61" s="1870" t="s">
        <v>2273</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153925.47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2020-12-1</v>
      </c>
      <c r="D65" s="2516">
        <f>EDATE(C65,-3)</f>
        <v>44075</v>
      </c>
      <c r="E65" s="2516">
        <f t="shared" ref="E65:N65" si="18">EDATE(D65,-3)</f>
        <v>43983</v>
      </c>
      <c r="F65" s="2516">
        <f t="shared" si="18"/>
        <v>43891</v>
      </c>
      <c r="G65" s="2516">
        <f t="shared" si="18"/>
        <v>43800</v>
      </c>
      <c r="H65" s="2516">
        <f t="shared" si="18"/>
        <v>43709</v>
      </c>
      <c r="I65" s="2516">
        <f t="shared" si="18"/>
        <v>43617</v>
      </c>
      <c r="J65" s="2516">
        <f t="shared" si="18"/>
        <v>43525</v>
      </c>
      <c r="K65" s="2516">
        <f t="shared" si="18"/>
        <v>43435</v>
      </c>
      <c r="L65" s="2516">
        <f t="shared" si="18"/>
        <v>43344</v>
      </c>
      <c r="M65" s="2516">
        <f t="shared" si="18"/>
        <v>43252</v>
      </c>
      <c r="N65" s="2516">
        <f t="shared" si="18"/>
        <v>43160</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北京市平均增长率1.23%</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5"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5" t="e">
        <f>ROUND(B2*10000/D1,0)</f>
        <v>#DIV/0!</v>
      </c>
      <c r="C3" s="1355" t="s">
        <v>918</v>
      </c>
      <c r="D3" s="1356" t="s">
        <v>919</v>
      </c>
      <c r="E3" s="1360"/>
      <c r="F3" s="1361"/>
      <c r="G3" s="1026">
        <f>IF(F3="宗地容积率",'数据-汇总表'!I4,IF(F3="估价对象容积率",'数据-汇总表'!I6,'数据-汇总表'!I7))</f>
        <v>4</v>
      </c>
      <c r="H3" s="1362" t="s">
        <v>920</v>
      </c>
      <c r="I3" s="1027">
        <v>8</v>
      </c>
      <c r="J3" s="1358"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8" t="e">
        <f>ROUND(IF(E2="商业",C6*C7+C16,(IF(E2="住宅",C6*C12+C16,C6+C16))),0)</f>
        <v>#DIV/0!</v>
      </c>
      <c r="D5" s="2793" t="e">
        <f>ROUND(C6+C16,0)</f>
        <v>#DIV/0!</v>
      </c>
      <c r="E5" s="2793"/>
      <c r="F5" s="1364"/>
      <c r="G5" s="1365"/>
      <c r="H5" s="1365"/>
      <c r="I5" s="1365"/>
      <c r="J5" s="1366"/>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9">
        <f>SUMIF(L1:L12,基准地价!G2,M1:M12)</f>
        <v>0</v>
      </c>
      <c r="D6" s="1371" t="s">
        <v>1686</v>
      </c>
      <c r="E6" s="1372"/>
      <c r="F6" s="1372"/>
      <c r="G6" s="1373"/>
      <c r="H6" s="1373"/>
      <c r="I6" s="1373"/>
      <c r="J6" s="1374"/>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24" t="str">
        <f>IF(E2="商业",IF(C8="不临58条商业街","",2),"")</f>
        <v/>
      </c>
      <c r="B7" s="1375" t="s">
        <v>923</v>
      </c>
      <c r="C7" s="1030" t="e">
        <f>IF(C8="不临58条商业街",1,ROUND(1+(1.6*E8+1.2*E9+0.8*E10+0.4*E11)*C9,4))</f>
        <v>#DIV/0!</v>
      </c>
      <c r="D7" s="1376" t="s">
        <v>924</v>
      </c>
      <c r="E7" s="1031"/>
      <c r="F7" s="1377"/>
      <c r="G7" s="1378"/>
      <c r="H7" s="1378"/>
      <c r="I7" s="1378"/>
      <c r="J7" s="1379"/>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4</v>
      </c>
      <c r="AA7" s="2073"/>
      <c r="AB7" s="2073"/>
      <c r="AC7" s="2074"/>
      <c r="AD7" s="2646"/>
      <c r="AE7" s="2646"/>
      <c r="AF7" s="2646"/>
      <c r="AG7" s="2646"/>
      <c r="AH7" s="2646"/>
      <c r="AI7" s="2646"/>
      <c r="AJ7" s="2647"/>
    </row>
    <row r="8" spans="1:39" ht="15">
      <c r="A8" s="3525"/>
      <c r="B8" s="1362" t="s">
        <v>925</v>
      </c>
      <c r="C8" s="1468"/>
      <c r="D8" s="1032" t="s">
        <v>926</v>
      </c>
      <c r="E8" s="1033" t="e">
        <f>ROUND(C11/E7,4)</f>
        <v>#DIV/0!</v>
      </c>
      <c r="F8" s="1380" t="s">
        <v>927</v>
      </c>
      <c r="G8" s="1381"/>
      <c r="H8" s="1381"/>
      <c r="I8" s="1381"/>
      <c r="J8" s="1382"/>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35" t="s">
        <v>2763</v>
      </c>
      <c r="X8" s="3536"/>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25"/>
      <c r="B9" s="1362" t="s">
        <v>928</v>
      </c>
      <c r="C9" s="1034">
        <f>SUMIF(修正!C59:C119,C8,修正!E59:E119)</f>
        <v>0</v>
      </c>
      <c r="D9" s="1035" t="s">
        <v>929</v>
      </c>
      <c r="E9" s="1035" t="e">
        <f>ROUND(C11/E7,4)</f>
        <v>#DIV/0!</v>
      </c>
      <c r="F9" s="1380" t="s">
        <v>930</v>
      </c>
      <c r="G9" s="1381"/>
      <c r="H9" s="1381"/>
      <c r="I9" s="1381"/>
      <c r="J9" s="1382"/>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34"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5"/>
      <c r="B10" s="1362" t="s">
        <v>931</v>
      </c>
      <c r="C10" s="1035">
        <f>SUMIF(修正!C59:C119,C8,修正!F59:F119)</f>
        <v>0</v>
      </c>
      <c r="D10" s="1035" t="s">
        <v>932</v>
      </c>
      <c r="E10" s="1035" t="e">
        <f>ROUND(C11/E7,4)</f>
        <v>#DIV/0!</v>
      </c>
      <c r="F10" s="1380" t="s">
        <v>933</v>
      </c>
      <c r="G10" s="1381"/>
      <c r="H10" s="1381"/>
      <c r="I10" s="1381"/>
      <c r="J10" s="1382"/>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34"/>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5"/>
      <c r="B11" s="1383" t="s">
        <v>934</v>
      </c>
      <c r="C11" s="1036">
        <f>C10/4</f>
        <v>0</v>
      </c>
      <c r="D11" s="1036" t="s">
        <v>935</v>
      </c>
      <c r="E11" s="1036" t="e">
        <f>ROUND(C11/E7,4)</f>
        <v>#DIV/0!</v>
      </c>
      <c r="F11" s="1384" t="s">
        <v>936</v>
      </c>
      <c r="G11" s="1385"/>
      <c r="H11" s="1385"/>
      <c r="I11" s="1385"/>
      <c r="J11" s="1386"/>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34" t="s">
        <v>2761</v>
      </c>
      <c r="X11" s="1035" t="s">
        <v>2746</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24" t="s">
        <v>1862</v>
      </c>
      <c r="B12" s="1387" t="s">
        <v>937</v>
      </c>
      <c r="C12" s="1030">
        <f>ROUND(C15*D15*E15*F15*G15*H15*I15*J15,4)</f>
        <v>1</v>
      </c>
      <c r="D12" s="1388" t="s">
        <v>938</v>
      </c>
      <c r="E12" s="1389"/>
      <c r="F12" s="1389"/>
      <c r="G12" s="1390"/>
      <c r="H12" s="1390"/>
      <c r="I12" s="1390"/>
      <c r="J12" s="1391"/>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34"/>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6"/>
      <c r="B13" s="1392" t="s">
        <v>1687</v>
      </c>
      <c r="C13" s="1393" t="s">
        <v>1688</v>
      </c>
      <c r="D13" s="1072" t="s">
        <v>1689</v>
      </c>
      <c r="E13" s="1072"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34"/>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26"/>
      <c r="B14" s="1399"/>
      <c r="C14" s="1400"/>
      <c r="D14" s="1401"/>
      <c r="E14" s="1401"/>
      <c r="F14" s="1402"/>
      <c r="G14" s="1403" t="s">
        <v>940</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27"/>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24" t="s">
        <v>1829</v>
      </c>
      <c r="B16" s="1375" t="s">
        <v>941</v>
      </c>
      <c r="C16" s="1039" t="e">
        <f>ROUND(IF(F17="与级别开发程度一致",0,(G17-E17)/C17),0)</f>
        <v>#DIV/0!</v>
      </c>
      <c r="D16" s="3542" t="s">
        <v>945</v>
      </c>
      <c r="E16" s="3543"/>
      <c r="F16" s="3542" t="s">
        <v>942</v>
      </c>
      <c r="G16" s="3543"/>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28"/>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40">
        <f>ROUND(IF(H19="按公示增长率计算",SUMPRODUCT((地价!A3:A32=YEAR(G19)&amp;"-"&amp;ROUNDUP(MONTH(G19)/3,0))*(地价!X2:AB2=E2)*(地价!X3:AB32)),IF(H19="地价指数",M20/M19,(1+I19)^O19)),4)</f>
        <v>0</v>
      </c>
      <c r="D19" s="1414" t="s">
        <v>948</v>
      </c>
      <c r="E19" s="1041">
        <v>41640</v>
      </c>
      <c r="F19" s="1414" t="s">
        <v>949</v>
      </c>
      <c r="G19" s="1042">
        <f>'数据-取费表'!B2</f>
        <v>44187</v>
      </c>
      <c r="H19" s="1415" t="s">
        <v>2956</v>
      </c>
      <c r="I19" s="2503" t="str">
        <f>IF(H19="季度增幅（自定义）",SUMIF(N21:N24,E2,O21:O24),"")</f>
        <v/>
      </c>
      <c r="J19" s="1411"/>
      <c r="K19" s="3234"/>
      <c r="L19" s="2753" t="s">
        <v>2821</v>
      </c>
      <c r="M19" s="2754">
        <f>ROUND(SUMIF(地价!B2:F2,E2,地价!B32:F32),0)</f>
        <v>0</v>
      </c>
      <c r="N19" s="2505" t="s">
        <v>1667</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2992</v>
      </c>
      <c r="C21" s="1141" t="b">
        <f>IF(B21="容积率修正",IF(G3&lt;=10,D22,J22),C23)</f>
        <v>0</v>
      </c>
      <c r="D21" s="1421"/>
      <c r="E21" s="1421"/>
      <c r="F21" s="1421"/>
      <c r="G21" s="1421"/>
      <c r="H21" s="1421"/>
      <c r="I21" s="1421"/>
      <c r="J21" s="1422"/>
      <c r="K21" s="3234"/>
      <c r="L21" s="1421"/>
      <c r="M21" s="1421"/>
      <c r="N21" s="1418" t="s">
        <v>966</v>
      </c>
      <c r="O21" s="1481"/>
      <c r="P21" s="2495">
        <f>SUMPRODUCT((地价!A3:A32=YEAR(G19)&amp;"-"&amp;ROUNDUP(MONTH(G19)/3,0))*(地价!AD2:AH2=N21)*(地价!AD3:AH32))</f>
        <v>1.14E-2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1"/>
      <c r="M22" s="1421"/>
      <c r="N22" s="1418" t="s">
        <v>969</v>
      </c>
      <c r="O22" s="1481"/>
      <c r="P22" s="2495">
        <f>SUMPRODUCT((地价!A3:A32=YEAR(G19)&amp;"-"&amp;ROUNDUP(MONTH(G19)/3,0))*(地价!AD2:AH2=N22)*(地价!AD3:AH32))</f>
        <v>1.14E-2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4">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914</v>
      </c>
      <c r="O23" s="1481"/>
      <c r="P23" s="2495">
        <f>SUMPRODUCT((地价!A3:A32=YEAR(G19)&amp;"-"&amp;ROUNDUP(MONTH(G19)/3,0))*(地价!AD2:AH2=N23)*(地价!AD3:AH32))</f>
        <v>1.9199999999999998E-2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5">
        <f>SUMIF(A44:A87,E2,B44:B87)</f>
        <v>0</v>
      </c>
      <c r="D24" s="1474"/>
      <c r="E24" s="1475"/>
      <c r="F24" s="1475"/>
      <c r="G24" s="1475"/>
      <c r="H24" s="1475"/>
      <c r="I24" s="1475"/>
      <c r="J24" s="1475"/>
      <c r="K24" s="3241"/>
      <c r="L24" s="1421"/>
      <c r="M24" s="1421"/>
      <c r="N24" s="1418" t="s">
        <v>972</v>
      </c>
      <c r="O24" s="2836"/>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5"/>
      <c r="L25" s="2076"/>
      <c r="M25" s="2076"/>
      <c r="N25" s="2838" t="s">
        <v>2629</v>
      </c>
      <c r="O25" s="2839"/>
      <c r="P25" s="2302">
        <f>SUMPRODUCT((地价!A3:A32=YEAR(G19)&amp;"-"&amp;ROUNDUP(MONTH(G19)/3,0))*(地价!AD2:AH2=N25)*(地价!AD3:AH32))</f>
        <v>1.7399999999999999E-2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t="e">
        <f>E30+SUM(I33:I39)</f>
        <v>#DIV/0!</v>
      </c>
      <c r="D27" s="1433"/>
      <c r="E27" s="1434"/>
      <c r="F27" s="1435"/>
      <c r="G27" s="1434"/>
      <c r="H27" s="1434"/>
      <c r="I27" s="1434"/>
      <c r="J27" s="1436"/>
      <c r="K27" s="3235"/>
      <c r="L27" s="1408" t="s">
        <v>978</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6" t="e">
        <f>ROUND(C5*C18*C19*C20*C21*C24,0)</f>
        <v>#DIV/0!</v>
      </c>
      <c r="D29" s="1443"/>
      <c r="E29" s="1763" t="e">
        <f>ROUND(C29*D29/10000,0)</f>
        <v>#DIV/0!</v>
      </c>
      <c r="F29" s="1444" t="s">
        <v>1692</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8" t="e">
        <f>ROUND(IF(E2="工业",C29*M39,C29*M38),0)</f>
        <v>#DIV/0!</v>
      </c>
      <c r="D30" s="1449"/>
      <c r="E30" s="1763" t="e">
        <f>ROUND(C30*D30/10000,0)</f>
        <v>#DIV/0!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1"/>
      <c r="B33" s="1463" t="s">
        <v>990</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531" t="s">
        <v>2996</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2"/>
      <c r="B34" s="1393" t="s">
        <v>991</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2"/>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2"/>
      <c r="B35" s="1393" t="s">
        <v>992</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532"/>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33"/>
      <c r="B36" s="1393" t="s">
        <v>993</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533"/>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2950</v>
      </c>
      <c r="C41" s="828" t="e">
        <f>ROUND(POWER(1+E41,H41-G41)*(POWER(1+E41,G41)-1)/(POWER(1+E41,H41)-1),4)</f>
        <v>#DIV/0!</v>
      </c>
      <c r="D41" s="372" t="s">
        <v>2948</v>
      </c>
      <c r="E41" s="2832">
        <f>G20</f>
        <v>0</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29" t="s">
        <v>1624</v>
      </c>
      <c r="B90" s="3529"/>
      <c r="C90" s="3529"/>
      <c r="D90" s="3529"/>
      <c r="E90" s="3529"/>
      <c r="F90" s="3529"/>
      <c r="G90" s="3529"/>
      <c r="H90" s="3529"/>
      <c r="I90" s="3529"/>
      <c r="J90" s="3529"/>
      <c r="K90" s="2305"/>
      <c r="L90" s="2305"/>
      <c r="M90" s="2305"/>
      <c r="N90" s="2305"/>
    </row>
    <row r="91" spans="1:40">
      <c r="A91" s="3530" t="s">
        <v>1434</v>
      </c>
      <c r="B91" s="3530" t="s">
        <v>1625</v>
      </c>
      <c r="C91" s="1123" t="s">
        <v>1626</v>
      </c>
      <c r="D91" s="1124"/>
      <c r="E91" s="1124"/>
      <c r="F91" s="1124"/>
      <c r="G91" s="1124"/>
      <c r="H91" s="1124"/>
      <c r="I91" s="1124"/>
      <c r="J91" s="1125"/>
      <c r="K91" s="1117"/>
      <c r="L91" s="1117"/>
      <c r="M91" s="1117"/>
      <c r="N91" s="1117"/>
    </row>
    <row r="92" spans="1:40">
      <c r="A92" s="3530"/>
      <c r="B92" s="3530"/>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37"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8"/>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9"/>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7"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38"/>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38"/>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38"/>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38"/>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38"/>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38"/>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38"/>
      <c r="B108" s="3540"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9"/>
      <c r="B109" s="3541"/>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23" t="s">
        <v>1630</v>
      </c>
      <c r="B110" s="3523"/>
      <c r="C110" s="3523"/>
      <c r="D110" s="3523"/>
      <c r="E110" s="3523"/>
      <c r="F110" s="3523"/>
      <c r="G110" s="3523"/>
      <c r="H110" s="3523"/>
      <c r="I110" s="3523"/>
      <c r="J110" s="3523"/>
      <c r="K110" s="2303"/>
      <c r="L110" s="2303"/>
      <c r="M110" s="2303"/>
      <c r="N110" s="2303"/>
    </row>
    <row r="112" spans="1:14" ht="12.75" thickBot="1"/>
    <row r="113" spans="1:13" ht="25.5" thickBot="1">
      <c r="A113" s="1003" t="s">
        <v>887</v>
      </c>
      <c r="B113" s="2306">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2953</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29" customFormat="1" ht="19.5" customHeight="1">
      <c r="A18" s="3530" t="s">
        <v>998</v>
      </c>
      <c r="B18" s="1137" t="s">
        <v>1437</v>
      </c>
      <c r="C18" s="1114" t="s">
        <v>1438</v>
      </c>
      <c r="D18" s="1115"/>
      <c r="E18" s="1137">
        <v>1</v>
      </c>
      <c r="F18" s="1116" t="s">
        <v>1439</v>
      </c>
      <c r="G18" s="1117"/>
      <c r="H18" s="1088"/>
      <c r="I18" s="1088"/>
    </row>
    <row r="19" spans="1:9" s="1529" customFormat="1" ht="19.5" customHeight="1">
      <c r="A19" s="3530"/>
      <c r="B19" s="3530" t="s">
        <v>1440</v>
      </c>
      <c r="C19" s="1114" t="s">
        <v>1441</v>
      </c>
      <c r="D19" s="1115"/>
      <c r="E19" s="1137">
        <v>0.9</v>
      </c>
      <c r="F19" s="1116" t="s">
        <v>1442</v>
      </c>
      <c r="G19" s="1117"/>
      <c r="H19" s="1088"/>
      <c r="I19" s="1088"/>
    </row>
    <row r="20" spans="1:9" s="1529" customFormat="1" ht="19.5" customHeight="1">
      <c r="A20" s="3530"/>
      <c r="B20" s="3530"/>
      <c r="C20" s="1114" t="s">
        <v>1443</v>
      </c>
      <c r="D20" s="1115"/>
      <c r="E20" s="1137">
        <v>1.1000000000000001</v>
      </c>
      <c r="F20" s="1116" t="s">
        <v>1444</v>
      </c>
      <c r="G20" s="1117"/>
      <c r="H20" s="1088"/>
      <c r="I20" s="1088"/>
    </row>
    <row r="21" spans="1:9" s="1529" customFormat="1" ht="19.5" customHeight="1">
      <c r="A21" s="3530"/>
      <c r="B21" s="3530"/>
      <c r="C21" s="1114" t="s">
        <v>1445</v>
      </c>
      <c r="D21" s="1115"/>
      <c r="E21" s="1137">
        <v>0.8</v>
      </c>
      <c r="F21" s="1116" t="s">
        <v>1446</v>
      </c>
      <c r="G21" s="1117"/>
      <c r="H21" s="1088"/>
      <c r="I21" s="1088"/>
    </row>
    <row r="22" spans="1:9" s="1529" customFormat="1" ht="19.5" customHeight="1">
      <c r="A22" s="3530"/>
      <c r="B22" s="3530"/>
      <c r="C22" s="1114" t="s">
        <v>1447</v>
      </c>
      <c r="D22" s="1115"/>
      <c r="E22" s="1137">
        <v>0.5</v>
      </c>
      <c r="F22" s="1116"/>
      <c r="G22" s="1117"/>
      <c r="H22" s="1088"/>
      <c r="I22" s="1088"/>
    </row>
    <row r="23" spans="1:9" s="1529" customFormat="1" ht="19.5" customHeight="1">
      <c r="A23" s="3530" t="s">
        <v>1020</v>
      </c>
      <c r="B23" s="1137" t="s">
        <v>1437</v>
      </c>
      <c r="C23" s="1114" t="s">
        <v>1448</v>
      </c>
      <c r="D23" s="1115"/>
      <c r="E23" s="1137">
        <v>1</v>
      </c>
      <c r="F23" s="1116" t="s">
        <v>1449</v>
      </c>
      <c r="G23" s="1117"/>
      <c r="H23" s="1088"/>
      <c r="I23" s="1088"/>
    </row>
    <row r="24" spans="1:9" s="1529" customFormat="1" ht="19.5" customHeight="1">
      <c r="A24" s="3530"/>
      <c r="B24" s="3530" t="s">
        <v>1440</v>
      </c>
      <c r="C24" s="1114" t="s">
        <v>1450</v>
      </c>
      <c r="D24" s="1115"/>
      <c r="E24" s="1137">
        <v>0.5</v>
      </c>
      <c r="F24" s="1116"/>
      <c r="G24" s="1117"/>
      <c r="H24" s="1088"/>
      <c r="I24" s="1088"/>
    </row>
    <row r="25" spans="1:9" s="1529" customFormat="1" ht="19.5" customHeight="1">
      <c r="A25" s="3530"/>
      <c r="B25" s="3530"/>
      <c r="C25" s="1114" t="s">
        <v>1451</v>
      </c>
      <c r="D25" s="1115"/>
      <c r="E25" s="1137">
        <v>1.1000000000000001</v>
      </c>
      <c r="F25" s="1116"/>
      <c r="G25" s="1117"/>
      <c r="H25" s="1088"/>
      <c r="I25" s="1088"/>
    </row>
    <row r="26" spans="1:9" s="1529" customFormat="1" ht="19.5" customHeight="1">
      <c r="A26" s="3530"/>
      <c r="B26" s="3530"/>
      <c r="C26" s="1114" t="s">
        <v>1452</v>
      </c>
      <c r="D26" s="1115"/>
      <c r="E26" s="1137">
        <v>1.1000000000000001</v>
      </c>
      <c r="F26" s="1116"/>
      <c r="G26" s="1117"/>
      <c r="H26" s="1088"/>
      <c r="I26" s="1088"/>
    </row>
    <row r="27" spans="1:9" s="1529" customFormat="1" ht="19.5" customHeight="1">
      <c r="A27" s="3530"/>
      <c r="B27" s="3530"/>
      <c r="C27" s="1114" t="s">
        <v>1453</v>
      </c>
      <c r="D27" s="1115"/>
      <c r="E27" s="1137">
        <v>0.9</v>
      </c>
      <c r="F27" s="1116" t="s">
        <v>1454</v>
      </c>
      <c r="G27" s="1117"/>
      <c r="H27" s="1088"/>
      <c r="I27" s="1088"/>
    </row>
    <row r="28" spans="1:9" s="1529" customFormat="1" ht="19.5" customHeight="1">
      <c r="A28" s="3530"/>
      <c r="B28" s="3530"/>
      <c r="C28" s="1114" t="s">
        <v>1455</v>
      </c>
      <c r="D28" s="1115"/>
      <c r="E28" s="1137">
        <v>0.9</v>
      </c>
      <c r="F28" s="1116" t="s">
        <v>1456</v>
      </c>
      <c r="G28" s="1117"/>
      <c r="H28" s="1088"/>
      <c r="I28" s="1088"/>
    </row>
    <row r="29" spans="1:9" s="1529" customFormat="1" ht="19.5" customHeight="1">
      <c r="A29" s="3530"/>
      <c r="B29" s="3530"/>
      <c r="C29" s="1114" t="s">
        <v>1457</v>
      </c>
      <c r="D29" s="1115"/>
      <c r="E29" s="1137">
        <v>0.9</v>
      </c>
      <c r="F29" s="1116" t="s">
        <v>1458</v>
      </c>
      <c r="G29" s="1117"/>
      <c r="H29" s="1088"/>
      <c r="I29" s="1088"/>
    </row>
    <row r="30" spans="1:9" s="1529" customFormat="1" ht="19.5" customHeight="1">
      <c r="A30" s="3530"/>
      <c r="B30" s="3530"/>
      <c r="C30" s="1114" t="s">
        <v>1459</v>
      </c>
      <c r="D30" s="1115"/>
      <c r="E30" s="1137">
        <v>0.9</v>
      </c>
      <c r="F30" s="1116" t="s">
        <v>1460</v>
      </c>
      <c r="G30" s="1117"/>
      <c r="H30" s="1088"/>
      <c r="I30" s="1088"/>
    </row>
    <row r="31" spans="1:9" s="1529" customFormat="1" ht="19.5" customHeight="1">
      <c r="A31" s="3530"/>
      <c r="B31" s="3530"/>
      <c r="C31" s="1114" t="s">
        <v>1461</v>
      </c>
      <c r="D31" s="1115"/>
      <c r="E31" s="1137">
        <v>0.8</v>
      </c>
      <c r="F31" s="1116" t="s">
        <v>1462</v>
      </c>
      <c r="G31" s="1117"/>
      <c r="H31" s="1088"/>
      <c r="I31" s="1088"/>
    </row>
    <row r="32" spans="1:9" s="1529" customFormat="1" ht="19.5" customHeight="1">
      <c r="A32" s="3530"/>
      <c r="B32" s="3530"/>
      <c r="C32" s="1114" t="s">
        <v>1463</v>
      </c>
      <c r="D32" s="1115"/>
      <c r="E32" s="1137">
        <v>0.8</v>
      </c>
      <c r="F32" s="1116" t="s">
        <v>1464</v>
      </c>
      <c r="G32" s="1117"/>
      <c r="H32" s="1088"/>
      <c r="I32" s="1088"/>
    </row>
    <row r="33" spans="1:9" s="1529" customFormat="1" ht="19.5" customHeight="1">
      <c r="A33" s="3530" t="s">
        <v>1465</v>
      </c>
      <c r="B33" s="1137" t="s">
        <v>1437</v>
      </c>
      <c r="C33" s="1114" t="s">
        <v>1466</v>
      </c>
      <c r="D33" s="1115"/>
      <c r="E33" s="1137">
        <v>1</v>
      </c>
      <c r="F33" s="1116" t="s">
        <v>1467</v>
      </c>
      <c r="G33" s="1117"/>
      <c r="H33" s="1088"/>
      <c r="I33" s="1088"/>
    </row>
    <row r="34" spans="1:9" s="1529" customFormat="1" ht="19.5" customHeight="1">
      <c r="A34" s="3530"/>
      <c r="B34" s="1137" t="s">
        <v>1440</v>
      </c>
      <c r="C34" s="1114" t="s">
        <v>1468</v>
      </c>
      <c r="D34" s="1115"/>
      <c r="E34" s="1137">
        <v>1.5</v>
      </c>
      <c r="F34" s="1116" t="s">
        <v>1469</v>
      </c>
      <c r="G34" s="1117"/>
      <c r="H34" s="1088"/>
      <c r="I34" s="1088"/>
    </row>
    <row r="35" spans="1:9" s="1529" customFormat="1" ht="19.5" customHeight="1">
      <c r="A35" s="3530" t="s">
        <v>1423</v>
      </c>
      <c r="B35" s="1137" t="s">
        <v>1437</v>
      </c>
      <c r="C35" s="1114" t="s">
        <v>1470</v>
      </c>
      <c r="D35" s="1115"/>
      <c r="E35" s="1137">
        <v>1</v>
      </c>
      <c r="F35" s="1116" t="s">
        <v>1471</v>
      </c>
      <c r="G35" s="1117"/>
      <c r="H35" s="1088"/>
      <c r="I35" s="1088"/>
    </row>
    <row r="36" spans="1:9" s="1529" customFormat="1" ht="19.5" customHeight="1">
      <c r="A36" s="3530"/>
      <c r="B36" s="3530" t="s">
        <v>1440</v>
      </c>
      <c r="C36" s="1114" t="s">
        <v>1472</v>
      </c>
      <c r="D36" s="1115"/>
      <c r="E36" s="1137">
        <v>1</v>
      </c>
      <c r="F36" s="1116" t="s">
        <v>1473</v>
      </c>
      <c r="G36" s="1117"/>
      <c r="H36" s="1088"/>
      <c r="I36" s="1088"/>
    </row>
    <row r="37" spans="1:9" s="1529" customFormat="1" ht="19.5" customHeight="1">
      <c r="A37" s="3530"/>
      <c r="B37" s="3530"/>
      <c r="C37" s="1114" t="s">
        <v>1474</v>
      </c>
      <c r="D37" s="1115"/>
      <c r="E37" s="1137">
        <v>1.5</v>
      </c>
      <c r="F37" s="1116" t="s">
        <v>1475</v>
      </c>
      <c r="G37" s="1117"/>
      <c r="H37" s="1088"/>
      <c r="I37" s="1088"/>
    </row>
    <row r="38" spans="1:9" s="1529" customFormat="1" ht="19.5" customHeight="1">
      <c r="A38" s="3530"/>
      <c r="B38" s="3530"/>
      <c r="C38" s="1114" t="s">
        <v>1476</v>
      </c>
      <c r="D38" s="1115"/>
      <c r="E38" s="1137">
        <v>1</v>
      </c>
      <c r="F38" s="1116" t="s">
        <v>1477</v>
      </c>
      <c r="G38" s="1117"/>
      <c r="H38" s="1088"/>
      <c r="I38" s="1088"/>
    </row>
    <row r="39" spans="1:9" s="1529" customFormat="1" ht="19.5" customHeight="1">
      <c r="A39" s="3530"/>
      <c r="B39" s="3530"/>
      <c r="C39" s="1114" t="s">
        <v>1478</v>
      </c>
      <c r="D39" s="1115"/>
      <c r="E39" s="1137">
        <v>1</v>
      </c>
      <c r="F39" s="1116" t="s">
        <v>1479</v>
      </c>
      <c r="G39" s="1117"/>
      <c r="H39" s="1088"/>
      <c r="I39" s="1088"/>
    </row>
    <row r="40" spans="1:9" s="1529" customFormat="1" ht="19.5" customHeight="1">
      <c r="A40" s="1530" t="s">
        <v>1480</v>
      </c>
      <c r="B40" s="1530"/>
      <c r="C40" s="1530"/>
      <c r="D40" s="1530"/>
      <c r="E40" s="1530"/>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0" t="s">
        <v>1492</v>
      </c>
      <c r="C61" s="1051" t="s">
        <v>1493</v>
      </c>
      <c r="D61" s="1051" t="s">
        <v>1494</v>
      </c>
      <c r="E61" s="1122">
        <v>0.5</v>
      </c>
      <c r="F61" s="1137">
        <v>80</v>
      </c>
      <c r="H61" s="1088">
        <f>SUMIF(C59:C119,基准地价!C8,E59:E119)</f>
        <v>0</v>
      </c>
    </row>
    <row r="62" spans="1:8" s="1088" customFormat="1" ht="24">
      <c r="A62" s="1137">
        <v>2</v>
      </c>
      <c r="B62" s="3530"/>
      <c r="C62" s="1051" t="s">
        <v>1495</v>
      </c>
      <c r="D62" s="1051" t="s">
        <v>1496</v>
      </c>
      <c r="E62" s="1122">
        <v>0.5</v>
      </c>
      <c r="F62" s="1137">
        <v>80</v>
      </c>
    </row>
    <row r="63" spans="1:8" s="1088" customFormat="1" ht="36">
      <c r="A63" s="1137">
        <v>3</v>
      </c>
      <c r="B63" s="3530"/>
      <c r="C63" s="1051" t="s">
        <v>1497</v>
      </c>
      <c r="D63" s="1051" t="s">
        <v>1498</v>
      </c>
      <c r="E63" s="1122">
        <v>0.5</v>
      </c>
      <c r="F63" s="1137">
        <v>80</v>
      </c>
    </row>
    <row r="64" spans="1:8" s="1088" customFormat="1" ht="36">
      <c r="A64" s="1137">
        <v>4</v>
      </c>
      <c r="B64" s="3530"/>
      <c r="C64" s="1051" t="s">
        <v>1499</v>
      </c>
      <c r="D64" s="1051" t="s">
        <v>1500</v>
      </c>
      <c r="E64" s="1122">
        <v>0.4</v>
      </c>
      <c r="F64" s="1137">
        <v>60</v>
      </c>
    </row>
    <row r="65" spans="1:6" s="1088" customFormat="1" ht="36">
      <c r="A65" s="1137">
        <v>5</v>
      </c>
      <c r="B65" s="3530"/>
      <c r="C65" s="1051" t="s">
        <v>1501</v>
      </c>
      <c r="D65" s="1051" t="s">
        <v>1502</v>
      </c>
      <c r="E65" s="1122">
        <v>0.2</v>
      </c>
      <c r="F65" s="1137">
        <v>30</v>
      </c>
    </row>
    <row r="66" spans="1:6" s="1088" customFormat="1" ht="36">
      <c r="A66" s="1137">
        <v>6</v>
      </c>
      <c r="B66" s="3530"/>
      <c r="C66" s="1051" t="s">
        <v>1503</v>
      </c>
      <c r="D66" s="1051" t="s">
        <v>1504</v>
      </c>
      <c r="E66" s="1122">
        <v>0.3</v>
      </c>
      <c r="F66" s="1137">
        <v>50</v>
      </c>
    </row>
    <row r="67" spans="1:6" s="1088" customFormat="1" ht="36">
      <c r="A67" s="1137">
        <v>7</v>
      </c>
      <c r="B67" s="3530"/>
      <c r="C67" s="1051" t="s">
        <v>1505</v>
      </c>
      <c r="D67" s="1051" t="s">
        <v>1506</v>
      </c>
      <c r="E67" s="1122">
        <v>0.2</v>
      </c>
      <c r="F67" s="1137">
        <v>30</v>
      </c>
    </row>
    <row r="68" spans="1:6" s="1088" customFormat="1" ht="36">
      <c r="A68" s="1137">
        <v>8</v>
      </c>
      <c r="B68" s="3530"/>
      <c r="C68" s="1051" t="s">
        <v>1507</v>
      </c>
      <c r="D68" s="1051" t="s">
        <v>1508</v>
      </c>
      <c r="E68" s="1122">
        <v>0.2</v>
      </c>
      <c r="F68" s="1137">
        <v>30</v>
      </c>
    </row>
    <row r="69" spans="1:6" s="1088" customFormat="1" ht="36">
      <c r="A69" s="1137">
        <v>9</v>
      </c>
      <c r="B69" s="3530"/>
      <c r="C69" s="1051" t="s">
        <v>1509</v>
      </c>
      <c r="D69" s="1051" t="s">
        <v>1510</v>
      </c>
      <c r="E69" s="1122">
        <v>0.2</v>
      </c>
      <c r="F69" s="1137">
        <v>30</v>
      </c>
    </row>
    <row r="70" spans="1:6" s="1088" customFormat="1" ht="48">
      <c r="A70" s="1137">
        <v>10</v>
      </c>
      <c r="B70" s="3530"/>
      <c r="C70" s="1051" t="s">
        <v>1511</v>
      </c>
      <c r="D70" s="1051" t="s">
        <v>1512</v>
      </c>
      <c r="E70" s="1122">
        <v>0.2</v>
      </c>
      <c r="F70" s="1137">
        <v>30</v>
      </c>
    </row>
    <row r="71" spans="1:6" s="1088" customFormat="1" ht="48">
      <c r="A71" s="1137">
        <v>11</v>
      </c>
      <c r="B71" s="3530"/>
      <c r="C71" s="1051" t="s">
        <v>1513</v>
      </c>
      <c r="D71" s="1051" t="s">
        <v>1514</v>
      </c>
      <c r="E71" s="1122">
        <v>0.2</v>
      </c>
      <c r="F71" s="1137">
        <v>30</v>
      </c>
    </row>
    <row r="72" spans="1:6" s="1088" customFormat="1" ht="36">
      <c r="A72" s="1137">
        <v>12</v>
      </c>
      <c r="B72" s="3530"/>
      <c r="C72" s="1051" t="s">
        <v>1515</v>
      </c>
      <c r="D72" s="1051" t="s">
        <v>1516</v>
      </c>
      <c r="E72" s="1122">
        <v>0.5</v>
      </c>
      <c r="F72" s="1137">
        <v>80</v>
      </c>
    </row>
    <row r="73" spans="1:6" s="1088" customFormat="1" ht="24">
      <c r="A73" s="1137">
        <v>13</v>
      </c>
      <c r="B73" s="3530"/>
      <c r="C73" s="1051" t="s">
        <v>1517</v>
      </c>
      <c r="D73" s="1051" t="s">
        <v>1518</v>
      </c>
      <c r="E73" s="1122">
        <v>0.4</v>
      </c>
      <c r="F73" s="1137">
        <v>60</v>
      </c>
    </row>
    <row r="74" spans="1:6" s="1088" customFormat="1" ht="24">
      <c r="A74" s="1137">
        <v>14</v>
      </c>
      <c r="B74" s="3530"/>
      <c r="C74" s="1051" t="s">
        <v>1519</v>
      </c>
      <c r="D74" s="1051" t="s">
        <v>1520</v>
      </c>
      <c r="E74" s="1122">
        <v>0.2</v>
      </c>
      <c r="F74" s="1137">
        <v>30</v>
      </c>
    </row>
    <row r="75" spans="1:6" s="1088" customFormat="1" ht="24">
      <c r="A75" s="1137">
        <v>15</v>
      </c>
      <c r="B75" s="3530"/>
      <c r="C75" s="1051" t="s">
        <v>1521</v>
      </c>
      <c r="D75" s="1051" t="s">
        <v>1522</v>
      </c>
      <c r="E75" s="1122">
        <v>0.2</v>
      </c>
      <c r="F75" s="1137">
        <v>30</v>
      </c>
    </row>
    <row r="76" spans="1:6" s="1088" customFormat="1" ht="24">
      <c r="A76" s="1137">
        <v>16</v>
      </c>
      <c r="B76" s="3530" t="s">
        <v>1523</v>
      </c>
      <c r="C76" s="1051" t="s">
        <v>1524</v>
      </c>
      <c r="D76" s="1051" t="s">
        <v>1525</v>
      </c>
      <c r="E76" s="1122">
        <v>0.5</v>
      </c>
      <c r="F76" s="1137">
        <v>80</v>
      </c>
    </row>
    <row r="77" spans="1:6" s="1088" customFormat="1" ht="24">
      <c r="A77" s="1137">
        <v>17</v>
      </c>
      <c r="B77" s="3530"/>
      <c r="C77" s="1051" t="s">
        <v>1526</v>
      </c>
      <c r="D77" s="1051" t="s">
        <v>1527</v>
      </c>
      <c r="E77" s="1122">
        <v>0.5</v>
      </c>
      <c r="F77" s="1137">
        <v>80</v>
      </c>
    </row>
    <row r="78" spans="1:6" s="1088" customFormat="1" ht="24">
      <c r="A78" s="1137">
        <v>18</v>
      </c>
      <c r="B78" s="3530"/>
      <c r="C78" s="1051" t="s">
        <v>1528</v>
      </c>
      <c r="D78" s="1051" t="s">
        <v>1529</v>
      </c>
      <c r="E78" s="1122">
        <v>0.2</v>
      </c>
      <c r="F78" s="1137">
        <v>30</v>
      </c>
    </row>
    <row r="79" spans="1:6" s="1088" customFormat="1" ht="24">
      <c r="A79" s="1137">
        <v>19</v>
      </c>
      <c r="B79" s="3530"/>
      <c r="C79" s="1051" t="s">
        <v>1530</v>
      </c>
      <c r="D79" s="1051" t="s">
        <v>1531</v>
      </c>
      <c r="E79" s="1122">
        <v>0.5</v>
      </c>
      <c r="F79" s="1137">
        <v>80</v>
      </c>
    </row>
    <row r="80" spans="1:6" s="1088" customFormat="1" ht="36">
      <c r="A80" s="1137">
        <v>20</v>
      </c>
      <c r="B80" s="3530"/>
      <c r="C80" s="1051" t="s">
        <v>1532</v>
      </c>
      <c r="D80" s="1051" t="s">
        <v>1533</v>
      </c>
      <c r="E80" s="1122">
        <v>0.2</v>
      </c>
      <c r="F80" s="1137">
        <v>30</v>
      </c>
    </row>
    <row r="81" spans="1:6" s="1088" customFormat="1" ht="36">
      <c r="A81" s="1137">
        <v>21</v>
      </c>
      <c r="B81" s="3530"/>
      <c r="C81" s="1051" t="s">
        <v>1534</v>
      </c>
      <c r="D81" s="1051" t="s">
        <v>1535</v>
      </c>
      <c r="E81" s="1122">
        <v>0.2</v>
      </c>
      <c r="F81" s="1137">
        <v>30</v>
      </c>
    </row>
    <row r="82" spans="1:6" s="1088" customFormat="1" ht="48">
      <c r="A82" s="1137">
        <v>22</v>
      </c>
      <c r="B82" s="3530"/>
      <c r="C82" s="1051" t="s">
        <v>1536</v>
      </c>
      <c r="D82" s="1051" t="s">
        <v>1537</v>
      </c>
      <c r="E82" s="1122">
        <v>0.2</v>
      </c>
      <c r="F82" s="1137">
        <v>30</v>
      </c>
    </row>
    <row r="83" spans="1:6" s="1088" customFormat="1" ht="48">
      <c r="A83" s="1137">
        <v>23</v>
      </c>
      <c r="B83" s="3530"/>
      <c r="C83" s="1051" t="s">
        <v>1538</v>
      </c>
      <c r="D83" s="1051" t="s">
        <v>1539</v>
      </c>
      <c r="E83" s="1122">
        <v>0.2</v>
      </c>
      <c r="F83" s="1137">
        <v>30</v>
      </c>
    </row>
    <row r="84" spans="1:6" s="1088" customFormat="1" ht="36">
      <c r="A84" s="1137">
        <v>24</v>
      </c>
      <c r="B84" s="3530"/>
      <c r="C84" s="1051" t="s">
        <v>1540</v>
      </c>
      <c r="D84" s="1051" t="s">
        <v>1541</v>
      </c>
      <c r="E84" s="1122">
        <v>0.2</v>
      </c>
      <c r="F84" s="1137">
        <v>30</v>
      </c>
    </row>
    <row r="85" spans="1:6" s="1088" customFormat="1" ht="36">
      <c r="A85" s="1137">
        <v>25</v>
      </c>
      <c r="B85" s="3530"/>
      <c r="C85" s="1051" t="s">
        <v>1542</v>
      </c>
      <c r="D85" s="1051" t="s">
        <v>1543</v>
      </c>
      <c r="E85" s="1122">
        <v>0.5</v>
      </c>
      <c r="F85" s="1137">
        <v>80</v>
      </c>
    </row>
    <row r="86" spans="1:6" s="1088" customFormat="1" ht="36">
      <c r="A86" s="1137">
        <v>26</v>
      </c>
      <c r="B86" s="3530"/>
      <c r="C86" s="1051" t="s">
        <v>1544</v>
      </c>
      <c r="D86" s="1051" t="s">
        <v>1545</v>
      </c>
      <c r="E86" s="1122">
        <v>0.2</v>
      </c>
      <c r="F86" s="1137">
        <v>30</v>
      </c>
    </row>
    <row r="87" spans="1:6" s="1088" customFormat="1" ht="36">
      <c r="A87" s="1137">
        <v>27</v>
      </c>
      <c r="B87" s="3530"/>
      <c r="C87" s="1051" t="s">
        <v>1546</v>
      </c>
      <c r="D87" s="1051" t="s">
        <v>1547</v>
      </c>
      <c r="E87" s="1122">
        <v>0.2</v>
      </c>
      <c r="F87" s="1137">
        <v>30</v>
      </c>
    </row>
    <row r="88" spans="1:6" s="1088" customFormat="1" ht="36">
      <c r="A88" s="1137">
        <v>28</v>
      </c>
      <c r="B88" s="3530"/>
      <c r="C88" s="1051" t="s">
        <v>1548</v>
      </c>
      <c r="D88" s="1051" t="s">
        <v>1549</v>
      </c>
      <c r="E88" s="1122">
        <v>0.2</v>
      </c>
      <c r="F88" s="1137">
        <v>30</v>
      </c>
    </row>
    <row r="89" spans="1:6" s="1088" customFormat="1" ht="24">
      <c r="A89" s="1137">
        <v>29</v>
      </c>
      <c r="B89" s="3530"/>
      <c r="C89" s="1051" t="s">
        <v>1550</v>
      </c>
      <c r="D89" s="1051" t="s">
        <v>1551</v>
      </c>
      <c r="E89" s="1122">
        <v>0.2</v>
      </c>
      <c r="F89" s="1137">
        <v>30</v>
      </c>
    </row>
    <row r="90" spans="1:6" s="1088" customFormat="1" ht="24">
      <c r="A90" s="1137">
        <v>30</v>
      </c>
      <c r="B90" s="3530"/>
      <c r="C90" s="1051" t="s">
        <v>1552</v>
      </c>
      <c r="D90" s="1051" t="s">
        <v>1553</v>
      </c>
      <c r="E90" s="1122">
        <v>0.2</v>
      </c>
      <c r="F90" s="1137">
        <v>30</v>
      </c>
    </row>
    <row r="91" spans="1:6" s="1088" customFormat="1" ht="36">
      <c r="A91" s="1137">
        <v>31</v>
      </c>
      <c r="B91" s="3530"/>
      <c r="C91" s="1051" t="s">
        <v>1554</v>
      </c>
      <c r="D91" s="1051" t="s">
        <v>1555</v>
      </c>
      <c r="E91" s="1122">
        <v>0.2</v>
      </c>
      <c r="F91" s="1137">
        <v>30</v>
      </c>
    </row>
    <row r="92" spans="1:6" s="1088" customFormat="1" ht="24">
      <c r="A92" s="1137">
        <v>32</v>
      </c>
      <c r="B92" s="3530" t="s">
        <v>1556</v>
      </c>
      <c r="C92" s="1137" t="s">
        <v>1557</v>
      </c>
      <c r="D92" s="1051" t="s">
        <v>1558</v>
      </c>
      <c r="E92" s="1122">
        <v>0.2</v>
      </c>
      <c r="F92" s="1137">
        <v>30</v>
      </c>
    </row>
    <row r="93" spans="1:6" s="1088" customFormat="1" ht="36">
      <c r="A93" s="1137">
        <v>33</v>
      </c>
      <c r="B93" s="3530"/>
      <c r="C93" s="1137" t="s">
        <v>1559</v>
      </c>
      <c r="D93" s="1051" t="s">
        <v>1560</v>
      </c>
      <c r="E93" s="1122">
        <v>0.2</v>
      </c>
      <c r="F93" s="1137">
        <v>30</v>
      </c>
    </row>
    <row r="94" spans="1:6" s="1088" customFormat="1" ht="48">
      <c r="A94" s="1137">
        <v>34</v>
      </c>
      <c r="B94" s="3530"/>
      <c r="C94" s="1137" t="s">
        <v>1561</v>
      </c>
      <c r="D94" s="1051" t="s">
        <v>1562</v>
      </c>
      <c r="E94" s="1122">
        <v>0.2</v>
      </c>
      <c r="F94" s="1137">
        <v>30</v>
      </c>
    </row>
    <row r="95" spans="1:6" s="1088" customFormat="1" ht="36">
      <c r="A95" s="1137">
        <v>35</v>
      </c>
      <c r="B95" s="3530"/>
      <c r="C95" s="1137" t="s">
        <v>1563</v>
      </c>
      <c r="D95" s="1051" t="s">
        <v>1564</v>
      </c>
      <c r="E95" s="1122">
        <v>0.2</v>
      </c>
      <c r="F95" s="1137">
        <v>30</v>
      </c>
    </row>
    <row r="96" spans="1:6" s="1088" customFormat="1" ht="48">
      <c r="A96" s="1137">
        <v>36</v>
      </c>
      <c r="B96" s="3530"/>
      <c r="C96" s="1051" t="s">
        <v>1565</v>
      </c>
      <c r="D96" s="1051" t="s">
        <v>1566</v>
      </c>
      <c r="E96" s="1122">
        <v>0.2</v>
      </c>
      <c r="F96" s="1137">
        <v>30</v>
      </c>
    </row>
    <row r="97" spans="1:6" s="1088" customFormat="1" ht="36">
      <c r="A97" s="1137">
        <v>37</v>
      </c>
      <c r="B97" s="3530"/>
      <c r="C97" s="1137" t="s">
        <v>1567</v>
      </c>
      <c r="D97" s="1051" t="s">
        <v>1568</v>
      </c>
      <c r="E97" s="1122">
        <v>0.2</v>
      </c>
      <c r="F97" s="1137">
        <v>30</v>
      </c>
    </row>
    <row r="98" spans="1:6" s="1088" customFormat="1" ht="36">
      <c r="A98" s="1137">
        <v>38</v>
      </c>
      <c r="B98" s="3530"/>
      <c r="C98" s="1137" t="s">
        <v>1569</v>
      </c>
      <c r="D98" s="1051" t="s">
        <v>1570</v>
      </c>
      <c r="E98" s="1122">
        <v>0.2</v>
      </c>
      <c r="F98" s="1137">
        <v>30</v>
      </c>
    </row>
    <row r="99" spans="1:6" s="1088" customFormat="1" ht="36">
      <c r="A99" s="1137">
        <v>39</v>
      </c>
      <c r="B99" s="3530" t="s">
        <v>1571</v>
      </c>
      <c r="C99" s="1137" t="s">
        <v>1572</v>
      </c>
      <c r="D99" s="1051" t="s">
        <v>1573</v>
      </c>
      <c r="E99" s="1122">
        <v>0.3</v>
      </c>
      <c r="F99" s="1137">
        <v>50</v>
      </c>
    </row>
    <row r="100" spans="1:6" s="1088" customFormat="1" ht="24">
      <c r="A100" s="1137">
        <v>40</v>
      </c>
      <c r="B100" s="3530"/>
      <c r="C100" s="1137" t="s">
        <v>1574</v>
      </c>
      <c r="D100" s="1051" t="s">
        <v>1575</v>
      </c>
      <c r="E100" s="1122">
        <v>0.2</v>
      </c>
      <c r="F100" s="1137">
        <v>30</v>
      </c>
    </row>
    <row r="101" spans="1:6" s="1088" customFormat="1" ht="36">
      <c r="A101" s="1137">
        <v>41</v>
      </c>
      <c r="B101" s="353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0" t="s">
        <v>1586</v>
      </c>
      <c r="C105" s="1137" t="s">
        <v>1587</v>
      </c>
      <c r="D105" s="1051" t="s">
        <v>1588</v>
      </c>
      <c r="E105" s="1122">
        <v>0.2</v>
      </c>
      <c r="F105" s="1137">
        <v>30</v>
      </c>
    </row>
    <row r="106" spans="1:6" s="1088" customFormat="1" ht="36">
      <c r="A106" s="1137">
        <v>46</v>
      </c>
      <c r="B106" s="3530"/>
      <c r="C106" s="1137" t="s">
        <v>1589</v>
      </c>
      <c r="D106" s="1051" t="s">
        <v>1590</v>
      </c>
      <c r="E106" s="1122">
        <v>0.2</v>
      </c>
      <c r="F106" s="1137">
        <v>30</v>
      </c>
    </row>
    <row r="107" spans="1:6" s="1088" customFormat="1" ht="36">
      <c r="A107" s="1137">
        <v>47</v>
      </c>
      <c r="B107" s="3530" t="s">
        <v>1591</v>
      </c>
      <c r="C107" s="1137" t="s">
        <v>1592</v>
      </c>
      <c r="D107" s="1051" t="s">
        <v>1593</v>
      </c>
      <c r="E107" s="1122">
        <v>0.3</v>
      </c>
      <c r="F107" s="1137">
        <v>50</v>
      </c>
    </row>
    <row r="108" spans="1:6" s="1088" customFormat="1" ht="36">
      <c r="A108" s="1137">
        <v>48</v>
      </c>
      <c r="B108" s="353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0" t="s">
        <v>1602</v>
      </c>
      <c r="C111" s="1137" t="s">
        <v>1603</v>
      </c>
      <c r="D111" s="1051" t="s">
        <v>1604</v>
      </c>
      <c r="E111" s="1122">
        <v>0.2</v>
      </c>
      <c r="F111" s="1137">
        <v>30</v>
      </c>
    </row>
    <row r="112" spans="1:6" s="1088" customFormat="1" ht="24">
      <c r="A112" s="1137">
        <v>52</v>
      </c>
      <c r="B112" s="3530"/>
      <c r="C112" s="1137" t="s">
        <v>1605</v>
      </c>
      <c r="D112" s="1051" t="s">
        <v>1606</v>
      </c>
      <c r="E112" s="1122">
        <v>0.2</v>
      </c>
      <c r="F112" s="1137">
        <v>30</v>
      </c>
    </row>
    <row r="113" spans="1:14" s="1088" customFormat="1" ht="24">
      <c r="A113" s="1137">
        <v>53</v>
      </c>
      <c r="B113" s="353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0" t="s">
        <v>1615</v>
      </c>
      <c r="C116" s="1137" t="s">
        <v>1616</v>
      </c>
      <c r="D116" s="1051" t="s">
        <v>1617</v>
      </c>
      <c r="E116" s="1122">
        <v>0.2</v>
      </c>
      <c r="F116" s="1137">
        <v>30</v>
      </c>
    </row>
    <row r="117" spans="1:14" ht="36">
      <c r="A117" s="1137">
        <v>57</v>
      </c>
      <c r="B117" s="353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29" t="s">
        <v>1624</v>
      </c>
      <c r="B121" s="3529"/>
      <c r="C121" s="3529"/>
      <c r="D121" s="3529"/>
      <c r="E121" s="3529"/>
      <c r="F121" s="3529"/>
      <c r="G121" s="3529"/>
      <c r="H121" s="3529"/>
      <c r="I121" s="3529"/>
      <c r="J121" s="352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4" t="s">
        <v>1030</v>
      </c>
      <c r="B1" s="3544"/>
      <c r="C1" s="3544"/>
      <c r="D1" s="3544"/>
      <c r="E1" s="3544"/>
      <c r="F1" s="354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5" t="s">
        <v>1043</v>
      </c>
      <c r="B2" s="3545"/>
      <c r="C2" s="3545"/>
      <c r="D2" s="3545"/>
      <c r="E2" s="3545"/>
      <c r="F2" s="354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4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48" t="s">
        <v>2068</v>
      </c>
      <c r="B1" s="3548"/>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1" t="s">
        <v>2557</v>
      </c>
      <c r="C1" s="3551"/>
      <c r="D1" s="3551"/>
      <c r="E1" s="3551"/>
      <c r="F1" s="3551"/>
      <c r="G1" s="3550" t="s">
        <v>2558</v>
      </c>
      <c r="H1" s="3550"/>
      <c r="I1" s="3550"/>
      <c r="J1" s="3550"/>
      <c r="K1" s="3550"/>
      <c r="L1" s="3550"/>
      <c r="N1" s="3550" t="s">
        <v>2559</v>
      </c>
      <c r="O1" s="3550"/>
      <c r="P1" s="3550"/>
      <c r="Q1" s="3550"/>
      <c r="S1" s="3550" t="s">
        <v>2560</v>
      </c>
      <c r="T1" s="3550"/>
      <c r="U1" s="3550"/>
      <c r="V1" s="3550"/>
      <c r="X1" s="3549" t="s">
        <v>2620</v>
      </c>
      <c r="Y1" s="3550"/>
      <c r="Z1" s="3550"/>
      <c r="AA1" s="3550"/>
      <c r="AB1" s="3550"/>
      <c r="AD1" s="3549" t="s">
        <v>2624</v>
      </c>
      <c r="AE1" s="3550"/>
      <c r="AF1" s="3550"/>
      <c r="AG1" s="3550"/>
      <c r="AH1" s="3550"/>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3003</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3002</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2964</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2962</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2959</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2958</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2955</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2954</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2951</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53">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2944</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53"/>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2945</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53"/>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2941</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59"/>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2933</v>
      </c>
      <c r="B17" s="2915">
        <v>439</v>
      </c>
      <c r="C17" s="2915">
        <v>327</v>
      </c>
      <c r="D17" s="2915">
        <f t="shared" si="120"/>
        <v>327</v>
      </c>
      <c r="E17" s="2915">
        <v>627</v>
      </c>
      <c r="F17" s="2916">
        <v>283</v>
      </c>
      <c r="G17" s="3558">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2936</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53"/>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53"/>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59"/>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58">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53"/>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53"/>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54"/>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52">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53"/>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53"/>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54"/>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52">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53"/>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53"/>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54"/>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55">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56"/>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56"/>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57"/>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52">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53"/>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53"/>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54"/>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52">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53">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53">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54">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52">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53">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53">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54">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52">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53">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53">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54">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52">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53">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53">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54">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52">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53">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53">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54">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52">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53">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53">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54">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52">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53">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53">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54">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52">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53">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53">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54">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52">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53">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53">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54">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52">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53">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53">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54">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10</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1677</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1" t="s">
        <v>2445</v>
      </c>
      <c r="C8" s="1740">
        <f ca="1">ROUND(F8*F10*F9*(1-F11)/10000,0)</f>
        <v>0</v>
      </c>
      <c r="D8" s="1737" t="s">
        <v>2516</v>
      </c>
      <c r="E8" s="61" t="s">
        <v>631</v>
      </c>
      <c r="F8" s="775">
        <f ca="1">INDIRECT("'数据-取费表'!u"&amp;$G$1)</f>
        <v>0</v>
      </c>
      <c r="G8" s="1526"/>
      <c r="H8" s="2357" t="s">
        <v>1815</v>
      </c>
      <c r="I8" s="3561" t="s">
        <v>2445</v>
      </c>
      <c r="J8" s="773">
        <f ca="1">ROUND(M8*M10*M9*(1-M11)/10000,0)</f>
        <v>0</v>
      </c>
      <c r="K8" s="339" t="s">
        <v>2516</v>
      </c>
      <c r="L8" s="774" t="s">
        <v>1729</v>
      </c>
      <c r="M8" s="775">
        <f ca="1">INDIRECT("'数据-取费表'!z"&amp;$G$1)</f>
        <v>0</v>
      </c>
    </row>
    <row r="9" spans="1:25" ht="18" customHeight="1">
      <c r="A9" s="2353"/>
      <c r="B9" s="3562"/>
      <c r="C9" s="1741"/>
      <c r="D9" s="1738"/>
      <c r="E9" s="61" t="s">
        <v>632</v>
      </c>
      <c r="F9" s="775">
        <f ca="1">IF(INDIRECT("'数据-取费表'!ah"&amp;$G$1)="",INDIRECT("'数据-取费表'!k"&amp;$G$1),INDIRECT("'数据-取费表'!ah"&amp;$G$1))</f>
        <v>0</v>
      </c>
      <c r="G9" s="1526"/>
      <c r="H9" s="2342"/>
      <c r="I9" s="3562"/>
      <c r="J9" s="778"/>
      <c r="K9" s="779"/>
      <c r="L9" s="774" t="s">
        <v>1730</v>
      </c>
      <c r="M9" s="775">
        <f ca="1">F9</f>
        <v>0</v>
      </c>
    </row>
    <row r="10" spans="1:25" ht="18" customHeight="1">
      <c r="A10" s="2346"/>
      <c r="B10" s="3563"/>
      <c r="C10" s="1741"/>
      <c r="D10" s="1738"/>
      <c r="E10" s="61" t="s">
        <v>633</v>
      </c>
      <c r="F10" s="775">
        <f ca="1">INDIRECT("'数据-取费表'!ai"&amp;$G$1)</f>
        <v>0</v>
      </c>
      <c r="G10" s="1526"/>
      <c r="H10" s="2342"/>
      <c r="I10" s="3563"/>
      <c r="J10" s="778"/>
      <c r="K10" s="779"/>
      <c r="L10" s="774" t="s">
        <v>1731</v>
      </c>
      <c r="M10" s="775">
        <f ca="1">INDIRECT("'数据-取费表'!ai"&amp;$G$1)</f>
        <v>0</v>
      </c>
    </row>
    <row r="11" spans="1:25" ht="18" customHeight="1">
      <c r="A11" s="776"/>
      <c r="B11" s="3564"/>
      <c r="C11" s="1741"/>
      <c r="D11" s="1738"/>
      <c r="E11" s="61" t="s">
        <v>634</v>
      </c>
      <c r="F11" s="784">
        <f ca="1">INDIRECT("'数据-取费表'!w"&amp;$G$1)</f>
        <v>0</v>
      </c>
      <c r="G11" s="1526"/>
      <c r="H11" s="2358"/>
      <c r="I11" s="3563"/>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6"/>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18</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1.4E-3</v>
      </c>
      <c r="D26" s="2423" t="str">
        <f>IF(F25&lt;=1,"销售费用×利率×(建设周期÷2)","销售费用×((1+利率)^(建设周期÷2)-1)")</f>
        <v>销售费用×((1+利率)^(建设周期÷2)-1)</v>
      </c>
      <c r="E26" s="774" t="s">
        <v>676</v>
      </c>
      <c r="F26" s="808">
        <f ca="1">'数据-取费表'!B40</f>
        <v>4.7500000000000001E-2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2997</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18</v>
      </c>
      <c r="G36" s="1945"/>
      <c r="H36" s="1948"/>
      <c r="I36" s="3560"/>
      <c r="J36" s="1962"/>
      <c r="K36" s="1963"/>
      <c r="L36" s="1962"/>
      <c r="M36" s="1962"/>
    </row>
    <row r="37" spans="1:18" ht="18" customHeight="1">
      <c r="A37" s="804"/>
      <c r="B37" s="783"/>
      <c r="C37" s="69"/>
      <c r="D37" s="805"/>
      <c r="E37" s="774" t="s">
        <v>668</v>
      </c>
      <c r="F37" s="775">
        <f ca="1">INDIRECT("'数据-取费表'!r"&amp;$G$1)</f>
        <v>0</v>
      </c>
      <c r="G37" s="1945"/>
      <c r="H37" s="1948"/>
      <c r="I37" s="3560"/>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-3</v>
      </c>
      <c r="K54" s="3565"/>
      <c r="L54" s="3566"/>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153925.47平方米。根据《建设工程规划许可证》[]、《出让合同》[]，估价对象规划建筑面积为559573.15平方米。</v>
      </c>
    </row>
    <row r="7" spans="1:4" ht="56.25">
      <c r="A7" s="1710" t="s">
        <v>2728</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2020年12月22日（评估专业人员勘察现场之日）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根据《国有土地使用证》[]，估价对象（分摊）出让国有建设用地使用权面积为153925.47平方米。根据《建设工程规划许可证》[]、《出让合同》[]，估价对象规划建筑面积为559573.15平方米。</v>
      </c>
    </row>
    <row r="21" spans="1:1" ht="18.75">
      <c r="A21" s="1706" t="s">
        <v>2063</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9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22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75B01-30EB-42CC-B93D-F167821158C7}">
  <dimension ref="A1"/>
  <sheetViews>
    <sheetView workbookViewId="0">
      <selection activeCell="A2" sqref="A2"/>
    </sheetView>
  </sheetViews>
  <sheetFormatPr defaultRowHeight="13.5"/>
  <sheetData/>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32" sqref="D3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31" s="1924" customFormat="1" ht="18" customHeight="1">
      <c r="A2" s="1983" t="s">
        <v>461</v>
      </c>
      <c r="B2" s="1987">
        <f ca="1">C36</f>
        <v>150489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2689</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9777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652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539997</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3006</v>
      </c>
      <c r="D7" s="430" t="s">
        <v>3033</v>
      </c>
      <c r="E7" s="430" t="s">
        <v>1668</v>
      </c>
      <c r="F7" s="430" t="s">
        <v>35</v>
      </c>
      <c r="G7" s="430"/>
      <c r="H7" s="430"/>
      <c r="I7" s="430"/>
      <c r="J7" s="430"/>
      <c r="K7" s="431"/>
      <c r="AA7" s="1994"/>
      <c r="AB7" s="1994"/>
      <c r="AC7" s="1994"/>
      <c r="AD7" s="1994"/>
      <c r="AE7" s="1994"/>
    </row>
    <row r="8" spans="1:31" s="1997" customFormat="1" ht="13.5" customHeight="1">
      <c r="A8" s="793" t="s">
        <v>1836</v>
      </c>
      <c r="B8" s="259" t="s">
        <v>466</v>
      </c>
      <c r="C8" s="2551">
        <f ca="1">'不动产收益法-商业'!B3</f>
        <v>11376</v>
      </c>
      <c r="D8" s="3296">
        <v>14000</v>
      </c>
      <c r="E8" s="2551">
        <f ca="1">'不动产收益法-办公'!B3</f>
        <v>14133</v>
      </c>
      <c r="F8" s="2551">
        <f ca="1">'不动产收益法-车库'!B3</f>
        <v>2105</v>
      </c>
      <c r="G8" s="2551"/>
      <c r="H8" s="2551"/>
      <c r="I8" s="2551"/>
      <c r="J8" s="2551"/>
      <c r="K8" s="2552"/>
      <c r="L8" s="1997">
        <v>17300</v>
      </c>
      <c r="M8" s="1997">
        <f>L8*0.9</f>
        <v>15570</v>
      </c>
      <c r="AA8" s="1996"/>
      <c r="AB8" s="1996"/>
      <c r="AC8" s="1996"/>
      <c r="AD8" s="1996"/>
      <c r="AE8" s="1996"/>
    </row>
    <row r="9" spans="1:31" s="1997" customFormat="1" ht="13.5" customHeight="1">
      <c r="A9" s="793" t="s">
        <v>1837</v>
      </c>
      <c r="B9" s="259" t="s">
        <v>467</v>
      </c>
      <c r="C9" s="435">
        <f>SUMIF('数据-汇总表'!$C19:$C33,'剩余法-待开发'!C7,'数据-汇总表'!$E19:$E33)</f>
        <v>137584.01999999999</v>
      </c>
      <c r="D9" s="435">
        <f>SUMIF('数据-汇总表'!$C19:$C33,'剩余法-待开发'!D7,'数据-汇总表'!$E19:$E33)</f>
        <v>93774.22</v>
      </c>
      <c r="E9" s="435">
        <f>SUMIF('数据-汇总表'!$C19:$C33,'剩余法-待开发'!E7,'数据-汇总表'!$E19:$E33)</f>
        <v>169738.86999999997</v>
      </c>
      <c r="F9" s="435">
        <f>SUMIF('数据-汇总表'!$C19:$C33,'剩余法-待开发'!F7,'数据-汇总表'!$E19:$E33)</f>
        <v>58450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M9" s="1997">
        <f>L8*0.8</f>
        <v>13840</v>
      </c>
      <c r="AA9" s="1996"/>
      <c r="AB9" s="1996"/>
      <c r="AC9" s="1996"/>
      <c r="AD9" s="1996"/>
      <c r="AE9" s="1996"/>
    </row>
    <row r="10" spans="1:31" s="1997" customFormat="1" ht="13.5" customHeight="1" thickBot="1">
      <c r="A10" s="2553" t="s">
        <v>1838</v>
      </c>
      <c r="B10" s="2539" t="s">
        <v>468</v>
      </c>
      <c r="C10" s="2742">
        <f ca="1">'不动产收益法-商业'!B2</f>
        <v>156522</v>
      </c>
      <c r="D10" s="2742">
        <f>ROUND(D8*D9/10000,0)</f>
        <v>131284</v>
      </c>
      <c r="E10" s="2742">
        <f ca="1">'不动产收益法-办公'!B2</f>
        <v>239889</v>
      </c>
      <c r="F10" s="2554">
        <f ca="1">'不动产收益法-车库'!B2</f>
        <v>12302</v>
      </c>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189381</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5681</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11191</v>
      </c>
      <c r="D16" s="2561">
        <f ca="1">IF(B1="",'数据-汇总表'!E3,INDIRECT("'数据-取费表'!K"&amp;$K$1)+INDIRECT("'数据-取费表'!S"&amp;$K$1))</f>
        <v>559573.15</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2841</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209094</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5596</v>
      </c>
      <c r="D19" s="2571">
        <f ca="1">D16</f>
        <v>559573.15</v>
      </c>
      <c r="E19" s="2525">
        <f>'数据-取费表'!B32</f>
        <v>100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12311</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220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12311</v>
      </c>
      <c r="D22" s="2561">
        <f ca="1">IF(B1="",'数据-汇总表'!E6,IF(INDIRECT("'数据-取费表'!c"&amp;$K$1)="住宅",INDIRECT("'数据-取费表'!s"&amp;$K$1),INDIRECT("'数据-取费表'!k"&amp;$K$1)+INDIRECT("'数据-取费表'!s"&amp;$K$1)))</f>
        <v>559573.15</v>
      </c>
      <c r="E22" s="53">
        <f>'数据-取费表'!B28</f>
        <v>220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4540</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10800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3.8600000000000002E-2</v>
      </c>
      <c r="D25" s="456" t="s">
        <v>2809</v>
      </c>
      <c r="E25" s="463"/>
      <c r="F25" s="2573">
        <f>IF(项目基本情况!B8="出让",0,'数据-取费表'!B48+'数据-取费表'!B49)</f>
        <v>4.0500000000000001E-2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17470</v>
      </c>
      <c r="D26" s="461">
        <f ca="1">C27</f>
        <v>0.15509999999999999</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0.15509999999999999</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17470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28800</v>
      </c>
      <c r="D29" s="462"/>
      <c r="E29" s="462"/>
      <c r="F29" s="2750">
        <f>'数据-取费表'!B41</f>
        <v>5.6000000000000001E-2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1854</v>
      </c>
      <c r="B30" s="2579" t="s">
        <v>494</v>
      </c>
      <c r="C30" s="2574">
        <f ca="1">C31</f>
        <v>288611</v>
      </c>
      <c r="D30" s="471">
        <f ca="1">C32</f>
        <v>0.19370000000000001</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288611</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0.19370000000000001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43621</v>
      </c>
      <c r="D33" s="461">
        <f ca="1">C34</f>
        <v>0.18690000000000001</v>
      </c>
      <c r="E33" s="463" t="s">
        <v>489</v>
      </c>
      <c r="F33" s="473">
        <f ca="1">IF(B1="",'数据-取费表'!Q16,INDIRECT("'数据-取费表'!q"&amp;$K$1))</f>
        <v>0.18</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0.18690000000000001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1848</v>
      </c>
      <c r="B35" s="2746" t="s">
        <v>2819</v>
      </c>
      <c r="C35" s="1556">
        <f ca="1">ROUND((C18+C19+C20+C23+C24)*F33,0)</f>
        <v>43621</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150489</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82869-314F-4ACE-8C19-57C5B2900C90}">
  <sheetPr>
    <tabColor rgb="FF92D050"/>
    <pageSetUpPr fitToPage="1"/>
  </sheetPr>
  <dimension ref="A1:AG76"/>
  <sheetViews>
    <sheetView view="pageBreakPreview" zoomScale="80" zoomScaleNormal="60" zoomScaleSheetLayoutView="80" workbookViewId="0">
      <selection activeCell="D26" sqref="D2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3006</v>
      </c>
      <c r="D1" s="2798" t="s">
        <v>3039</v>
      </c>
      <c r="E1" s="2242" t="s">
        <v>862</v>
      </c>
      <c r="F1" s="2243">
        <f ca="1">J53</f>
        <v>37</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156522</v>
      </c>
      <c r="C2" s="3264"/>
      <c r="D2" s="3265"/>
      <c r="E2" s="3266"/>
      <c r="F2" s="3266"/>
      <c r="G2" s="3260"/>
      <c r="H2" s="1940"/>
      <c r="I2" s="1940"/>
      <c r="J2" s="1940"/>
      <c r="K2" s="1941"/>
      <c r="L2" s="1940"/>
      <c r="M2" s="1940"/>
    </row>
    <row r="3" spans="1:33" ht="18" customHeight="1" thickBot="1">
      <c r="A3" s="822" t="s">
        <v>513</v>
      </c>
      <c r="B3" s="823">
        <f ca="1">IF(ISERROR(B2*10000/F43),0,ROUND(B2*10000/F43,0))</f>
        <v>11376</v>
      </c>
      <c r="C3" s="3264"/>
      <c r="D3" s="3265"/>
      <c r="E3" s="3266"/>
      <c r="F3" s="3266"/>
      <c r="G3" s="3260"/>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2440</v>
      </c>
      <c r="C5" s="55">
        <f ca="1">C6+C10+C12</f>
        <v>10671</v>
      </c>
      <c r="D5" s="2349" t="s">
        <v>2443</v>
      </c>
      <c r="E5" s="2343"/>
      <c r="F5" s="2344"/>
      <c r="G5" s="1945"/>
      <c r="H5" s="771">
        <v>1</v>
      </c>
      <c r="I5" s="772" t="s">
        <v>2440</v>
      </c>
      <c r="J5" s="55">
        <f ca="1">J6+J10+J12</f>
        <v>0</v>
      </c>
      <c r="K5" s="2349" t="s">
        <v>2443</v>
      </c>
      <c r="L5" s="2343"/>
      <c r="M5" s="2344"/>
    </row>
    <row r="6" spans="1:33" ht="18" customHeight="1">
      <c r="A6" s="1745" t="s">
        <v>1815</v>
      </c>
      <c r="B6" s="3561" t="s">
        <v>2445</v>
      </c>
      <c r="C6" s="773">
        <f ca="1">ROUND(F6*F8*F7*(1-F9)/10000,0)</f>
        <v>10671</v>
      </c>
      <c r="D6" s="2350" t="s">
        <v>2444</v>
      </c>
      <c r="E6" s="774" t="s">
        <v>631</v>
      </c>
      <c r="F6" s="775">
        <f ca="1">INDIRECT("'数据-取费表'!u"&amp;$G$1)</f>
        <v>2.5</v>
      </c>
      <c r="G6" s="1945"/>
      <c r="H6" s="2357" t="s">
        <v>1815</v>
      </c>
      <c r="I6" s="3561" t="s">
        <v>2445</v>
      </c>
      <c r="J6" s="773">
        <f ca="1">ROUND(M6*M8*M7*(1-M9)/10000,0)</f>
        <v>0</v>
      </c>
      <c r="K6" s="339" t="s">
        <v>630</v>
      </c>
      <c r="L6" s="774" t="s">
        <v>631</v>
      </c>
      <c r="M6" s="775">
        <f ca="1">INDIRECT("'数据-取费表'!z"&amp;$G$1)</f>
        <v>0</v>
      </c>
    </row>
    <row r="7" spans="1:33" ht="18" customHeight="1">
      <c r="A7" s="2353"/>
      <c r="B7" s="3562"/>
      <c r="C7" s="778"/>
      <c r="D7" s="779"/>
      <c r="E7" s="774" t="s">
        <v>632</v>
      </c>
      <c r="F7" s="775">
        <f ca="1">IF(INDIRECT("'数据-取费表'!ah"&amp;$G$1)="",INDIRECT("'数据-取费表'!k"&amp;$G$1),INDIRECT("'数据-取费表'!ah"&amp;$G$1))</f>
        <v>137584.01999999999</v>
      </c>
      <c r="G7" s="1945"/>
      <c r="H7" s="2342"/>
      <c r="I7" s="3562"/>
      <c r="J7" s="778"/>
      <c r="K7" s="779"/>
      <c r="L7" s="774" t="s">
        <v>632</v>
      </c>
      <c r="M7" s="775">
        <f ca="1">F7</f>
        <v>137584.01999999999</v>
      </c>
    </row>
    <row r="8" spans="1:33" ht="18" customHeight="1">
      <c r="A8" s="2346"/>
      <c r="B8" s="3563"/>
      <c r="C8" s="778"/>
      <c r="D8" s="779"/>
      <c r="E8" s="774" t="s">
        <v>633</v>
      </c>
      <c r="F8" s="775">
        <f ca="1">INDIRECT("'数据-取费表'!ai"&amp;$G$1)</f>
        <v>365</v>
      </c>
      <c r="G8" s="1945"/>
      <c r="H8" s="2342"/>
      <c r="I8" s="3563"/>
      <c r="J8" s="778"/>
      <c r="K8" s="779"/>
      <c r="L8" s="774" t="s">
        <v>633</v>
      </c>
      <c r="M8" s="775">
        <f ca="1">INDIRECT("'数据-取费表'!ai"&amp;$G$1)</f>
        <v>365</v>
      </c>
    </row>
    <row r="9" spans="1:33" ht="18" customHeight="1">
      <c r="A9" s="776"/>
      <c r="B9" s="3564"/>
      <c r="C9" s="778"/>
      <c r="D9" s="779"/>
      <c r="E9" s="774" t="s">
        <v>634</v>
      </c>
      <c r="F9" s="784">
        <f ca="1">INDIRECT("'数据-取费表'!w"&amp;$G$1)</f>
        <v>0.15</v>
      </c>
      <c r="G9" s="1945"/>
      <c r="H9" s="2358"/>
      <c r="I9" s="3563"/>
      <c r="J9" s="778"/>
      <c r="K9" s="779"/>
      <c r="L9" s="785" t="s">
        <v>634</v>
      </c>
      <c r="M9" s="786">
        <f ca="1">INDIRECT("'数据-取费表'!ab"&amp;$G$1)</f>
        <v>0</v>
      </c>
    </row>
    <row r="10" spans="1:33" ht="18" customHeight="1">
      <c r="A10" s="1745" t="s">
        <v>1816</v>
      </c>
      <c r="B10" s="2347" t="s">
        <v>2441</v>
      </c>
      <c r="C10" s="789">
        <f ca="1">ROUND(IF(F10="押一",C6/12*F11,IF(F10="押二",C6/12*2*F11,IF(F10="押三",C6/12*3*F11,C11*F11))),0)</f>
        <v>0</v>
      </c>
      <c r="D10" s="2354" t="s">
        <v>2939</v>
      </c>
      <c r="E10" s="2351" t="s">
        <v>2446</v>
      </c>
      <c r="F10" s="2465" t="s">
        <v>3040</v>
      </c>
      <c r="G10" s="1945"/>
      <c r="H10" s="2414" t="s">
        <v>1816</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638</v>
      </c>
      <c r="C13" s="782">
        <f ca="1">ROUND(C29*F13,0)</f>
        <v>86609</v>
      </c>
      <c r="D13" s="1749" t="s">
        <v>2285</v>
      </c>
      <c r="E13" s="1749" t="s">
        <v>637</v>
      </c>
      <c r="F13" s="2389">
        <f ca="1">INDIRECT("'数据-取费表'!y"&amp;$G$1)</f>
        <v>1</v>
      </c>
      <c r="G13" s="1945"/>
      <c r="H13" s="1744">
        <v>2</v>
      </c>
      <c r="I13" s="1742" t="s">
        <v>638</v>
      </c>
      <c r="J13" s="1734">
        <f ca="1">ROUND(J14*J15,0)</f>
        <v>0</v>
      </c>
      <c r="K13" s="1736" t="s">
        <v>636</v>
      </c>
      <c r="L13" s="2405"/>
      <c r="M13" s="2406"/>
    </row>
    <row r="14" spans="1:33" ht="18" customHeight="1">
      <c r="A14" s="1576" t="s">
        <v>1822</v>
      </c>
      <c r="B14" s="774" t="s">
        <v>639</v>
      </c>
      <c r="C14" s="794">
        <f ca="1">INDIRECT("'数据-取费表'!m"&amp;$G$1)+INDIRECT("'数据-取费表'!t"&amp;$G$1)</f>
        <v>55641</v>
      </c>
      <c r="D14" s="3280" t="s">
        <v>640</v>
      </c>
      <c r="E14" s="3279"/>
      <c r="F14" s="795"/>
      <c r="G14" s="1945"/>
      <c r="H14" s="1577" t="s">
        <v>1815</v>
      </c>
      <c r="I14" s="2111" t="s">
        <v>2805</v>
      </c>
      <c r="J14" s="53">
        <f ca="1">C29</f>
        <v>86609</v>
      </c>
      <c r="K14" s="26"/>
      <c r="L14" s="791"/>
      <c r="M14" s="792"/>
    </row>
    <row r="15" spans="1:33" s="1947" customFormat="1" ht="18" customHeight="1" thickBot="1">
      <c r="A15" s="1576" t="s">
        <v>1823</v>
      </c>
      <c r="B15" s="774" t="s">
        <v>641</v>
      </c>
      <c r="C15" s="53">
        <f ca="1">ROUND(C14*F15,0)</f>
        <v>1669</v>
      </c>
      <c r="D15" s="796" t="s">
        <v>642</v>
      </c>
      <c r="E15" s="796" t="s">
        <v>643</v>
      </c>
      <c r="F15" s="797">
        <f>'数据-取费表'!B33</f>
        <v>0.03</v>
      </c>
      <c r="G15" s="3261"/>
      <c r="H15" s="2404" t="s">
        <v>1880</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f ca="1">ROUND(INDIRECT("'数据-取费表'!m"&amp;$G$1)*F16,0)</f>
        <v>0</v>
      </c>
      <c r="D16" s="774" t="s">
        <v>642</v>
      </c>
      <c r="E16" s="774" t="s">
        <v>643</v>
      </c>
      <c r="F16" s="799">
        <f ca="1">IF(INDIRECT("'数据-取费表'!c"&amp;$G$1)="住宅",'数据-取费表'!B34,0)</f>
        <v>0</v>
      </c>
      <c r="G16" s="1945"/>
      <c r="H16" s="1744" t="s">
        <v>7</v>
      </c>
      <c r="I16" s="1742" t="s">
        <v>645</v>
      </c>
      <c r="J16" s="782">
        <f ca="1">ROUND(J17+J22+J23+J24,0)</f>
        <v>8657</v>
      </c>
      <c r="K16" s="1736" t="s">
        <v>646</v>
      </c>
      <c r="L16" s="3282"/>
      <c r="M16" s="2344"/>
    </row>
    <row r="17" spans="1:33" s="1947" customFormat="1" ht="18" customHeight="1">
      <c r="A17" s="1576" t="s">
        <v>1878</v>
      </c>
      <c r="B17" s="774" t="s">
        <v>647</v>
      </c>
      <c r="C17" s="53">
        <f ca="1">ROUND(F17*(F43+INDIRECT("'数据-取费表'!S"&amp;$G$1))/10000,0)</f>
        <v>3351</v>
      </c>
      <c r="D17" s="774" t="s">
        <v>648</v>
      </c>
      <c r="E17" s="774" t="s">
        <v>649</v>
      </c>
      <c r="F17" s="56">
        <f>'数据-取费表'!B35</f>
        <v>200</v>
      </c>
      <c r="G17" s="3261"/>
      <c r="H17" s="1577" t="s">
        <v>1815</v>
      </c>
      <c r="I17" s="774" t="s">
        <v>650</v>
      </c>
      <c r="J17" s="3019">
        <f ca="1">ROUND(IF(AND(项目基本情况!B11="自然人",项目基本情况!B10="北京市"),J6*M17/(1+'数据-取费表'!C42),J18+J19+J20),0)</f>
        <v>7358</v>
      </c>
      <c r="K17" s="3280" t="s">
        <v>651</v>
      </c>
      <c r="L17" s="3281" t="s">
        <v>652</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835</v>
      </c>
      <c r="D18" s="774" t="s">
        <v>642</v>
      </c>
      <c r="E18" s="774" t="s">
        <v>643</v>
      </c>
      <c r="F18" s="799">
        <f>'数据-取费表'!B36</f>
        <v>1.4999999999999999E-2</v>
      </c>
      <c r="G18" s="3261"/>
      <c r="H18" s="1576" t="s">
        <v>1822</v>
      </c>
      <c r="I18" s="774" t="s">
        <v>654</v>
      </c>
      <c r="J18" s="53">
        <f ca="1">ROUND(J6*M18/(1+'数据-取费表'!C42),1)</f>
        <v>0</v>
      </c>
      <c r="K18" s="3281"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f ca="1">SUM(C14:C18)</f>
        <v>61496</v>
      </c>
      <c r="D19" s="259" t="s">
        <v>657</v>
      </c>
      <c r="E19" s="3283"/>
      <c r="F19" s="56"/>
      <c r="G19" s="1945"/>
      <c r="H19" s="1576" t="s">
        <v>1823</v>
      </c>
      <c r="I19" s="774" t="s">
        <v>658</v>
      </c>
      <c r="J19" s="53">
        <f ca="1">IF(K19="按租金收入计税",ROUND(J6*M19/(1+'数据-取费表'!C42),1),ROUND(C29*F33*0.7,1))</f>
        <v>7275.2</v>
      </c>
      <c r="K19" s="800" t="s">
        <v>659</v>
      </c>
      <c r="L19" s="774" t="s">
        <v>643</v>
      </c>
      <c r="M19" s="799">
        <f>IF(K19="按租金收入计税",'数据-取费表'!B51,'数据-取费表'!B50)</f>
        <v>1.2E-2</v>
      </c>
    </row>
    <row r="20" spans="1:33" s="1947" customFormat="1" ht="18" customHeight="1">
      <c r="A20" s="1577" t="s">
        <v>1880</v>
      </c>
      <c r="B20" s="774" t="s">
        <v>660</v>
      </c>
      <c r="C20" s="53">
        <f ca="1">ROUND(C19*F20,0)</f>
        <v>1230</v>
      </c>
      <c r="D20" s="801" t="s">
        <v>661</v>
      </c>
      <c r="E20" s="774" t="s">
        <v>643</v>
      </c>
      <c r="F20" s="799">
        <f>'数据-取费表'!B37</f>
        <v>0.02</v>
      </c>
      <c r="G20" s="3261"/>
      <c r="H20" s="1579" t="s">
        <v>1824</v>
      </c>
      <c r="I20" s="339" t="s">
        <v>662</v>
      </c>
      <c r="J20" s="54">
        <f ca="1">ROUND(M20*M21/10000,0)</f>
        <v>83</v>
      </c>
      <c r="K20" s="803" t="s">
        <v>663</v>
      </c>
      <c r="L20" s="774" t="s">
        <v>664</v>
      </c>
      <c r="M20" s="632">
        <f>'数据-取费表'!B52</f>
        <v>18</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v>
      </c>
      <c r="D21" s="801" t="s">
        <v>2286</v>
      </c>
      <c r="E21" s="774" t="s">
        <v>667</v>
      </c>
      <c r="F21" s="799">
        <f>'数据-取费表'!B38</f>
        <v>0.02</v>
      </c>
      <c r="G21" s="3261"/>
      <c r="H21" s="2359"/>
      <c r="I21" s="783"/>
      <c r="J21" s="69"/>
      <c r="K21" s="805"/>
      <c r="L21" s="774" t="s">
        <v>668</v>
      </c>
      <c r="M21" s="775">
        <f ca="1">INDIRECT("'数据-取费表'!r"&amp;$G$1)</f>
        <v>46083.81</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3"/>
      <c r="F22" s="56"/>
      <c r="G22" s="1945"/>
      <c r="H22" s="1577" t="s">
        <v>1880</v>
      </c>
      <c r="I22" s="774" t="s">
        <v>670</v>
      </c>
      <c r="J22" s="53">
        <f ca="1">ROUND(J14*M22,0)</f>
        <v>1299</v>
      </c>
      <c r="K22" s="3281" t="s">
        <v>671</v>
      </c>
      <c r="L22" s="774" t="s">
        <v>643</v>
      </c>
      <c r="M22" s="806">
        <f ca="1">INDIRECT("'数据-取费表'!Ak"&amp;$G$1)</f>
        <v>1.4999999999999999E-2</v>
      </c>
    </row>
    <row r="23" spans="1:33" s="1947" customFormat="1" ht="18" customHeight="1">
      <c r="A23" s="1576" t="s">
        <v>1822</v>
      </c>
      <c r="B23" s="774" t="s">
        <v>2421</v>
      </c>
      <c r="C23" s="53">
        <f ca="1">ROUND(IF('数据-取费表'!B22&lt;=1,(C19+C20)*F24*F23/2,(C19+C20)*(POWER((1+F24),F23/2)-1)),0)</f>
        <v>4522</v>
      </c>
      <c r="D23" s="2423" t="str">
        <f>IF(F23&lt;=1,"(建造成本+管理费用)×利率×(建设周期÷2)","(建造成本+管理费用)×((1+利率)^(建设周期÷2)-1)")</f>
        <v>(建造成本+管理费用)×((1+利率)^(建设周期÷2)-1)</v>
      </c>
      <c r="E23" s="774" t="s">
        <v>672</v>
      </c>
      <c r="F23" s="632">
        <f>'数据-取费表'!B20</f>
        <v>3</v>
      </c>
      <c r="G23" s="3261"/>
      <c r="H23" s="1577" t="s">
        <v>1881</v>
      </c>
      <c r="I23" s="774" t="s">
        <v>673</v>
      </c>
      <c r="J23" s="53">
        <f ca="1">ROUND(J13*M23,0)</f>
        <v>0</v>
      </c>
      <c r="K23" s="3281"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675</v>
      </c>
      <c r="C24" s="53">
        <f ca="1">ROUND(IF('数据-取费表'!B22&lt;=1,F21*F24*F23/2,F21*(POWER((1+F24),F23/2)-1)),4)</f>
        <v>1.4E-3</v>
      </c>
      <c r="D24" s="2423" t="str">
        <f>IF(F23&lt;=1,"销售费用×利率×(建设周期÷2)","销售费用×((1+利率)^(建设周期÷2)-1)")</f>
        <v>销售费用×((1+利率)^(建设周期÷2)-1)</v>
      </c>
      <c r="E24" s="774" t="s">
        <v>676</v>
      </c>
      <c r="F24" s="808">
        <f ca="1">'数据-取费表'!B40</f>
        <v>4.7500000000000001E-2</v>
      </c>
      <c r="G24" s="3261"/>
      <c r="H24" s="2404" t="s">
        <v>1882</v>
      </c>
      <c r="I24" s="2399" t="s">
        <v>660</v>
      </c>
      <c r="J24" s="2397">
        <f ca="1">ROUND(J5*M24,0)</f>
        <v>0</v>
      </c>
      <c r="K24" s="2398" t="s">
        <v>677</v>
      </c>
      <c r="L24" s="2399" t="s">
        <v>643</v>
      </c>
      <c r="M24" s="2395">
        <f ca="1">INDIRECT("'数据-取费表'!Am"&amp;$G$1)</f>
        <v>0.02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3"/>
      <c r="F25" s="56"/>
      <c r="G25" s="1945"/>
      <c r="H25" s="1744" t="s">
        <v>1767</v>
      </c>
      <c r="I25" s="2723" t="s">
        <v>2802</v>
      </c>
      <c r="J25" s="782">
        <f ca="1">J5-J16</f>
        <v>-8657</v>
      </c>
      <c r="K25" s="2401" t="s">
        <v>694</v>
      </c>
      <c r="L25" s="2402"/>
      <c r="M25" s="2403"/>
    </row>
    <row r="26" spans="1:33" ht="18" customHeight="1">
      <c r="A26" s="1576" t="s">
        <v>1822</v>
      </c>
      <c r="B26" s="774" t="s">
        <v>2422</v>
      </c>
      <c r="C26" s="53">
        <f ca="1">ROUND((C19+C20)*F26,0)</f>
        <v>12545</v>
      </c>
      <c r="D26" s="801" t="s">
        <v>695</v>
      </c>
      <c r="E26" s="785" t="s">
        <v>696</v>
      </c>
      <c r="F26" s="784">
        <f ca="1">INDIRECT("'数据-取费表'!q"&amp;$G$1)</f>
        <v>0.2</v>
      </c>
      <c r="G26" s="1945"/>
      <c r="H26" s="2355" t="s">
        <v>1771</v>
      </c>
      <c r="I26" s="2112" t="s">
        <v>2807</v>
      </c>
      <c r="J26" s="773">
        <f ca="1">IF(J5&lt;&gt;0,ROUND(J25*(1-((1+M28)/(1+M26))^M27)/(M26-M28),0),0)</f>
        <v>0</v>
      </c>
      <c r="K26" s="803" t="s">
        <v>698</v>
      </c>
      <c r="L26" s="774" t="s">
        <v>2404</v>
      </c>
      <c r="M26" s="784">
        <f ca="1">INDIRECT("'数据-取费表'!I"&amp;$G$1)</f>
        <v>5.5E-2</v>
      </c>
    </row>
    <row r="27" spans="1:33" ht="18" customHeight="1">
      <c r="A27" s="1576" t="s">
        <v>1823</v>
      </c>
      <c r="B27" s="774" t="s">
        <v>680</v>
      </c>
      <c r="C27" s="53">
        <f ca="1">ROUND(F21*F26,4)</f>
        <v>4.0000000000000001E-3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1832</v>
      </c>
      <c r="B28" s="774" t="s">
        <v>681</v>
      </c>
      <c r="C28" s="53">
        <f>ROUND(F28/(1+'数据-取费表'!C42),4)</f>
        <v>5.33E-2</v>
      </c>
      <c r="D28" s="801" t="s">
        <v>2287</v>
      </c>
      <c r="E28" s="774" t="s">
        <v>643</v>
      </c>
      <c r="F28" s="799">
        <f>'数据-取费表'!B41</f>
        <v>5.6000000000000001E-2</v>
      </c>
      <c r="G28" s="3261"/>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86609</v>
      </c>
      <c r="D29" s="2398"/>
      <c r="E29" s="2399"/>
      <c r="F29" s="2400"/>
      <c r="G29" s="3261"/>
      <c r="H29" s="812" t="s">
        <v>1778</v>
      </c>
      <c r="I29" s="813" t="s">
        <v>1779</v>
      </c>
      <c r="J29" s="814">
        <f ca="1">ROUND(J26/(1+F40)^F41,0)</f>
        <v>0</v>
      </c>
      <c r="K29" s="815" t="s">
        <v>682</v>
      </c>
      <c r="L29" s="816"/>
      <c r="M29" s="817">
        <f ca="1">INDIRECT("'数据-取费表'!k"&amp;$G$1)</f>
        <v>137584.01999999999</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7</v>
      </c>
      <c r="B30" s="1742" t="s">
        <v>645</v>
      </c>
      <c r="C30" s="782">
        <f ca="1">ROUND(C31+C36+C37+C38,0)</f>
        <v>3514</v>
      </c>
      <c r="D30" s="1736" t="s">
        <v>646</v>
      </c>
      <c r="E30" s="3282"/>
      <c r="F30" s="2344"/>
      <c r="G30" s="1945"/>
      <c r="H30" s="1948"/>
      <c r="I30" s="1949"/>
      <c r="J30" s="1950"/>
      <c r="K30" s="1951"/>
      <c r="L30" s="1952"/>
      <c r="M30" s="1953"/>
    </row>
    <row r="31" spans="1:33" ht="18" customHeight="1">
      <c r="A31" s="1577" t="s">
        <v>1815</v>
      </c>
      <c r="B31" s="774" t="s">
        <v>650</v>
      </c>
      <c r="C31" s="3019">
        <f ca="1">ROUND(IF(AND(项目基本情况!B11="自然人",项目基本情况!B10="北京市"),C6*F31/(1+'数据-取费表'!C42),C32+C33+C34),0)</f>
        <v>1872</v>
      </c>
      <c r="D31" s="3280" t="s">
        <v>651</v>
      </c>
      <c r="E31" s="3281" t="s">
        <v>684</v>
      </c>
      <c r="F31" s="3018" t="str">
        <f>IF(项目基本情况!B11="企业","——",IF('数据-取费表'!B10="住宅",IF(F6*F7*F8/12/(1+'数据-取费表'!F30)&gt;100000,4%,2.5%),IF(F6*F7*F8/12/(1+'数据-取费表'!F30)&gt;100000,12%,7%)))</f>
        <v>——</v>
      </c>
      <c r="G31" s="1945"/>
      <c r="H31" s="3258" t="s">
        <v>2997</v>
      </c>
      <c r="I31" s="1949"/>
      <c r="J31" s="1950"/>
      <c r="K31" s="1951"/>
      <c r="L31" s="1952"/>
      <c r="M31" s="1953"/>
    </row>
    <row r="32" spans="1:33" ht="18" customHeight="1">
      <c r="A32" s="1576" t="s">
        <v>1822</v>
      </c>
      <c r="B32" s="774" t="s">
        <v>654</v>
      </c>
      <c r="C32" s="53">
        <f ca="1">ROUND(C6*F32/(1+'数据-取费表'!C42),1)</f>
        <v>569.1</v>
      </c>
      <c r="D32" s="3281"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f ca="1">IF(D33="按租金收入计税",ROUND(C6*F33/(1+'数据-取费表'!C42),1),IF(D33="按房产原值计税",ROUND(C29*F33*0.7,1),INDIRECT("'数据-取费表'!Aj"&amp;$G$1)))</f>
        <v>1219.5</v>
      </c>
      <c r="D33" s="800" t="s">
        <v>3041</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662</v>
      </c>
      <c r="C34" s="54">
        <f ca="1">ROUND(F34*F35/10000,1)</f>
        <v>83</v>
      </c>
      <c r="D34" s="803" t="s">
        <v>663</v>
      </c>
      <c r="E34" s="774" t="s">
        <v>664</v>
      </c>
      <c r="F34" s="632">
        <f>'数据-取费表'!B52</f>
        <v>18</v>
      </c>
      <c r="G34" s="1945"/>
      <c r="H34" s="1948"/>
      <c r="I34" s="824" t="s">
        <v>1804</v>
      </c>
      <c r="J34" s="825"/>
      <c r="K34" s="1963"/>
      <c r="L34" s="1962"/>
      <c r="M34" s="1962"/>
    </row>
    <row r="35" spans="1:18" ht="18" customHeight="1">
      <c r="A35" s="804"/>
      <c r="B35" s="783"/>
      <c r="C35" s="69"/>
      <c r="D35" s="805"/>
      <c r="E35" s="774" t="s">
        <v>668</v>
      </c>
      <c r="F35" s="775">
        <f ca="1">INDIRECT("'数据-取费表'!r"&amp;$G$1)</f>
        <v>46083.81</v>
      </c>
      <c r="G35" s="1945"/>
      <c r="H35" s="1948"/>
      <c r="I35" s="826" t="s">
        <v>1805</v>
      </c>
      <c r="J35" s="827">
        <f ca="1">ROUND(C13*J36,0)</f>
        <v>7362</v>
      </c>
      <c r="K35" s="1961"/>
      <c r="L35" s="1960"/>
      <c r="M35" s="1960"/>
    </row>
    <row r="36" spans="1:18" ht="18" customHeight="1">
      <c r="A36" s="1577" t="s">
        <v>1880</v>
      </c>
      <c r="B36" s="774" t="s">
        <v>670</v>
      </c>
      <c r="C36" s="53">
        <f ca="1">ROUND(C29*F36,1)</f>
        <v>1299.0999999999999</v>
      </c>
      <c r="D36" s="3281" t="s">
        <v>685</v>
      </c>
      <c r="E36" s="774" t="s">
        <v>643</v>
      </c>
      <c r="F36" s="806">
        <f ca="1">INDIRECT("'数据-取费表'!Ak"&amp;$G$1)</f>
        <v>1.4999999999999999E-2</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129.9</v>
      </c>
      <c r="D37" s="3281" t="s">
        <v>674</v>
      </c>
      <c r="E37" s="774" t="s">
        <v>643</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213.4</v>
      </c>
      <c r="D38" s="2398" t="s">
        <v>677</v>
      </c>
      <c r="E38" s="2399" t="s">
        <v>643</v>
      </c>
      <c r="F38" s="2395">
        <f ca="1">INDIRECT("'数据-取费表'!Am"&amp;$G$1)</f>
        <v>0.02</v>
      </c>
      <c r="G38" s="1945"/>
      <c r="H38" s="1960"/>
      <c r="I38" s="832" t="s">
        <v>1808</v>
      </c>
      <c r="J38" s="833"/>
      <c r="K38" s="1965"/>
      <c r="L38" s="1960"/>
      <c r="M38" s="1960"/>
    </row>
    <row r="39" spans="1:18" ht="24.6" customHeight="1" thickTop="1">
      <c r="A39" s="1744" t="s">
        <v>1767</v>
      </c>
      <c r="B39" s="2723" t="s">
        <v>2802</v>
      </c>
      <c r="C39" s="782">
        <f ca="1">C5-C30</f>
        <v>7157</v>
      </c>
      <c r="D39" s="2401" t="s">
        <v>694</v>
      </c>
      <c r="E39" s="2402"/>
      <c r="F39" s="2403"/>
      <c r="G39" s="1945"/>
      <c r="H39" s="1960"/>
      <c r="I39" s="826" t="s">
        <v>1809</v>
      </c>
      <c r="J39" s="834">
        <f ca="1">ROUND(J35/C39,3)</f>
        <v>1.0289999999999999</v>
      </c>
      <c r="K39" s="1965"/>
      <c r="L39" s="1960"/>
      <c r="M39" s="1960"/>
    </row>
    <row r="40" spans="1:18" ht="18" customHeight="1">
      <c r="A40" s="771" t="s">
        <v>1771</v>
      </c>
      <c r="B40" s="2112" t="s">
        <v>2289</v>
      </c>
      <c r="C40" s="773">
        <f ca="1">ROUND(C39*(1-((1+F42)/(1+F40))^F41)/(F40-F42),0)</f>
        <v>156522</v>
      </c>
      <c r="D40" s="803" t="s">
        <v>698</v>
      </c>
      <c r="E40" s="774" t="s">
        <v>2404</v>
      </c>
      <c r="F40" s="784">
        <f ca="1">INDIRECT("'数据-取费表'!I"&amp;$G$1)</f>
        <v>5.5E-2</v>
      </c>
      <c r="G40" s="1945"/>
      <c r="H40" s="1945"/>
      <c r="I40" s="826" t="s">
        <v>1810</v>
      </c>
      <c r="J40" s="834">
        <f ca="1">1-J39</f>
        <v>-2.8999999999999915E-2</v>
      </c>
      <c r="K40" s="1965"/>
      <c r="L40" s="1945"/>
      <c r="M40" s="1945"/>
    </row>
    <row r="41" spans="1:18" ht="18" customHeight="1">
      <c r="A41" s="776"/>
      <c r="B41" s="777"/>
      <c r="C41" s="778"/>
      <c r="D41" s="810" t="s">
        <v>1799</v>
      </c>
      <c r="E41" s="774" t="s">
        <v>702</v>
      </c>
      <c r="F41" s="811">
        <f ca="1">IF(INDIRECT("'数据-取费表'!af"&amp;$G$1)=0,INDIRECT("'数据-取费表'!ae"&amp;$G$1),INDIRECT("'数据-取费表'!af"&amp;$G$1))</f>
        <v>37</v>
      </c>
      <c r="G41" s="1945"/>
      <c r="H41" s="1900"/>
      <c r="I41" s="832" t="s">
        <v>1811</v>
      </c>
      <c r="J41" s="835"/>
      <c r="K41" s="1964"/>
      <c r="L41" s="1900"/>
      <c r="M41" s="1900"/>
    </row>
    <row r="42" spans="1:18" ht="18" customHeight="1">
      <c r="A42" s="780"/>
      <c r="B42" s="781"/>
      <c r="C42" s="782"/>
      <c r="D42" s="805"/>
      <c r="E42" s="774" t="s">
        <v>704</v>
      </c>
      <c r="F42" s="784">
        <f ca="1">INDIRECT("'数据-取费表'!v"&amp;$G$1)</f>
        <v>2.5000000000000001E-2</v>
      </c>
      <c r="G42" s="1945"/>
      <c r="H42" s="1900"/>
      <c r="I42" s="836" t="s">
        <v>1812</v>
      </c>
      <c r="J42" s="834">
        <f ca="1">ROUND(C13/C40,3)</f>
        <v>0.55300000000000005</v>
      </c>
      <c r="K42" s="1964"/>
      <c r="L42" s="1900"/>
      <c r="M42" s="1900"/>
    </row>
    <row r="43" spans="1:18" ht="18" customHeight="1" thickBot="1">
      <c r="A43" s="812" t="s">
        <v>1778</v>
      </c>
      <c r="B43" s="813" t="s">
        <v>1801</v>
      </c>
      <c r="C43" s="814">
        <f ca="1">ROUND(C40*10000/F43,0)</f>
        <v>11376</v>
      </c>
      <c r="D43" s="815" t="s">
        <v>1802</v>
      </c>
      <c r="E43" s="816" t="s">
        <v>1803</v>
      </c>
      <c r="F43" s="817">
        <f ca="1">INDIRECT("'数据-取费表'!k"&amp;$G$1)</f>
        <v>137584.01999999999</v>
      </c>
      <c r="G43" s="1945"/>
      <c r="H43" s="1900"/>
      <c r="I43" s="836" t="s">
        <v>1813</v>
      </c>
      <c r="J43" s="837">
        <f ca="1">1-J42</f>
        <v>0.44699999999999995</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-180221</v>
      </c>
      <c r="D46" s="3262"/>
      <c r="E46" s="3262"/>
      <c r="F46" s="3262"/>
      <c r="I46" s="2233" t="s">
        <v>2328</v>
      </c>
      <c r="J46" s="2234"/>
      <c r="K46" s="2235"/>
      <c r="L46" s="2811">
        <f>IF(OR(M47="住宅",D1="土地（套用方法）"),0,IF(L48&gt;J51,L60,J60))</f>
        <v>0</v>
      </c>
      <c r="M46" s="3263"/>
      <c r="O46" s="2249" t="s">
        <v>2395</v>
      </c>
      <c r="P46" s="1526"/>
      <c r="Q46" s="1534"/>
      <c r="R46" s="1526"/>
    </row>
    <row r="47" spans="1:18" s="1942" customFormat="1" ht="18" customHeight="1" thickBot="1">
      <c r="A47" s="2227">
        <v>1</v>
      </c>
      <c r="B47" s="2228" t="s">
        <v>629</v>
      </c>
      <c r="C47" s="2426">
        <f ca="1">C48+C52+C54</f>
        <v>0</v>
      </c>
      <c r="D47" s="3262"/>
      <c r="E47" s="3262"/>
      <c r="F47" s="3262"/>
      <c r="I47" s="2802" t="s">
        <v>2329</v>
      </c>
      <c r="J47" s="2236" t="s">
        <v>3038</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f ca="1">ROUND(F48*F50*F49*(1-F51)/10000,0)</f>
        <v>0</v>
      </c>
      <c r="D48" s="2230" t="s">
        <v>630</v>
      </c>
      <c r="E48" s="2231" t="s">
        <v>2284</v>
      </c>
      <c r="F48" s="2232"/>
      <c r="G48" s="1972"/>
      <c r="I48" s="2799" t="s">
        <v>2330</v>
      </c>
      <c r="J48" s="2237" t="s">
        <v>2335</v>
      </c>
      <c r="K48" s="2809" t="s">
        <v>2336</v>
      </c>
      <c r="L48" s="1822">
        <f ca="1">INDIRECT("'数据-取费表'!f"&amp;$G$1)</f>
        <v>40</v>
      </c>
      <c r="M48" s="3263"/>
      <c r="O48" s="2253" t="s">
        <v>2364</v>
      </c>
      <c r="P48" s="2254" t="s">
        <v>2390</v>
      </c>
      <c r="Q48" s="2255">
        <f ca="1">C40+J29</f>
        <v>156522</v>
      </c>
      <c r="R48" s="2254" t="s">
        <v>2365</v>
      </c>
    </row>
    <row r="49" spans="1:18" s="1942" customFormat="1" ht="18" customHeight="1" thickBot="1">
      <c r="A49" s="776"/>
      <c r="B49" s="777"/>
      <c r="C49" s="778"/>
      <c r="D49" s="779"/>
      <c r="E49" s="774" t="s">
        <v>632</v>
      </c>
      <c r="F49" s="775">
        <f ca="1">F7</f>
        <v>137584.01999999999</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633</v>
      </c>
      <c r="F50" s="775">
        <f ca="1">F8</f>
        <v>365</v>
      </c>
      <c r="G50" s="1977"/>
      <c r="H50" s="1975"/>
      <c r="I50" s="2799" t="s">
        <v>2332</v>
      </c>
      <c r="J50" s="2806">
        <f>SUMPRODUCT((I63:I65=J47)*(J62:L62=J48)*(J63:L65))</f>
        <v>60</v>
      </c>
      <c r="K50" s="2810" t="s">
        <v>2338</v>
      </c>
      <c r="L50" s="2239"/>
      <c r="M50" s="3263"/>
      <c r="O50" s="2256" t="s">
        <v>2368</v>
      </c>
      <c r="P50" s="2254" t="s">
        <v>2392</v>
      </c>
      <c r="Q50" s="2255">
        <f ca="1">C29</f>
        <v>86609</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-3876</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37</v>
      </c>
      <c r="K53" s="3567" t="s">
        <v>2932</v>
      </c>
      <c r="L53" s="3568"/>
      <c r="M53" s="3263"/>
      <c r="O53" s="2256" t="s">
        <v>2373</v>
      </c>
      <c r="P53" s="2254" t="s">
        <v>2374</v>
      </c>
      <c r="Q53" s="2255">
        <f ca="1">J53</f>
        <v>37</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2376</v>
      </c>
      <c r="P54" s="2254" t="s">
        <v>2393</v>
      </c>
      <c r="Q54" s="2255">
        <f ca="1">Q48+Q49</f>
        <v>156522</v>
      </c>
      <c r="R54" s="2258" t="s">
        <v>2377</v>
      </c>
    </row>
    <row r="55" spans="1:18" s="1942" customFormat="1" ht="18" customHeight="1" thickTop="1" thickBot="1">
      <c r="A55" s="787">
        <v>2</v>
      </c>
      <c r="B55" s="788" t="s">
        <v>638</v>
      </c>
      <c r="C55" s="789">
        <f ca="1">C13</f>
        <v>86609</v>
      </c>
      <c r="D55" s="785"/>
      <c r="E55" s="785"/>
      <c r="F55" s="790"/>
      <c r="I55" s="2816" t="s">
        <v>2340</v>
      </c>
      <c r="J55" s="2788" t="e">
        <f ca="1">ROUND(IF(J47="钢混",J57/J50,1-(1-2%)*(J50-J57)/J50),3)</f>
        <v>#VALUE!</v>
      </c>
      <c r="K55" s="2817" t="s">
        <v>2341</v>
      </c>
      <c r="L55" s="2241"/>
      <c r="M55" s="3263"/>
      <c r="O55" s="2259" t="s">
        <v>2396</v>
      </c>
      <c r="P55" s="1526"/>
      <c r="Q55" s="1534"/>
      <c r="R55" s="1526"/>
    </row>
    <row r="56" spans="1:18" s="1942" customFormat="1" ht="42.75" customHeight="1" thickBot="1">
      <c r="A56" s="1578"/>
      <c r="B56" s="2111" t="s">
        <v>2288</v>
      </c>
      <c r="C56" s="53">
        <f ca="1">C29</f>
        <v>86609</v>
      </c>
      <c r="D56" s="3281"/>
      <c r="E56" s="774"/>
      <c r="F56" s="799"/>
      <c r="I56" s="2818" t="s">
        <v>2342</v>
      </c>
      <c r="J56" s="2828" t="s">
        <v>1669</v>
      </c>
      <c r="K56" s="2799" t="s">
        <v>2347</v>
      </c>
      <c r="L56" s="1822" t="str">
        <f ca="1">IF(L48&lt;J51,"——",L48-J51)</f>
        <v>——</v>
      </c>
      <c r="M56" s="3263"/>
      <c r="O56" s="2250" t="s">
        <v>2360</v>
      </c>
      <c r="P56" s="2251" t="s">
        <v>2361</v>
      </c>
      <c r="Q56" s="2252" t="s">
        <v>2362</v>
      </c>
      <c r="R56" s="2251" t="s">
        <v>2363</v>
      </c>
    </row>
    <row r="57" spans="1:18" s="1942" customFormat="1" ht="28.5" customHeight="1" thickBot="1">
      <c r="A57" s="787" t="s">
        <v>7</v>
      </c>
      <c r="B57" s="788" t="s">
        <v>645</v>
      </c>
      <c r="C57" s="789">
        <f ca="1">ROUND(C58+C63+C64+C65,0)</f>
        <v>1512</v>
      </c>
      <c r="D57" s="26" t="s">
        <v>646</v>
      </c>
      <c r="E57" s="3283"/>
      <c r="F57" s="56"/>
      <c r="I57" s="2819" t="s">
        <v>2343</v>
      </c>
      <c r="J57" s="2820" t="str">
        <f ca="1">IF(OR(M47="住宅",J51&lt;L48,J56="是"),"——",J51-L48)</f>
        <v>——</v>
      </c>
      <c r="K57" s="2799" t="s">
        <v>2348</v>
      </c>
      <c r="L57" s="1822" t="str">
        <f ca="1">IF(L48&lt;J51,"——",IF(L55="比较法",L49,IF(L55="基准地价",L50,L51)))</f>
        <v>——</v>
      </c>
      <c r="M57" s="3263"/>
      <c r="O57" s="2253" t="s">
        <v>2364</v>
      </c>
      <c r="P57" s="2254" t="s">
        <v>2390</v>
      </c>
      <c r="Q57" s="2255">
        <f ca="1">C40+J29</f>
        <v>156522</v>
      </c>
      <c r="R57" s="2254" t="s">
        <v>2365</v>
      </c>
    </row>
    <row r="58" spans="1:18" s="1942" customFormat="1" ht="28.5" customHeight="1" thickBot="1">
      <c r="A58" s="1577" t="s">
        <v>1815</v>
      </c>
      <c r="B58" s="774" t="s">
        <v>650</v>
      </c>
      <c r="C58" s="3019">
        <f ca="1">ROUND(IF(AND(项目基本情况!B11="自然人",项目基本情况!B10="北京市"),C48*F58/(1+'数据-取费表'!C42),C59+C60+C61),0)</f>
        <v>83</v>
      </c>
      <c r="D58" s="3280" t="s">
        <v>651</v>
      </c>
      <c r="E58" s="32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f ca="1">L60</f>
        <v>0</v>
      </c>
      <c r="R58" s="2258" t="s">
        <v>2399</v>
      </c>
    </row>
    <row r="59" spans="1:18" s="1942" customFormat="1" ht="28.5" customHeight="1" thickBot="1">
      <c r="A59" s="1576" t="s">
        <v>1822</v>
      </c>
      <c r="B59" s="774" t="s">
        <v>654</v>
      </c>
      <c r="C59" s="53">
        <f ca="1">ROUND(C47*F59/1.05,1)</f>
        <v>0</v>
      </c>
      <c r="D59" s="3281" t="s">
        <v>655</v>
      </c>
      <c r="E59" s="774" t="s">
        <v>643</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6" t="s">
        <v>1823</v>
      </c>
      <c r="B60" s="774" t="s">
        <v>658</v>
      </c>
      <c r="C60" s="53">
        <f ca="1">IF(D60="按租金收入计税",ROUND(C47*F60,1),IF(D60="按房产原值计税",ROUND(C56*F60*0.7,1),INDIRECT("'数据-取费表'!Aj"&amp;$G$1)))</f>
        <v>0</v>
      </c>
      <c r="D60" s="3281" t="str">
        <f>D33</f>
        <v>按租金收入计税</v>
      </c>
      <c r="E60" s="774" t="s">
        <v>643</v>
      </c>
      <c r="F60" s="799">
        <f t="shared" si="0"/>
        <v>0.12</v>
      </c>
      <c r="I60" s="2821" t="s">
        <v>2346</v>
      </c>
      <c r="J60" s="2822" t="str">
        <f ca="1">IF(OR(M47="住宅",J51&lt;L48,J56="是"),"0",ROUND(J59/(1+J52)^J53,0))</f>
        <v>0</v>
      </c>
      <c r="K60" s="2823" t="s">
        <v>2351</v>
      </c>
      <c r="L60" s="2822">
        <f ca="1">IF(OR(M47="住宅",L48&lt;J51),0,ROUND(L57*(L58/L59-1),0))</f>
        <v>0</v>
      </c>
      <c r="M60" s="3263"/>
      <c r="O60" s="2256" t="s">
        <v>2369</v>
      </c>
      <c r="P60" s="2254" t="s">
        <v>2378</v>
      </c>
      <c r="Q60" s="2257">
        <f>L52</f>
        <v>0</v>
      </c>
      <c r="R60" s="2258"/>
    </row>
    <row r="61" spans="1:18" s="1942" customFormat="1" ht="18" customHeight="1" thickBot="1">
      <c r="A61" s="1579" t="s">
        <v>1824</v>
      </c>
      <c r="B61" s="339" t="s">
        <v>662</v>
      </c>
      <c r="C61" s="54">
        <f ca="1">ROUND(F61*F62/10000,1)</f>
        <v>83</v>
      </c>
      <c r="D61" s="803" t="s">
        <v>663</v>
      </c>
      <c r="E61" s="774" t="s">
        <v>664</v>
      </c>
      <c r="F61" s="632">
        <f t="shared" si="0"/>
        <v>18</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46083.81</v>
      </c>
      <c r="I62" s="2824" t="s">
        <v>2352</v>
      </c>
      <c r="J62" s="2825" t="s">
        <v>2353</v>
      </c>
      <c r="K62" s="2825" t="s">
        <v>2354</v>
      </c>
      <c r="L62" s="2825" t="s">
        <v>2335</v>
      </c>
      <c r="M62" s="2826" t="s">
        <v>2911</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1299.0999999999999</v>
      </c>
      <c r="D63" s="3281" t="s">
        <v>685</v>
      </c>
      <c r="E63" s="774" t="s">
        <v>643</v>
      </c>
      <c r="F63" s="806">
        <f t="shared" ca="1" si="0"/>
        <v>1.4999999999999999E-2</v>
      </c>
      <c r="I63" s="2824" t="s">
        <v>2355</v>
      </c>
      <c r="J63" s="2825">
        <v>70</v>
      </c>
      <c r="K63" s="2825">
        <v>50</v>
      </c>
      <c r="L63" s="2825">
        <v>80</v>
      </c>
      <c r="M63" s="2827">
        <v>0.02</v>
      </c>
      <c r="O63" s="2253" t="s">
        <v>2376</v>
      </c>
      <c r="P63" s="2254" t="s">
        <v>2393</v>
      </c>
      <c r="Q63" s="2255">
        <f ca="1">Q57+Q58</f>
        <v>156522</v>
      </c>
      <c r="R63" s="2258" t="s">
        <v>2377</v>
      </c>
    </row>
    <row r="64" spans="1:18" s="1942" customFormat="1" ht="16.5" thickBot="1">
      <c r="A64" s="1577" t="s">
        <v>1881</v>
      </c>
      <c r="B64" s="774" t="s">
        <v>673</v>
      </c>
      <c r="C64" s="53">
        <f ca="1">ROUND(C55*F64,1)</f>
        <v>129.9</v>
      </c>
      <c r="D64" s="3281" t="s">
        <v>674</v>
      </c>
      <c r="E64" s="774" t="s">
        <v>643</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3281" t="s">
        <v>677</v>
      </c>
      <c r="E65" s="774" t="s">
        <v>643</v>
      </c>
      <c r="F65" s="784">
        <f t="shared" ca="1" si="0"/>
        <v>0.02</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-1512</v>
      </c>
      <c r="D66" s="3280" t="s">
        <v>694</v>
      </c>
      <c r="E66" s="3278"/>
      <c r="F66" s="809"/>
      <c r="K66" s="1968"/>
      <c r="O66" s="2253" t="s">
        <v>2364</v>
      </c>
      <c r="P66" s="2254" t="s">
        <v>2390</v>
      </c>
      <c r="Q66" s="2255">
        <f ca="1">C40+J29</f>
        <v>156522</v>
      </c>
      <c r="R66" s="2254" t="s">
        <v>2365</v>
      </c>
    </row>
    <row r="67" spans="1:18" s="1942" customFormat="1" ht="20.25" thickBot="1">
      <c r="A67" s="771" t="s">
        <v>1771</v>
      </c>
      <c r="B67" s="2112" t="s">
        <v>2289</v>
      </c>
      <c r="C67" s="773">
        <f ca="1">ROUND(C66*(1-((1+F69)/(1+F67))^F68)/(F67-F69),0)</f>
        <v>-23699</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702</v>
      </c>
      <c r="F68" s="811">
        <f ca="1">F41</f>
        <v>37</v>
      </c>
      <c r="O68" s="2256" t="s">
        <v>2368</v>
      </c>
      <c r="P68" s="2254" t="s">
        <v>2398</v>
      </c>
      <c r="Q68" s="2260">
        <f ca="1">L51</f>
        <v>-3876</v>
      </c>
      <c r="R68" s="2261" t="s">
        <v>2401</v>
      </c>
    </row>
    <row r="69" spans="1:18" ht="20.25" thickBot="1">
      <c r="A69" s="780"/>
      <c r="B69" s="781"/>
      <c r="C69" s="782"/>
      <c r="D69" s="805"/>
      <c r="E69" s="774" t="s">
        <v>704</v>
      </c>
      <c r="F69" s="2226"/>
      <c r="O69" s="2256" t="s">
        <v>2369</v>
      </c>
      <c r="P69" s="2262" t="s">
        <v>2383</v>
      </c>
      <c r="Q69" s="2255">
        <f ca="1">ROUND(Q70-Q71*Q72,0)</f>
        <v>-205</v>
      </c>
      <c r="R69" s="2258"/>
    </row>
    <row r="70" spans="1:18" ht="15.75" thickBot="1">
      <c r="A70" s="812" t="s">
        <v>1778</v>
      </c>
      <c r="B70" s="813" t="s">
        <v>1801</v>
      </c>
      <c r="C70" s="814">
        <f ca="1">ROUND(C67*10000/F70,0)</f>
        <v>-1723</v>
      </c>
      <c r="D70" s="815" t="s">
        <v>1802</v>
      </c>
      <c r="E70" s="816" t="s">
        <v>1803</v>
      </c>
      <c r="F70" s="817">
        <f ca="1">F43</f>
        <v>137584.01999999999</v>
      </c>
      <c r="O70" s="2256" t="s">
        <v>2384</v>
      </c>
      <c r="P70" s="2262" t="s">
        <v>2385</v>
      </c>
      <c r="Q70" s="2255">
        <f ca="1">C39</f>
        <v>7157</v>
      </c>
      <c r="R70" s="2254" t="s">
        <v>2365</v>
      </c>
    </row>
    <row r="71" spans="1:18" ht="15.75" thickBot="1">
      <c r="O71" s="2256" t="s">
        <v>2386</v>
      </c>
      <c r="P71" s="2262" t="s">
        <v>2387</v>
      </c>
      <c r="Q71" s="2255">
        <f ca="1">C13</f>
        <v>86609</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156522</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xr:uid="{BE8E2797-85C5-4384-B72D-978EA964ED3A}">
      <formula1>"土地（套用方法）,——"</formula1>
    </dataValidation>
    <dataValidation type="list" allowBlank="1" showInputMessage="1" showErrorMessage="1" sqref="F10 M10 F52" xr:uid="{581DA061-CD6E-4F4E-8B6A-D6DCBDED2DB3}">
      <formula1>"押一,押二,押三,自定义"</formula1>
    </dataValidation>
    <dataValidation type="list" allowBlank="1" showInputMessage="1" showErrorMessage="1" sqref="J48" xr:uid="{50A63825-931C-4FBC-A7C2-625C9B61CC17}">
      <formula1>"非生产用房,生产用房,受腐蚀的生产用房"</formula1>
    </dataValidation>
    <dataValidation type="list" allowBlank="1" showInputMessage="1" showErrorMessage="1" sqref="J47" xr:uid="{75AFAC05-2E61-4631-B12B-3FA3545C1F70}">
      <formula1>"钢,钢混,砖混"</formula1>
    </dataValidation>
    <dataValidation type="list" allowBlank="1" showInputMessage="1" showErrorMessage="1" sqref="J56" xr:uid="{7DAFE461-D9EA-4799-A774-4BD3F0C3053D}">
      <formula1>判定</formula1>
    </dataValidation>
    <dataValidation type="list" allowBlank="1" showInputMessage="1" showErrorMessage="1" sqref="D33" xr:uid="{B48FF36E-C233-4404-ABF8-469579BD5A1E}">
      <formula1>"按租金收入计税,按房产原值计税,按票据"</formula1>
    </dataValidation>
    <dataValidation type="list" allowBlank="1" showInputMessage="1" showErrorMessage="1" sqref="K19" xr:uid="{F1A82136-904B-4D5F-A14A-5E51AFA64429}">
      <formula1>"按租金收入计税,按房产原值计税"</formula1>
    </dataValidation>
    <dataValidation type="list" allowBlank="1" showInputMessage="1" showErrorMessage="1" sqref="C1:C3" xr:uid="{991F5D5B-ED23-4ACB-BA95-DD1517A74664}">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F8DAD-435E-453A-ABDB-7118F8581866}">
  <sheetPr>
    <tabColor rgb="FF92D050"/>
    <pageSetUpPr fitToPage="1"/>
  </sheetPr>
  <dimension ref="A1:AG76"/>
  <sheetViews>
    <sheetView view="pageBreakPreview" topLeftCell="A10" zoomScale="80" zoomScaleNormal="60" zoomScaleSheetLayoutView="80" workbookViewId="0">
      <selection activeCell="D10" sqref="D1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1668</v>
      </c>
      <c r="D1" s="2798" t="s">
        <v>3039</v>
      </c>
      <c r="E1" s="2242" t="s">
        <v>862</v>
      </c>
      <c r="F1" s="2243">
        <f ca="1">J53</f>
        <v>37</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239889</v>
      </c>
      <c r="C2" s="3264"/>
      <c r="D2" s="3265"/>
      <c r="E2" s="3266"/>
      <c r="F2" s="3266"/>
      <c r="G2" s="3260"/>
      <c r="H2" s="1940"/>
      <c r="I2" s="1940"/>
      <c r="J2" s="1940"/>
      <c r="K2" s="1941"/>
      <c r="L2" s="1940"/>
      <c r="M2" s="1940"/>
    </row>
    <row r="3" spans="1:33" ht="18" customHeight="1" thickBot="1">
      <c r="A3" s="822" t="s">
        <v>513</v>
      </c>
      <c r="B3" s="823">
        <f ca="1">IF(ISERROR(B2*10000/F43),0,ROUND(B2*10000/F43,0))</f>
        <v>14133</v>
      </c>
      <c r="C3" s="3264"/>
      <c r="D3" s="3265"/>
      <c r="E3" s="3266"/>
      <c r="F3" s="3266"/>
      <c r="G3" s="3260"/>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2440</v>
      </c>
      <c r="C5" s="55">
        <f ca="1">C6+C10+C12</f>
        <v>15798</v>
      </c>
      <c r="D5" s="2349" t="s">
        <v>2443</v>
      </c>
      <c r="E5" s="2343"/>
      <c r="F5" s="2344"/>
      <c r="G5" s="1945"/>
      <c r="H5" s="771">
        <v>1</v>
      </c>
      <c r="I5" s="772" t="s">
        <v>2440</v>
      </c>
      <c r="J5" s="55">
        <f ca="1">J6+J10+J12</f>
        <v>0</v>
      </c>
      <c r="K5" s="2349" t="s">
        <v>2443</v>
      </c>
      <c r="L5" s="2343"/>
      <c r="M5" s="2344"/>
    </row>
    <row r="6" spans="1:33" ht="18" customHeight="1">
      <c r="A6" s="1745" t="s">
        <v>1815</v>
      </c>
      <c r="B6" s="3561" t="s">
        <v>2445</v>
      </c>
      <c r="C6" s="773">
        <f ca="1">ROUND(F6*F8*F7*(1-F9)/10000,0)</f>
        <v>15798</v>
      </c>
      <c r="D6" s="2350" t="s">
        <v>2444</v>
      </c>
      <c r="E6" s="774" t="s">
        <v>631</v>
      </c>
      <c r="F6" s="775">
        <f ca="1">INDIRECT("'数据-取费表'!u"&amp;$G$1)</f>
        <v>3</v>
      </c>
      <c r="G6" s="1945"/>
      <c r="H6" s="2357" t="s">
        <v>1815</v>
      </c>
      <c r="I6" s="3561" t="s">
        <v>2445</v>
      </c>
      <c r="J6" s="773">
        <f ca="1">ROUND(M6*M8*M7*(1-M9)/10000,0)</f>
        <v>0</v>
      </c>
      <c r="K6" s="339" t="s">
        <v>630</v>
      </c>
      <c r="L6" s="774" t="s">
        <v>631</v>
      </c>
      <c r="M6" s="775">
        <f ca="1">INDIRECT("'数据-取费表'!z"&amp;$G$1)</f>
        <v>0</v>
      </c>
    </row>
    <row r="7" spans="1:33" ht="18" customHeight="1">
      <c r="A7" s="2353"/>
      <c r="B7" s="3562"/>
      <c r="C7" s="778"/>
      <c r="D7" s="779"/>
      <c r="E7" s="774" t="s">
        <v>632</v>
      </c>
      <c r="F7" s="775">
        <f ca="1">IF(INDIRECT("'数据-取费表'!ah"&amp;$G$1)="",INDIRECT("'数据-取费表'!k"&amp;$G$1),INDIRECT("'数据-取费表'!ah"&amp;$G$1))</f>
        <v>169738.86999999997</v>
      </c>
      <c r="G7" s="1945"/>
      <c r="H7" s="2342"/>
      <c r="I7" s="3562"/>
      <c r="J7" s="778"/>
      <c r="K7" s="779"/>
      <c r="L7" s="774" t="s">
        <v>632</v>
      </c>
      <c r="M7" s="775">
        <f ca="1">F7</f>
        <v>169738.86999999997</v>
      </c>
    </row>
    <row r="8" spans="1:33" ht="18" customHeight="1">
      <c r="A8" s="2346"/>
      <c r="B8" s="3563"/>
      <c r="C8" s="778"/>
      <c r="D8" s="779"/>
      <c r="E8" s="774" t="s">
        <v>633</v>
      </c>
      <c r="F8" s="775">
        <f ca="1">INDIRECT("'数据-取费表'!ai"&amp;$G$1)</f>
        <v>365</v>
      </c>
      <c r="G8" s="1945"/>
      <c r="H8" s="2342"/>
      <c r="I8" s="3563"/>
      <c r="J8" s="778"/>
      <c r="K8" s="779"/>
      <c r="L8" s="774" t="s">
        <v>633</v>
      </c>
      <c r="M8" s="775">
        <f ca="1">INDIRECT("'数据-取费表'!ai"&amp;$G$1)</f>
        <v>365</v>
      </c>
    </row>
    <row r="9" spans="1:33" ht="18" customHeight="1">
      <c r="A9" s="776"/>
      <c r="B9" s="3564"/>
      <c r="C9" s="778"/>
      <c r="D9" s="779"/>
      <c r="E9" s="774" t="s">
        <v>634</v>
      </c>
      <c r="F9" s="784">
        <f ca="1">INDIRECT("'数据-取费表'!w"&amp;$G$1)</f>
        <v>0.15</v>
      </c>
      <c r="G9" s="1945"/>
      <c r="H9" s="2358"/>
      <c r="I9" s="3563"/>
      <c r="J9" s="778"/>
      <c r="K9" s="779"/>
      <c r="L9" s="785" t="s">
        <v>634</v>
      </c>
      <c r="M9" s="786">
        <f ca="1">INDIRECT("'数据-取费表'!ab"&amp;$G$1)</f>
        <v>0</v>
      </c>
    </row>
    <row r="10" spans="1:33" ht="18" customHeight="1">
      <c r="A10" s="1745" t="s">
        <v>1816</v>
      </c>
      <c r="B10" s="2347" t="s">
        <v>2441</v>
      </c>
      <c r="C10" s="789">
        <f ca="1">ROUND(IF(F10="押一",C6/12*F11,IF(F10="押二",C6/12*2*F11,IF(F10="押三",C6/12*3*F11,C11*F11))),0)</f>
        <v>0</v>
      </c>
      <c r="D10" s="2354" t="s">
        <v>2939</v>
      </c>
      <c r="E10" s="2351" t="s">
        <v>2446</v>
      </c>
      <c r="F10" s="2465" t="s">
        <v>3040</v>
      </c>
      <c r="G10" s="1945"/>
      <c r="H10" s="2414" t="s">
        <v>1816</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638</v>
      </c>
      <c r="C13" s="782">
        <f ca="1">ROUND(C29*F13,0)</f>
        <v>106851</v>
      </c>
      <c r="D13" s="1749" t="s">
        <v>2285</v>
      </c>
      <c r="E13" s="1749" t="s">
        <v>637</v>
      </c>
      <c r="F13" s="2389">
        <f ca="1">INDIRECT("'数据-取费表'!y"&amp;$G$1)</f>
        <v>1</v>
      </c>
      <c r="G13" s="1945"/>
      <c r="H13" s="1744">
        <v>2</v>
      </c>
      <c r="I13" s="1742" t="s">
        <v>638</v>
      </c>
      <c r="J13" s="1734">
        <f ca="1">ROUND(J14*J15,0)</f>
        <v>0</v>
      </c>
      <c r="K13" s="1736" t="s">
        <v>636</v>
      </c>
      <c r="L13" s="2405"/>
      <c r="M13" s="2406"/>
    </row>
    <row r="14" spans="1:33" ht="18" customHeight="1">
      <c r="A14" s="1576" t="s">
        <v>1822</v>
      </c>
      <c r="B14" s="774" t="s">
        <v>639</v>
      </c>
      <c r="C14" s="794">
        <f ca="1">INDIRECT("'数据-取费表'!m"&amp;$G$1)+INDIRECT("'数据-取费表'!t"&amp;$G$1)</f>
        <v>68646</v>
      </c>
      <c r="D14" s="3280" t="s">
        <v>640</v>
      </c>
      <c r="E14" s="3279"/>
      <c r="F14" s="795"/>
      <c r="G14" s="1945"/>
      <c r="H14" s="1577" t="s">
        <v>1815</v>
      </c>
      <c r="I14" s="2111" t="s">
        <v>2805</v>
      </c>
      <c r="J14" s="53">
        <f ca="1">C29</f>
        <v>106851</v>
      </c>
      <c r="K14" s="26"/>
      <c r="L14" s="791"/>
      <c r="M14" s="792"/>
    </row>
    <row r="15" spans="1:33" s="1947" customFormat="1" ht="18" customHeight="1" thickBot="1">
      <c r="A15" s="1576" t="s">
        <v>1823</v>
      </c>
      <c r="B15" s="774" t="s">
        <v>641</v>
      </c>
      <c r="C15" s="53">
        <f ca="1">ROUND(C14*F15,0)</f>
        <v>2059</v>
      </c>
      <c r="D15" s="796" t="s">
        <v>642</v>
      </c>
      <c r="E15" s="796" t="s">
        <v>643</v>
      </c>
      <c r="F15" s="797">
        <f>'数据-取费表'!B33</f>
        <v>0.03</v>
      </c>
      <c r="G15" s="3261"/>
      <c r="H15" s="2404" t="s">
        <v>1880</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f ca="1">ROUND(INDIRECT("'数据-取费表'!m"&amp;$G$1)*F16,0)</f>
        <v>0</v>
      </c>
      <c r="D16" s="774" t="s">
        <v>642</v>
      </c>
      <c r="E16" s="774" t="s">
        <v>643</v>
      </c>
      <c r="F16" s="799">
        <f ca="1">IF(INDIRECT("'数据-取费表'!c"&amp;$G$1)="住宅",'数据-取费表'!B34,0)</f>
        <v>0</v>
      </c>
      <c r="G16" s="1945"/>
      <c r="H16" s="1744" t="s">
        <v>7</v>
      </c>
      <c r="I16" s="1742" t="s">
        <v>645</v>
      </c>
      <c r="J16" s="782">
        <f ca="1">ROUND(J17+J22+J23+J24,0)</f>
        <v>10681</v>
      </c>
      <c r="K16" s="1736" t="s">
        <v>646</v>
      </c>
      <c r="L16" s="3282"/>
      <c r="M16" s="2344"/>
    </row>
    <row r="17" spans="1:33" s="1947" customFormat="1" ht="18" customHeight="1">
      <c r="A17" s="1576" t="s">
        <v>1878</v>
      </c>
      <c r="B17" s="774" t="s">
        <v>647</v>
      </c>
      <c r="C17" s="53">
        <f ca="1">ROUND(F17*(F43+INDIRECT("'数据-取费表'!S"&amp;$G$1))/10000,0)</f>
        <v>4134</v>
      </c>
      <c r="D17" s="774" t="s">
        <v>648</v>
      </c>
      <c r="E17" s="774" t="s">
        <v>649</v>
      </c>
      <c r="F17" s="56">
        <f>'数据-取费表'!B35</f>
        <v>200</v>
      </c>
      <c r="G17" s="3261"/>
      <c r="H17" s="1577" t="s">
        <v>1815</v>
      </c>
      <c r="I17" s="774" t="s">
        <v>650</v>
      </c>
      <c r="J17" s="3019">
        <f ca="1">ROUND(IF(AND(项目基本情况!B11="自然人",项目基本情况!B10="北京市"),J6*M17/(1+'数据-取费表'!C42),J18+J19+J20),0)</f>
        <v>9078</v>
      </c>
      <c r="K17" s="3280" t="s">
        <v>651</v>
      </c>
      <c r="L17" s="3281" t="s">
        <v>652</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1030</v>
      </c>
      <c r="D18" s="774" t="s">
        <v>642</v>
      </c>
      <c r="E18" s="774" t="s">
        <v>643</v>
      </c>
      <c r="F18" s="799">
        <f>'数据-取费表'!B36</f>
        <v>1.4999999999999999E-2</v>
      </c>
      <c r="G18" s="3261"/>
      <c r="H18" s="1576" t="s">
        <v>1822</v>
      </c>
      <c r="I18" s="774" t="s">
        <v>654</v>
      </c>
      <c r="J18" s="53">
        <f ca="1">ROUND(J6*M18/(1+'数据-取费表'!C42),1)</f>
        <v>0</v>
      </c>
      <c r="K18" s="3281"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f ca="1">SUM(C14:C18)</f>
        <v>75869</v>
      </c>
      <c r="D19" s="259" t="s">
        <v>657</v>
      </c>
      <c r="E19" s="3283"/>
      <c r="F19" s="56"/>
      <c r="G19" s="1945"/>
      <c r="H19" s="1576" t="s">
        <v>1823</v>
      </c>
      <c r="I19" s="774" t="s">
        <v>658</v>
      </c>
      <c r="J19" s="53">
        <f ca="1">IF(K19="按租金收入计税",ROUND(J6*M19/(1+'数据-取费表'!C42),1),ROUND(C29*F33*0.7,1))</f>
        <v>8975.5</v>
      </c>
      <c r="K19" s="800" t="s">
        <v>659</v>
      </c>
      <c r="L19" s="774" t="s">
        <v>643</v>
      </c>
      <c r="M19" s="799">
        <f>IF(K19="按租金收入计税",'数据-取费表'!B51,'数据-取费表'!B50)</f>
        <v>1.2E-2</v>
      </c>
    </row>
    <row r="20" spans="1:33" s="1947" customFormat="1" ht="18" customHeight="1">
      <c r="A20" s="1577" t="s">
        <v>1880</v>
      </c>
      <c r="B20" s="774" t="s">
        <v>660</v>
      </c>
      <c r="C20" s="53">
        <f ca="1">ROUND(C19*F20,0)</f>
        <v>1517</v>
      </c>
      <c r="D20" s="801" t="s">
        <v>661</v>
      </c>
      <c r="E20" s="774" t="s">
        <v>643</v>
      </c>
      <c r="F20" s="799">
        <f>'数据-取费表'!B37</f>
        <v>0.02</v>
      </c>
      <c r="G20" s="3261"/>
      <c r="H20" s="1579" t="s">
        <v>1824</v>
      </c>
      <c r="I20" s="339" t="s">
        <v>662</v>
      </c>
      <c r="J20" s="54">
        <f ca="1">ROUND(M20*M21/10000,0)</f>
        <v>102</v>
      </c>
      <c r="K20" s="803" t="s">
        <v>663</v>
      </c>
      <c r="L20" s="774" t="s">
        <v>664</v>
      </c>
      <c r="M20" s="632">
        <f>'数据-取费表'!B52</f>
        <v>18</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v>
      </c>
      <c r="D21" s="801" t="s">
        <v>2286</v>
      </c>
      <c r="E21" s="774" t="s">
        <v>667</v>
      </c>
      <c r="F21" s="799">
        <f>'数据-取费表'!B38</f>
        <v>0.02</v>
      </c>
      <c r="G21" s="3261"/>
      <c r="H21" s="2359"/>
      <c r="I21" s="783"/>
      <c r="J21" s="69"/>
      <c r="K21" s="805"/>
      <c r="L21" s="774" t="s">
        <v>668</v>
      </c>
      <c r="M21" s="775">
        <f ca="1">INDIRECT("'数据-取费表'!r"&amp;$G$1)</f>
        <v>56854.100000000006</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3"/>
      <c r="F22" s="56"/>
      <c r="G22" s="1945"/>
      <c r="H22" s="1577" t="s">
        <v>1880</v>
      </c>
      <c r="I22" s="774" t="s">
        <v>670</v>
      </c>
      <c r="J22" s="53">
        <f ca="1">ROUND(J14*M22,0)</f>
        <v>1603</v>
      </c>
      <c r="K22" s="3281" t="s">
        <v>671</v>
      </c>
      <c r="L22" s="774" t="s">
        <v>643</v>
      </c>
      <c r="M22" s="806">
        <f ca="1">INDIRECT("'数据-取费表'!Ak"&amp;$G$1)</f>
        <v>1.4999999999999999E-2</v>
      </c>
    </row>
    <row r="23" spans="1:33" s="1947" customFormat="1" ht="18" customHeight="1">
      <c r="A23" s="1576" t="s">
        <v>1822</v>
      </c>
      <c r="B23" s="774" t="s">
        <v>2421</v>
      </c>
      <c r="C23" s="53">
        <f ca="1">ROUND(IF('数据-取费表'!B22&lt;=1,(C19+C20)*F24*F23/2,(C19+C20)*(POWER((1+F24),F23/2)-1)),0)</f>
        <v>5579</v>
      </c>
      <c r="D23" s="2423" t="str">
        <f>IF(F23&lt;=1,"(建造成本+管理费用)×利率×(建设周期÷2)","(建造成本+管理费用)×((1+利率)^(建设周期÷2)-1)")</f>
        <v>(建造成本+管理费用)×((1+利率)^(建设周期÷2)-1)</v>
      </c>
      <c r="E23" s="774" t="s">
        <v>672</v>
      </c>
      <c r="F23" s="632">
        <f>'数据-取费表'!B20</f>
        <v>3</v>
      </c>
      <c r="G23" s="3261"/>
      <c r="H23" s="1577" t="s">
        <v>1881</v>
      </c>
      <c r="I23" s="774" t="s">
        <v>673</v>
      </c>
      <c r="J23" s="53">
        <f ca="1">ROUND(J13*M23,0)</f>
        <v>0</v>
      </c>
      <c r="K23" s="3281"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675</v>
      </c>
      <c r="C24" s="53">
        <f ca="1">ROUND(IF('数据-取费表'!B22&lt;=1,F21*F24*F23/2,F21*(POWER((1+F24),F23/2)-1)),4)</f>
        <v>1.4E-3</v>
      </c>
      <c r="D24" s="2423" t="str">
        <f>IF(F23&lt;=1,"销售费用×利率×(建设周期÷2)","销售费用×((1+利率)^(建设周期÷2)-1)")</f>
        <v>销售费用×((1+利率)^(建设周期÷2)-1)</v>
      </c>
      <c r="E24" s="774" t="s">
        <v>676</v>
      </c>
      <c r="F24" s="808">
        <f ca="1">'数据-取费表'!B40</f>
        <v>4.7500000000000001E-2</v>
      </c>
      <c r="G24" s="3261"/>
      <c r="H24" s="2404" t="s">
        <v>1882</v>
      </c>
      <c r="I24" s="2399" t="s">
        <v>660</v>
      </c>
      <c r="J24" s="2397">
        <f ca="1">ROUND(J5*M24,0)</f>
        <v>0</v>
      </c>
      <c r="K24" s="2398" t="s">
        <v>677</v>
      </c>
      <c r="L24" s="2399" t="s">
        <v>643</v>
      </c>
      <c r="M24" s="2395">
        <f ca="1">INDIRECT("'数据-取费表'!Am"&amp;$G$1)</f>
        <v>0.02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3"/>
      <c r="F25" s="56"/>
      <c r="G25" s="1945"/>
      <c r="H25" s="1744" t="s">
        <v>1767</v>
      </c>
      <c r="I25" s="2723" t="s">
        <v>2802</v>
      </c>
      <c r="J25" s="782">
        <f ca="1">J5-J16</f>
        <v>-10681</v>
      </c>
      <c r="K25" s="2401" t="s">
        <v>694</v>
      </c>
      <c r="L25" s="2402"/>
      <c r="M25" s="2403"/>
    </row>
    <row r="26" spans="1:33" ht="18" customHeight="1">
      <c r="A26" s="1576" t="s">
        <v>1822</v>
      </c>
      <c r="B26" s="774" t="s">
        <v>2422</v>
      </c>
      <c r="C26" s="53">
        <f ca="1">ROUND((C19+C20)*F26,0)</f>
        <v>15477</v>
      </c>
      <c r="D26" s="801" t="s">
        <v>695</v>
      </c>
      <c r="E26" s="785" t="s">
        <v>696</v>
      </c>
      <c r="F26" s="784">
        <f ca="1">INDIRECT("'数据-取费表'!q"&amp;$G$1)</f>
        <v>0.2</v>
      </c>
      <c r="G26" s="1945"/>
      <c r="H26" s="2355" t="s">
        <v>1771</v>
      </c>
      <c r="I26" s="2112" t="s">
        <v>2807</v>
      </c>
      <c r="J26" s="773">
        <f ca="1">IF(J5&lt;&gt;0,ROUND(J25*(1-((1+M28)/(1+M26))^M27)/(M26-M28),0),0)</f>
        <v>0</v>
      </c>
      <c r="K26" s="803" t="s">
        <v>698</v>
      </c>
      <c r="L26" s="774" t="s">
        <v>2404</v>
      </c>
      <c r="M26" s="784">
        <f ca="1">INDIRECT("'数据-取费表'!I"&amp;$G$1)</f>
        <v>5.5E-2</v>
      </c>
    </row>
    <row r="27" spans="1:33" ht="18" customHeight="1">
      <c r="A27" s="1576" t="s">
        <v>1823</v>
      </c>
      <c r="B27" s="774" t="s">
        <v>680</v>
      </c>
      <c r="C27" s="53">
        <f ca="1">ROUND(F21*F26,4)</f>
        <v>4.0000000000000001E-3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1832</v>
      </c>
      <c r="B28" s="774" t="s">
        <v>681</v>
      </c>
      <c r="C28" s="53">
        <f>ROUND(F28/(1+'数据-取费表'!C42),4)</f>
        <v>5.33E-2</v>
      </c>
      <c r="D28" s="801" t="s">
        <v>2287</v>
      </c>
      <c r="E28" s="774" t="s">
        <v>643</v>
      </c>
      <c r="F28" s="799">
        <f>'数据-取费表'!B41</f>
        <v>5.6000000000000001E-2</v>
      </c>
      <c r="G28" s="3261"/>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106851</v>
      </c>
      <c r="D29" s="2398"/>
      <c r="E29" s="2399"/>
      <c r="F29" s="2400"/>
      <c r="G29" s="3261"/>
      <c r="H29" s="812" t="s">
        <v>1778</v>
      </c>
      <c r="I29" s="813" t="s">
        <v>1779</v>
      </c>
      <c r="J29" s="814">
        <f ca="1">ROUND(J26/(1+F40)^F41,0)</f>
        <v>0</v>
      </c>
      <c r="K29" s="815" t="s">
        <v>682</v>
      </c>
      <c r="L29" s="816"/>
      <c r="M29" s="817">
        <f ca="1">INDIRECT("'数据-取费表'!k"&amp;$G$1)</f>
        <v>169738.86999999997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7</v>
      </c>
      <c r="B30" s="1742" t="s">
        <v>645</v>
      </c>
      <c r="C30" s="782">
        <f ca="1">ROUND(C31+C36+C37+C38,0)</f>
        <v>4829</v>
      </c>
      <c r="D30" s="1736" t="s">
        <v>646</v>
      </c>
      <c r="E30" s="3282"/>
      <c r="F30" s="2344"/>
      <c r="G30" s="1945"/>
      <c r="H30" s="1948"/>
      <c r="I30" s="1949"/>
      <c r="J30" s="1950"/>
      <c r="K30" s="1951"/>
      <c r="L30" s="1952"/>
      <c r="M30" s="1953"/>
    </row>
    <row r="31" spans="1:33" ht="18" customHeight="1">
      <c r="A31" s="1577" t="s">
        <v>1815</v>
      </c>
      <c r="B31" s="774" t="s">
        <v>650</v>
      </c>
      <c r="C31" s="3019">
        <f ca="1">ROUND(IF(AND(项目基本情况!B11="自然人",项目基本情况!B10="北京市"),C6*F31/(1+'数据-取费表'!C42),C32+C33+C34),0)</f>
        <v>2750</v>
      </c>
      <c r="D31" s="3280" t="s">
        <v>651</v>
      </c>
      <c r="E31" s="3281" t="s">
        <v>684</v>
      </c>
      <c r="F31" s="3018" t="str">
        <f>IF(项目基本情况!B11="企业","——",IF('数据-取费表'!B10="住宅",IF(F6*F7*F8/12/(1+'数据-取费表'!F30)&gt;100000,4%,2.5%),IF(F6*F7*F8/12/(1+'数据-取费表'!F30)&gt;100000,12%,7%)))</f>
        <v>——</v>
      </c>
      <c r="G31" s="1945"/>
      <c r="H31" s="3258" t="s">
        <v>2997</v>
      </c>
      <c r="I31" s="1949"/>
      <c r="J31" s="1950"/>
      <c r="K31" s="1951"/>
      <c r="L31" s="1952"/>
      <c r="M31" s="1953"/>
    </row>
    <row r="32" spans="1:33" ht="18" customHeight="1">
      <c r="A32" s="1576" t="s">
        <v>1822</v>
      </c>
      <c r="B32" s="774" t="s">
        <v>654</v>
      </c>
      <c r="C32" s="53">
        <f ca="1">ROUND(C6*F32/(1+'数据-取费表'!C42),1)</f>
        <v>842.6</v>
      </c>
      <c r="D32" s="3281"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f ca="1">IF(D33="按租金收入计税",ROUND(C6*F33/(1+'数据-取费表'!C42),1),IF(D33="按房产原值计税",ROUND(C29*F33*0.7,1),INDIRECT("'数据-取费表'!Aj"&amp;$G$1)))</f>
        <v>1805.5</v>
      </c>
      <c r="D33" s="800" t="s">
        <v>3041</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662</v>
      </c>
      <c r="C34" s="54">
        <f ca="1">ROUND(F34*F35/10000,1)</f>
        <v>102.3</v>
      </c>
      <c r="D34" s="803" t="s">
        <v>663</v>
      </c>
      <c r="E34" s="774" t="s">
        <v>664</v>
      </c>
      <c r="F34" s="632">
        <f>'数据-取费表'!B52</f>
        <v>18</v>
      </c>
      <c r="G34" s="1945"/>
      <c r="H34" s="1948"/>
      <c r="I34" s="824" t="s">
        <v>1804</v>
      </c>
      <c r="J34" s="825"/>
      <c r="K34" s="1963"/>
      <c r="L34" s="1962"/>
      <c r="M34" s="1962"/>
    </row>
    <row r="35" spans="1:18" ht="18" customHeight="1">
      <c r="A35" s="804"/>
      <c r="B35" s="783"/>
      <c r="C35" s="69"/>
      <c r="D35" s="805"/>
      <c r="E35" s="774" t="s">
        <v>668</v>
      </c>
      <c r="F35" s="775">
        <f ca="1">INDIRECT("'数据-取费表'!r"&amp;$G$1)</f>
        <v>56854.100000000006</v>
      </c>
      <c r="G35" s="1945"/>
      <c r="H35" s="1948"/>
      <c r="I35" s="826" t="s">
        <v>1805</v>
      </c>
      <c r="J35" s="827">
        <f ca="1">ROUND(C13*J36,0)</f>
        <v>9082</v>
      </c>
      <c r="K35" s="1961"/>
      <c r="L35" s="1960"/>
      <c r="M35" s="1960"/>
    </row>
    <row r="36" spans="1:18" ht="18" customHeight="1">
      <c r="A36" s="1577" t="s">
        <v>1880</v>
      </c>
      <c r="B36" s="774" t="s">
        <v>670</v>
      </c>
      <c r="C36" s="53">
        <f ca="1">ROUND(C29*F36,1)</f>
        <v>1602.8</v>
      </c>
      <c r="D36" s="3281" t="s">
        <v>685</v>
      </c>
      <c r="E36" s="774" t="s">
        <v>643</v>
      </c>
      <c r="F36" s="806">
        <f ca="1">INDIRECT("'数据-取费表'!Ak"&amp;$G$1)</f>
        <v>1.4999999999999999E-2</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160.30000000000001</v>
      </c>
      <c r="D37" s="3281" t="s">
        <v>674</v>
      </c>
      <c r="E37" s="774" t="s">
        <v>643</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316</v>
      </c>
      <c r="D38" s="2398" t="s">
        <v>677</v>
      </c>
      <c r="E38" s="2399" t="s">
        <v>643</v>
      </c>
      <c r="F38" s="2395">
        <f ca="1">INDIRECT("'数据-取费表'!Am"&amp;$G$1)</f>
        <v>0.02</v>
      </c>
      <c r="G38" s="1945"/>
      <c r="H38" s="1960"/>
      <c r="I38" s="832" t="s">
        <v>1808</v>
      </c>
      <c r="J38" s="833"/>
      <c r="K38" s="1965"/>
      <c r="L38" s="1960"/>
      <c r="M38" s="1960"/>
    </row>
    <row r="39" spans="1:18" ht="24.6" customHeight="1" thickTop="1">
      <c r="A39" s="1744" t="s">
        <v>1767</v>
      </c>
      <c r="B39" s="2723" t="s">
        <v>2802</v>
      </c>
      <c r="C39" s="782">
        <f ca="1">C5-C30</f>
        <v>10969</v>
      </c>
      <c r="D39" s="2401" t="s">
        <v>694</v>
      </c>
      <c r="E39" s="2402"/>
      <c r="F39" s="2403"/>
      <c r="G39" s="1945"/>
      <c r="H39" s="1960"/>
      <c r="I39" s="826" t="s">
        <v>1809</v>
      </c>
      <c r="J39" s="834">
        <f ca="1">ROUND(J35/C39,3)</f>
        <v>0.82799999999999996</v>
      </c>
      <c r="K39" s="1965"/>
      <c r="L39" s="1960"/>
      <c r="M39" s="1960"/>
    </row>
    <row r="40" spans="1:18" ht="18" customHeight="1">
      <c r="A40" s="771" t="s">
        <v>1771</v>
      </c>
      <c r="B40" s="2112" t="s">
        <v>2289</v>
      </c>
      <c r="C40" s="773">
        <f ca="1">ROUND(C39*(1-((1+F42)/(1+F40))^F41)/(F40-F42),0)</f>
        <v>239889</v>
      </c>
      <c r="D40" s="803" t="s">
        <v>698</v>
      </c>
      <c r="E40" s="774" t="s">
        <v>2404</v>
      </c>
      <c r="F40" s="784">
        <f ca="1">INDIRECT("'数据-取费表'!I"&amp;$G$1)</f>
        <v>5.5E-2</v>
      </c>
      <c r="G40" s="1945"/>
      <c r="H40" s="1945"/>
      <c r="I40" s="826" t="s">
        <v>1810</v>
      </c>
      <c r="J40" s="834">
        <f ca="1">1-J39</f>
        <v>0.17200000000000004</v>
      </c>
      <c r="K40" s="1965"/>
      <c r="L40" s="1945"/>
      <c r="M40" s="1945"/>
    </row>
    <row r="41" spans="1:18" ht="18" customHeight="1">
      <c r="A41" s="776"/>
      <c r="B41" s="777"/>
      <c r="C41" s="778"/>
      <c r="D41" s="810" t="s">
        <v>1799</v>
      </c>
      <c r="E41" s="774" t="s">
        <v>702</v>
      </c>
      <c r="F41" s="811">
        <f ca="1">IF(INDIRECT("'数据-取费表'!af"&amp;$G$1)=0,INDIRECT("'数据-取费表'!ae"&amp;$G$1),INDIRECT("'数据-取费表'!af"&amp;$G$1))</f>
        <v>37</v>
      </c>
      <c r="G41" s="1945"/>
      <c r="H41" s="1900"/>
      <c r="I41" s="832" t="s">
        <v>1811</v>
      </c>
      <c r="J41" s="835"/>
      <c r="K41" s="1964"/>
      <c r="L41" s="1900"/>
      <c r="M41" s="1900"/>
    </row>
    <row r="42" spans="1:18" ht="18" customHeight="1">
      <c r="A42" s="780"/>
      <c r="B42" s="781"/>
      <c r="C42" s="782"/>
      <c r="D42" s="805"/>
      <c r="E42" s="774" t="s">
        <v>704</v>
      </c>
      <c r="F42" s="784">
        <f ca="1">INDIRECT("'数据-取费表'!v"&amp;$G$1)</f>
        <v>2.5000000000000001E-2</v>
      </c>
      <c r="G42" s="1945"/>
      <c r="H42" s="1900"/>
      <c r="I42" s="836" t="s">
        <v>1812</v>
      </c>
      <c r="J42" s="834">
        <f ca="1">ROUND(C13/C40,3)</f>
        <v>0.44500000000000001</v>
      </c>
      <c r="K42" s="1964"/>
      <c r="L42" s="1900"/>
      <c r="M42" s="1900"/>
    </row>
    <row r="43" spans="1:18" ht="18" customHeight="1" thickBot="1">
      <c r="A43" s="812" t="s">
        <v>1778</v>
      </c>
      <c r="B43" s="813" t="s">
        <v>1801</v>
      </c>
      <c r="C43" s="814">
        <f ca="1">ROUND(C40*10000/F43,0)</f>
        <v>14133</v>
      </c>
      <c r="D43" s="815" t="s">
        <v>1802</v>
      </c>
      <c r="E43" s="816" t="s">
        <v>1803</v>
      </c>
      <c r="F43" s="817">
        <f ca="1">INDIRECT("'数据-取费表'!k"&amp;$G$1)</f>
        <v>169738.86999999997</v>
      </c>
      <c r="G43" s="1945"/>
      <c r="H43" s="1900"/>
      <c r="I43" s="836" t="s">
        <v>1813</v>
      </c>
      <c r="J43" s="837">
        <f ca="1">1-J42</f>
        <v>0.55499999999999994</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-269121</v>
      </c>
      <c r="D46" s="3262"/>
      <c r="E46" s="3262"/>
      <c r="F46" s="3262"/>
      <c r="I46" s="2233" t="s">
        <v>2328</v>
      </c>
      <c r="J46" s="2234"/>
      <c r="K46" s="2235"/>
      <c r="L46" s="2811">
        <f>IF(OR(M47="住宅",D1="土地（套用方法）"),0,IF(L48&gt;J51,L60,J60))</f>
        <v>0</v>
      </c>
      <c r="M46" s="3263"/>
      <c r="O46" s="2249" t="s">
        <v>2395</v>
      </c>
      <c r="P46" s="1526"/>
      <c r="Q46" s="1534"/>
      <c r="R46" s="1526"/>
    </row>
    <row r="47" spans="1:18" s="1942" customFormat="1" ht="18" customHeight="1" thickBot="1">
      <c r="A47" s="2227">
        <v>1</v>
      </c>
      <c r="B47" s="2228" t="s">
        <v>629</v>
      </c>
      <c r="C47" s="2426">
        <f ca="1">C48+C52+C54</f>
        <v>0</v>
      </c>
      <c r="D47" s="3262"/>
      <c r="E47" s="3262"/>
      <c r="F47" s="3262"/>
      <c r="I47" s="2802" t="s">
        <v>2329</v>
      </c>
      <c r="J47" s="2236" t="s">
        <v>3038</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f ca="1">ROUND(F48*F50*F49*(1-F51)/10000,0)</f>
        <v>0</v>
      </c>
      <c r="D48" s="2230" t="s">
        <v>630</v>
      </c>
      <c r="E48" s="2231" t="s">
        <v>2284</v>
      </c>
      <c r="F48" s="2232"/>
      <c r="G48" s="1972"/>
      <c r="I48" s="2799" t="s">
        <v>2330</v>
      </c>
      <c r="J48" s="2237" t="s">
        <v>2335</v>
      </c>
      <c r="K48" s="2809" t="s">
        <v>2336</v>
      </c>
      <c r="L48" s="1822">
        <f ca="1">INDIRECT("'数据-取费表'!f"&amp;$G$1)</f>
        <v>40</v>
      </c>
      <c r="M48" s="3263"/>
      <c r="O48" s="2253" t="s">
        <v>2364</v>
      </c>
      <c r="P48" s="2254" t="s">
        <v>2390</v>
      </c>
      <c r="Q48" s="2255">
        <f ca="1">C40+J29</f>
        <v>239889</v>
      </c>
      <c r="R48" s="2254" t="s">
        <v>2365</v>
      </c>
    </row>
    <row r="49" spans="1:18" s="1942" customFormat="1" ht="18" customHeight="1" thickBot="1">
      <c r="A49" s="776"/>
      <c r="B49" s="777"/>
      <c r="C49" s="778"/>
      <c r="D49" s="779"/>
      <c r="E49" s="774" t="s">
        <v>632</v>
      </c>
      <c r="F49" s="775">
        <f ca="1">F7</f>
        <v>169738.86999999997</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633</v>
      </c>
      <c r="F50" s="775">
        <f ca="1">F8</f>
        <v>365</v>
      </c>
      <c r="G50" s="1977"/>
      <c r="H50" s="1975"/>
      <c r="I50" s="2799" t="s">
        <v>2332</v>
      </c>
      <c r="J50" s="2806">
        <f>SUMPRODUCT((I63:I65=J47)*(J62:L62=J48)*(J63:L65))</f>
        <v>60</v>
      </c>
      <c r="K50" s="2810" t="s">
        <v>2338</v>
      </c>
      <c r="L50" s="2239"/>
      <c r="M50" s="3263"/>
      <c r="O50" s="2256" t="s">
        <v>2368</v>
      </c>
      <c r="P50" s="2254" t="s">
        <v>2392</v>
      </c>
      <c r="Q50" s="2255">
        <f ca="1">C29</f>
        <v>106851</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35713</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37</v>
      </c>
      <c r="K53" s="3567" t="s">
        <v>2932</v>
      </c>
      <c r="L53" s="3568"/>
      <c r="M53" s="3263"/>
      <c r="O53" s="2256" t="s">
        <v>2373</v>
      </c>
      <c r="P53" s="2254" t="s">
        <v>2374</v>
      </c>
      <c r="Q53" s="2255">
        <f ca="1">J53</f>
        <v>37</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2376</v>
      </c>
      <c r="P54" s="2254" t="s">
        <v>2393</v>
      </c>
      <c r="Q54" s="2255">
        <f ca="1">Q48+Q49</f>
        <v>239889</v>
      </c>
      <c r="R54" s="2258" t="s">
        <v>2377</v>
      </c>
    </row>
    <row r="55" spans="1:18" s="1942" customFormat="1" ht="18" customHeight="1" thickTop="1" thickBot="1">
      <c r="A55" s="787">
        <v>2</v>
      </c>
      <c r="B55" s="788" t="s">
        <v>638</v>
      </c>
      <c r="C55" s="789">
        <f ca="1">C13</f>
        <v>106851</v>
      </c>
      <c r="D55" s="785"/>
      <c r="E55" s="785"/>
      <c r="F55" s="790"/>
      <c r="I55" s="2816" t="s">
        <v>2340</v>
      </c>
      <c r="J55" s="2788" t="e">
        <f ca="1">ROUND(IF(J47="钢混",J57/J50,1-(1-2%)*(J50-J57)/J50),3)</f>
        <v>#VALUE!</v>
      </c>
      <c r="K55" s="2817" t="s">
        <v>2341</v>
      </c>
      <c r="L55" s="2241"/>
      <c r="M55" s="3263"/>
      <c r="O55" s="2259" t="s">
        <v>2396</v>
      </c>
      <c r="P55" s="1526"/>
      <c r="Q55" s="1534"/>
      <c r="R55" s="1526"/>
    </row>
    <row r="56" spans="1:18" s="1942" customFormat="1" ht="42.75" customHeight="1" thickBot="1">
      <c r="A56" s="1578"/>
      <c r="B56" s="2111" t="s">
        <v>2288</v>
      </c>
      <c r="C56" s="53">
        <f ca="1">C29</f>
        <v>106851</v>
      </c>
      <c r="D56" s="3281"/>
      <c r="E56" s="774"/>
      <c r="F56" s="799"/>
      <c r="I56" s="2818" t="s">
        <v>2342</v>
      </c>
      <c r="J56" s="2828" t="s">
        <v>1669</v>
      </c>
      <c r="K56" s="2799" t="s">
        <v>2347</v>
      </c>
      <c r="L56" s="1822" t="str">
        <f ca="1">IF(L48&lt;J51,"——",L48-J51)</f>
        <v>——</v>
      </c>
      <c r="M56" s="3263"/>
      <c r="O56" s="2250" t="s">
        <v>2360</v>
      </c>
      <c r="P56" s="2251" t="s">
        <v>2361</v>
      </c>
      <c r="Q56" s="2252" t="s">
        <v>2362</v>
      </c>
      <c r="R56" s="2251" t="s">
        <v>2363</v>
      </c>
    </row>
    <row r="57" spans="1:18" s="1942" customFormat="1" ht="28.5" customHeight="1" thickBot="1">
      <c r="A57" s="787" t="s">
        <v>7</v>
      </c>
      <c r="B57" s="788" t="s">
        <v>645</v>
      </c>
      <c r="C57" s="789">
        <f ca="1">ROUND(C58+C63+C64+C65,0)</f>
        <v>1865</v>
      </c>
      <c r="D57" s="26" t="s">
        <v>646</v>
      </c>
      <c r="E57" s="3283"/>
      <c r="F57" s="56"/>
      <c r="I57" s="2819" t="s">
        <v>2343</v>
      </c>
      <c r="J57" s="2820" t="str">
        <f ca="1">IF(OR(M47="住宅",J51&lt;L48,J56="是"),"——",J51-L48)</f>
        <v>——</v>
      </c>
      <c r="K57" s="2799" t="s">
        <v>2348</v>
      </c>
      <c r="L57" s="1822" t="str">
        <f ca="1">IF(L48&lt;J51,"——",IF(L55="比较法",L49,IF(L55="基准地价",L50,L51)))</f>
        <v>——</v>
      </c>
      <c r="M57" s="3263"/>
      <c r="O57" s="2253" t="s">
        <v>2364</v>
      </c>
      <c r="P57" s="2254" t="s">
        <v>2390</v>
      </c>
      <c r="Q57" s="2255">
        <f ca="1">C40+J29</f>
        <v>239889</v>
      </c>
      <c r="R57" s="2254" t="s">
        <v>2365</v>
      </c>
    </row>
    <row r="58" spans="1:18" s="1942" customFormat="1" ht="28.5" customHeight="1" thickBot="1">
      <c r="A58" s="1577" t="s">
        <v>1815</v>
      </c>
      <c r="B58" s="774" t="s">
        <v>650</v>
      </c>
      <c r="C58" s="3019">
        <f ca="1">ROUND(IF(AND(项目基本情况!B11="自然人",项目基本情况!B10="北京市"),C48*F58/(1+'数据-取费表'!C42),C59+C60+C61),0)</f>
        <v>102</v>
      </c>
      <c r="D58" s="3280" t="s">
        <v>651</v>
      </c>
      <c r="E58" s="32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f ca="1">L60</f>
        <v>0</v>
      </c>
      <c r="R58" s="2258" t="s">
        <v>2399</v>
      </c>
    </row>
    <row r="59" spans="1:18" s="1942" customFormat="1" ht="28.5" customHeight="1" thickBot="1">
      <c r="A59" s="1576" t="s">
        <v>1822</v>
      </c>
      <c r="B59" s="774" t="s">
        <v>654</v>
      </c>
      <c r="C59" s="53">
        <f ca="1">ROUND(C47*F59/1.05,1)</f>
        <v>0</v>
      </c>
      <c r="D59" s="3281" t="s">
        <v>655</v>
      </c>
      <c r="E59" s="774" t="s">
        <v>643</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6" t="s">
        <v>1823</v>
      </c>
      <c r="B60" s="774" t="s">
        <v>658</v>
      </c>
      <c r="C60" s="53">
        <f ca="1">IF(D60="按租金收入计税",ROUND(C47*F60,1),IF(D60="按房产原值计税",ROUND(C56*F60*0.7,1),INDIRECT("'数据-取费表'!Aj"&amp;$G$1)))</f>
        <v>0</v>
      </c>
      <c r="D60" s="3281" t="str">
        <f>D33</f>
        <v>按租金收入计税</v>
      </c>
      <c r="E60" s="774" t="s">
        <v>643</v>
      </c>
      <c r="F60" s="799">
        <f t="shared" si="0"/>
        <v>0.12</v>
      </c>
      <c r="I60" s="2821" t="s">
        <v>2346</v>
      </c>
      <c r="J60" s="2822" t="str">
        <f ca="1">IF(OR(M47="住宅",J51&lt;L48,J56="是"),"0",ROUND(J59/(1+J52)^J53,0))</f>
        <v>0</v>
      </c>
      <c r="K60" s="2823" t="s">
        <v>2351</v>
      </c>
      <c r="L60" s="2822">
        <f ca="1">IF(OR(M47="住宅",L48&lt;J51),0,ROUND(L57*(L58/L59-1),0))</f>
        <v>0</v>
      </c>
      <c r="M60" s="3263"/>
      <c r="O60" s="2256" t="s">
        <v>2369</v>
      </c>
      <c r="P60" s="2254" t="s">
        <v>2378</v>
      </c>
      <c r="Q60" s="2257">
        <f>L52</f>
        <v>0</v>
      </c>
      <c r="R60" s="2258"/>
    </row>
    <row r="61" spans="1:18" s="1942" customFormat="1" ht="18" customHeight="1" thickBot="1">
      <c r="A61" s="1579" t="s">
        <v>1824</v>
      </c>
      <c r="B61" s="339" t="s">
        <v>662</v>
      </c>
      <c r="C61" s="54">
        <f ca="1">ROUND(F61*F62/10000,1)</f>
        <v>102.3</v>
      </c>
      <c r="D61" s="803" t="s">
        <v>663</v>
      </c>
      <c r="E61" s="774" t="s">
        <v>664</v>
      </c>
      <c r="F61" s="632">
        <f t="shared" si="0"/>
        <v>18</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56854.100000000006</v>
      </c>
      <c r="I62" s="2824" t="s">
        <v>2352</v>
      </c>
      <c r="J62" s="2825" t="s">
        <v>2353</v>
      </c>
      <c r="K62" s="2825" t="s">
        <v>2354</v>
      </c>
      <c r="L62" s="2825" t="s">
        <v>2335</v>
      </c>
      <c r="M62" s="2826" t="s">
        <v>2911</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1602.8</v>
      </c>
      <c r="D63" s="3281" t="s">
        <v>685</v>
      </c>
      <c r="E63" s="774" t="s">
        <v>643</v>
      </c>
      <c r="F63" s="806">
        <f t="shared" ca="1" si="0"/>
        <v>1.4999999999999999E-2</v>
      </c>
      <c r="I63" s="2824" t="s">
        <v>2355</v>
      </c>
      <c r="J63" s="2825">
        <v>70</v>
      </c>
      <c r="K63" s="2825">
        <v>50</v>
      </c>
      <c r="L63" s="2825">
        <v>80</v>
      </c>
      <c r="M63" s="2827">
        <v>0.02</v>
      </c>
      <c r="O63" s="2253" t="s">
        <v>2376</v>
      </c>
      <c r="P63" s="2254" t="s">
        <v>2393</v>
      </c>
      <c r="Q63" s="2255">
        <f ca="1">Q57+Q58</f>
        <v>239889</v>
      </c>
      <c r="R63" s="2258" t="s">
        <v>2377</v>
      </c>
    </row>
    <row r="64" spans="1:18" s="1942" customFormat="1" ht="16.5" thickBot="1">
      <c r="A64" s="1577" t="s">
        <v>1881</v>
      </c>
      <c r="B64" s="774" t="s">
        <v>673</v>
      </c>
      <c r="C64" s="53">
        <f ca="1">ROUND(C55*F64,1)</f>
        <v>160.30000000000001</v>
      </c>
      <c r="D64" s="3281" t="s">
        <v>674</v>
      </c>
      <c r="E64" s="774" t="s">
        <v>643</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3281" t="s">
        <v>677</v>
      </c>
      <c r="E65" s="774" t="s">
        <v>643</v>
      </c>
      <c r="F65" s="784">
        <f t="shared" ca="1" si="0"/>
        <v>0.02</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-1865</v>
      </c>
      <c r="D66" s="3280" t="s">
        <v>694</v>
      </c>
      <c r="E66" s="3278"/>
      <c r="F66" s="809"/>
      <c r="K66" s="1968"/>
      <c r="O66" s="2253" t="s">
        <v>2364</v>
      </c>
      <c r="P66" s="2254" t="s">
        <v>2390</v>
      </c>
      <c r="Q66" s="2255">
        <f ca="1">C40+J29</f>
        <v>239889</v>
      </c>
      <c r="R66" s="2254" t="s">
        <v>2365</v>
      </c>
    </row>
    <row r="67" spans="1:18" s="1942" customFormat="1" ht="20.25" thickBot="1">
      <c r="A67" s="771" t="s">
        <v>1771</v>
      </c>
      <c r="B67" s="2112" t="s">
        <v>2289</v>
      </c>
      <c r="C67" s="773">
        <f ca="1">ROUND(C66*(1-((1+F69)/(1+F67))^F68)/(F67-F69),0)</f>
        <v>-29232</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702</v>
      </c>
      <c r="F68" s="811">
        <f ca="1">F41</f>
        <v>37</v>
      </c>
      <c r="O68" s="2256" t="s">
        <v>2368</v>
      </c>
      <c r="P68" s="2254" t="s">
        <v>2398</v>
      </c>
      <c r="Q68" s="2260">
        <f ca="1">L51</f>
        <v>35713</v>
      </c>
      <c r="R68" s="2261" t="s">
        <v>2401</v>
      </c>
    </row>
    <row r="69" spans="1:18" ht="20.25" thickBot="1">
      <c r="A69" s="780"/>
      <c r="B69" s="781"/>
      <c r="C69" s="782"/>
      <c r="D69" s="805"/>
      <c r="E69" s="774" t="s">
        <v>704</v>
      </c>
      <c r="F69" s="2226"/>
      <c r="O69" s="2256" t="s">
        <v>2369</v>
      </c>
      <c r="P69" s="2262" t="s">
        <v>2383</v>
      </c>
      <c r="Q69" s="2255">
        <f ca="1">ROUND(Q70-Q71*Q72,0)</f>
        <v>1887</v>
      </c>
      <c r="R69" s="2258"/>
    </row>
    <row r="70" spans="1:18" ht="15.75" thickBot="1">
      <c r="A70" s="812" t="s">
        <v>1778</v>
      </c>
      <c r="B70" s="813" t="s">
        <v>1801</v>
      </c>
      <c r="C70" s="814">
        <f ca="1">ROUND(C67*10000/F70,0)</f>
        <v>-1722</v>
      </c>
      <c r="D70" s="815" t="s">
        <v>1802</v>
      </c>
      <c r="E70" s="816" t="s">
        <v>1803</v>
      </c>
      <c r="F70" s="817">
        <f ca="1">F43</f>
        <v>169738.86999999997</v>
      </c>
      <c r="O70" s="2256" t="s">
        <v>2384</v>
      </c>
      <c r="P70" s="2262" t="s">
        <v>2385</v>
      </c>
      <c r="Q70" s="2255">
        <f ca="1">C39</f>
        <v>10969</v>
      </c>
      <c r="R70" s="2254" t="s">
        <v>2365</v>
      </c>
    </row>
    <row r="71" spans="1:18" ht="15.75" thickBot="1">
      <c r="O71" s="2256" t="s">
        <v>2386</v>
      </c>
      <c r="P71" s="2262" t="s">
        <v>2387</v>
      </c>
      <c r="Q71" s="2255">
        <f ca="1">C13</f>
        <v>106851</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239889</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xr:uid="{01FDE8A5-7E9B-48D6-8FBB-3E695D5B6639}">
      <formula1>项目类型</formula1>
    </dataValidation>
    <dataValidation type="list" allowBlank="1" showInputMessage="1" showErrorMessage="1" sqref="K19" xr:uid="{6390D41B-F0B9-418C-9533-F618499FEEF5}">
      <formula1>"按租金收入计税,按房产原值计税"</formula1>
    </dataValidation>
    <dataValidation type="list" allowBlank="1" showInputMessage="1" showErrorMessage="1" sqref="D33" xr:uid="{0464C445-E8C8-4BFC-BD89-5F7ECE8C5976}">
      <formula1>"按租金收入计税,按房产原值计税,按票据"</formula1>
    </dataValidation>
    <dataValidation type="list" allowBlank="1" showInputMessage="1" showErrorMessage="1" sqref="J56" xr:uid="{500DB4B8-13F9-47E2-B02C-0D8B1EE2769A}">
      <formula1>判定</formula1>
    </dataValidation>
    <dataValidation type="list" allowBlank="1" showInputMessage="1" showErrorMessage="1" sqref="J47" xr:uid="{4DBC97ED-3B66-41E7-A3FB-B9958974F470}">
      <formula1>"钢,钢混,砖混"</formula1>
    </dataValidation>
    <dataValidation type="list" allowBlank="1" showInputMessage="1" showErrorMessage="1" sqref="J48" xr:uid="{F56C9B34-D807-443D-9D71-D6EA903CA7D5}">
      <formula1>"非生产用房,生产用房,受腐蚀的生产用房"</formula1>
    </dataValidation>
    <dataValidation type="list" allowBlank="1" showInputMessage="1" showErrorMessage="1" sqref="F10 M10 F52" xr:uid="{E454DA48-9A06-4E39-BADB-B67D8CAB9DD3}">
      <formula1>"押一,押二,押三,自定义"</formula1>
    </dataValidation>
    <dataValidation type="list" allowBlank="1" showInputMessage="1" showErrorMessage="1" sqref="D1" xr:uid="{A87993C8-DC42-4653-A5DD-B994FD977DFD}">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D20" sqref="D2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3039</v>
      </c>
      <c r="E1" s="2242" t="s">
        <v>2359</v>
      </c>
      <c r="F1" s="2243">
        <f ca="1">J53</f>
        <v>37</v>
      </c>
      <c r="G1" s="3259">
        <f>MATCH(C1,'数据-取费表'!A6:A16,0)+5</f>
        <v>9</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12302</v>
      </c>
      <c r="C2" s="3264"/>
      <c r="D2" s="3265"/>
      <c r="E2" s="3266"/>
      <c r="F2" s="3266"/>
      <c r="G2" s="3260"/>
      <c r="H2" s="1940"/>
      <c r="I2" s="1940"/>
      <c r="J2" s="1940"/>
      <c r="K2" s="1941"/>
      <c r="L2" s="1940"/>
      <c r="M2" s="1940"/>
    </row>
    <row r="3" spans="1:33" ht="18" customHeight="1" thickBot="1">
      <c r="A3" s="822" t="s">
        <v>1718</v>
      </c>
      <c r="B3" s="823">
        <f ca="1">IF(ISERROR(B2*10000/F43),0,ROUND(B2*10000/F43,0))</f>
        <v>2105</v>
      </c>
      <c r="C3" s="3264"/>
      <c r="D3" s="3265"/>
      <c r="E3" s="3266"/>
      <c r="F3" s="3266"/>
      <c r="G3" s="3260"/>
      <c r="H3" s="766" t="s">
        <v>689</v>
      </c>
      <c r="I3" s="1316"/>
      <c r="J3" s="1316"/>
      <c r="K3" s="1525"/>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902</v>
      </c>
      <c r="D5" s="2349" t="s">
        <v>2443</v>
      </c>
      <c r="E5" s="2343"/>
      <c r="F5" s="2344"/>
      <c r="G5" s="1945"/>
      <c r="H5" s="771">
        <v>1</v>
      </c>
      <c r="I5" s="772" t="s">
        <v>2440</v>
      </c>
      <c r="J5" s="55">
        <f ca="1">J6+J10+J12</f>
        <v>0</v>
      </c>
      <c r="K5" s="2349" t="s">
        <v>2443</v>
      </c>
      <c r="L5" s="2343"/>
      <c r="M5" s="2344"/>
    </row>
    <row r="6" spans="1:33" ht="18" customHeight="1">
      <c r="A6" s="1745" t="s">
        <v>1815</v>
      </c>
      <c r="B6" s="3561" t="s">
        <v>2445</v>
      </c>
      <c r="C6" s="773">
        <f ca="1">ROUND(F6*F8*F7*(1-F9)/10000,0)</f>
        <v>902</v>
      </c>
      <c r="D6" s="2350" t="s">
        <v>2444</v>
      </c>
      <c r="E6" s="774" t="s">
        <v>1729</v>
      </c>
      <c r="F6" s="775">
        <f ca="1">INDIRECT("'数据-取费表'!u"&amp;$G$1)</f>
        <v>500</v>
      </c>
      <c r="G6" s="1945"/>
      <c r="H6" s="2357" t="s">
        <v>2450</v>
      </c>
      <c r="I6" s="3561" t="s">
        <v>2445</v>
      </c>
      <c r="J6" s="773">
        <f ca="1">ROUND(M6*M8*M7*(1-M9)/10000,0)</f>
        <v>0</v>
      </c>
      <c r="K6" s="339" t="s">
        <v>1728</v>
      </c>
      <c r="L6" s="774" t="s">
        <v>1729</v>
      </c>
      <c r="M6" s="775">
        <f ca="1">INDIRECT("'数据-取费表'!z"&amp;$G$1)</f>
        <v>0</v>
      </c>
    </row>
    <row r="7" spans="1:33" ht="18" customHeight="1">
      <c r="A7" s="2353"/>
      <c r="B7" s="3562"/>
      <c r="C7" s="778"/>
      <c r="D7" s="779"/>
      <c r="E7" s="774" t="s">
        <v>1730</v>
      </c>
      <c r="F7" s="775">
        <f ca="1">IF(INDIRECT("'数据-取费表'!ah"&amp;$G$1)="",INDIRECT("'数据-取费表'!k"&amp;$G$1),INDIRECT("'数据-取费表'!ah"&amp;$G$1))</f>
        <v>1670</v>
      </c>
      <c r="G7" s="1945"/>
      <c r="H7" s="2342"/>
      <c r="I7" s="3562"/>
      <c r="J7" s="778"/>
      <c r="K7" s="779"/>
      <c r="L7" s="774" t="s">
        <v>1730</v>
      </c>
      <c r="M7" s="775">
        <f ca="1">F7</f>
        <v>1670</v>
      </c>
    </row>
    <row r="8" spans="1:33" ht="18" customHeight="1">
      <c r="A8" s="2346"/>
      <c r="B8" s="3563"/>
      <c r="C8" s="778"/>
      <c r="D8" s="779"/>
      <c r="E8" s="774" t="s">
        <v>1731</v>
      </c>
      <c r="F8" s="775">
        <f ca="1">INDIRECT("'数据-取费表'!ai"&amp;$G$1)</f>
        <v>12</v>
      </c>
      <c r="G8" s="1945"/>
      <c r="H8" s="2342"/>
      <c r="I8" s="3563"/>
      <c r="J8" s="778"/>
      <c r="K8" s="779"/>
      <c r="L8" s="774" t="s">
        <v>1731</v>
      </c>
      <c r="M8" s="775">
        <f ca="1">INDIRECT("'数据-取费表'!ai"&amp;$G$1)</f>
        <v>12</v>
      </c>
    </row>
    <row r="9" spans="1:33" ht="18" customHeight="1">
      <c r="A9" s="776"/>
      <c r="B9" s="3564"/>
      <c r="C9" s="778"/>
      <c r="D9" s="779"/>
      <c r="E9" s="774" t="s">
        <v>1732</v>
      </c>
      <c r="F9" s="784">
        <f ca="1">INDIRECT("'数据-取费表'!w"&amp;$G$1)</f>
        <v>0.1</v>
      </c>
      <c r="G9" s="1945"/>
      <c r="H9" s="2358"/>
      <c r="I9" s="3563"/>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t="s">
        <v>3040</v>
      </c>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24335</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17794</v>
      </c>
      <c r="D14" s="1893" t="s">
        <v>1736</v>
      </c>
      <c r="E14" s="1894"/>
      <c r="F14" s="795"/>
      <c r="G14" s="1945"/>
      <c r="H14" s="1577" t="s">
        <v>1821</v>
      </c>
      <c r="I14" s="2111" t="s">
        <v>2806</v>
      </c>
      <c r="J14" s="53">
        <f ca="1">C29</f>
        <v>24335</v>
      </c>
      <c r="K14" s="26"/>
      <c r="L14" s="791"/>
      <c r="M14" s="792"/>
    </row>
    <row r="15" spans="1:33" s="1947" customFormat="1" ht="18" customHeight="1" thickBot="1">
      <c r="A15" s="1576" t="s">
        <v>1876</v>
      </c>
      <c r="B15" s="774" t="s">
        <v>641</v>
      </c>
      <c r="C15" s="53">
        <f ca="1">ROUND(C14*F15,0)</f>
        <v>534</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2201</v>
      </c>
      <c r="K16" s="1736" t="s">
        <v>1741</v>
      </c>
      <c r="L16" s="2339"/>
      <c r="M16" s="2344"/>
    </row>
    <row r="17" spans="1:33" s="1947" customFormat="1" ht="18" customHeight="1">
      <c r="A17" s="1576" t="s">
        <v>1878</v>
      </c>
      <c r="B17" s="774" t="s">
        <v>647</v>
      </c>
      <c r="C17" s="53">
        <f ca="1">ROUND(F17*(F43+INDIRECT("'数据-取费表'!S"&amp;$G$1))/10000,0)</f>
        <v>1423</v>
      </c>
      <c r="D17" s="774" t="s">
        <v>1742</v>
      </c>
      <c r="E17" s="774" t="s">
        <v>1743</v>
      </c>
      <c r="F17" s="56">
        <f>'数据-取费表'!B35</f>
        <v>200</v>
      </c>
      <c r="G17" s="3261"/>
      <c r="H17" s="1577" t="s">
        <v>1821</v>
      </c>
      <c r="I17" s="774" t="s">
        <v>650</v>
      </c>
      <c r="J17" s="3019">
        <f ca="1">ROUND(IF(AND(项目基本情况!B11="自然人",项目基本情况!B10="北京市"),J6*M17/(1+'数据-取费表'!C42),J18+J19+J20),0)</f>
        <v>2079</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267</v>
      </c>
      <c r="D18" s="774" t="s">
        <v>1737</v>
      </c>
      <c r="E18" s="774" t="s">
        <v>1738</v>
      </c>
      <c r="F18" s="799">
        <f>'数据-取费表'!B36</f>
        <v>1.4999999999999999E-2</v>
      </c>
      <c r="G18" s="3261"/>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20018</v>
      </c>
      <c r="D19" s="259" t="s">
        <v>1748</v>
      </c>
      <c r="E19" s="1896"/>
      <c r="F19" s="56"/>
      <c r="G19" s="1945"/>
      <c r="H19" s="1576" t="s">
        <v>1876</v>
      </c>
      <c r="I19" s="774" t="s">
        <v>1749</v>
      </c>
      <c r="J19" s="53">
        <f ca="1">IF(K19="按租金收入计税",ROUND(J6*M19/(1+'数据-取费表'!C42),1),ROUND(C29*F33*0.7,1))</f>
        <v>2044.1</v>
      </c>
      <c r="K19" s="800" t="s">
        <v>659</v>
      </c>
      <c r="L19" s="774" t="s">
        <v>1738</v>
      </c>
      <c r="M19" s="799">
        <f>IF(K19="按租金收入计税",'数据-取费表'!B51,'数据-取费表'!B50)</f>
        <v>1.2E-2</v>
      </c>
    </row>
    <row r="20" spans="1:33" s="1947" customFormat="1" ht="18" customHeight="1">
      <c r="A20" s="1577" t="s">
        <v>1880</v>
      </c>
      <c r="B20" s="774" t="s">
        <v>660</v>
      </c>
      <c r="C20" s="53">
        <f ca="1">ROUND(C19*F20,0)</f>
        <v>400</v>
      </c>
      <c r="D20" s="801" t="s">
        <v>1750</v>
      </c>
      <c r="E20" s="774" t="s">
        <v>1738</v>
      </c>
      <c r="F20" s="799">
        <f>'数据-取费表'!B37</f>
        <v>0.02</v>
      </c>
      <c r="G20" s="3261"/>
      <c r="H20" s="1579" t="s">
        <v>1871</v>
      </c>
      <c r="I20" s="339" t="s">
        <v>1751</v>
      </c>
      <c r="J20" s="54">
        <f ca="1">ROUND(M20*M21/10000,0)</f>
        <v>35</v>
      </c>
      <c r="K20" s="803" t="s">
        <v>1752</v>
      </c>
      <c r="L20" s="774" t="s">
        <v>1753</v>
      </c>
      <c r="M20" s="632">
        <f>'数据-取费表'!B52</f>
        <v>18</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19577.849999999999</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122</v>
      </c>
      <c r="K22" s="2337" t="s">
        <v>1760</v>
      </c>
      <c r="L22" s="774" t="s">
        <v>1738</v>
      </c>
      <c r="M22" s="806">
        <f ca="1">INDIRECT("'数据-取费表'!Ak"&amp;$G$1)</f>
        <v>5.0000000000000001E-3</v>
      </c>
    </row>
    <row r="23" spans="1:33" s="1947" customFormat="1" ht="18" customHeight="1">
      <c r="A23" s="1576" t="s">
        <v>1822</v>
      </c>
      <c r="B23" s="774" t="s">
        <v>2517</v>
      </c>
      <c r="C23" s="53">
        <f ca="1">ROUND(IF('数据-取费表'!B22&lt;=1,(C19+C20)*F24*F23/2,(C19+C20)*(POWER((1+F24),F23/2)-1)),0)</f>
        <v>1472</v>
      </c>
      <c r="D23" s="2423" t="str">
        <f>IF(F23&lt;=1,"(建造成本+管理费用)×利率×(建设周期÷2)","(建造成本+管理费用)×((1+利率)^(建设周期÷2)-1)")</f>
        <v>(建造成本+管理费用)×((1+利率)^(建设周期÷2)-1)</v>
      </c>
      <c r="E23" s="774" t="s">
        <v>1761</v>
      </c>
      <c r="F23" s="632">
        <f>'数据-取费表'!B20</f>
        <v>3</v>
      </c>
      <c r="G23" s="3261"/>
      <c r="H23" s="1577" t="s">
        <v>1881</v>
      </c>
      <c r="I23" s="774" t="s">
        <v>673</v>
      </c>
      <c r="J23" s="53">
        <f ca="1">ROUND(J13*M23,0)</f>
        <v>0</v>
      </c>
      <c r="K23" s="2337" t="s">
        <v>1762</v>
      </c>
      <c r="L23" s="774" t="s">
        <v>1738</v>
      </c>
      <c r="M23" s="807">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1.4E-3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-2201</v>
      </c>
      <c r="K25" s="2401" t="s">
        <v>1768</v>
      </c>
      <c r="L25" s="2402"/>
      <c r="M25" s="2403"/>
    </row>
    <row r="26" spans="1:33" ht="18" customHeight="1">
      <c r="A26" s="1576" t="s">
        <v>1822</v>
      </c>
      <c r="B26" s="774" t="s">
        <v>2422</v>
      </c>
      <c r="C26" s="53">
        <f ca="1">ROUND((C19+C20)*F26,0)</f>
        <v>613</v>
      </c>
      <c r="D26" s="801" t="s">
        <v>1769</v>
      </c>
      <c r="E26" s="785" t="s">
        <v>1770</v>
      </c>
      <c r="F26" s="784">
        <f ca="1">INDIRECT("'数据-取费表'!q"&amp;$G$1)</f>
        <v>0.03</v>
      </c>
      <c r="G26" s="1945"/>
      <c r="H26" s="2355" t="s">
        <v>1771</v>
      </c>
      <c r="I26" s="2112" t="s">
        <v>2807</v>
      </c>
      <c r="J26" s="773">
        <f ca="1">IF(J5&lt;&gt;0,ROUND(J25*(1-((1+M28)/(1+M26))^M27)/(M26-M28),0),0)</f>
        <v>0</v>
      </c>
      <c r="K26" s="803" t="s">
        <v>1772</v>
      </c>
      <c r="L26" s="774" t="s">
        <v>2404</v>
      </c>
      <c r="M26" s="784">
        <f ca="1">INDIRECT("'数据-取费表'!I"&amp;$G$1)</f>
        <v>0.05</v>
      </c>
    </row>
    <row r="27" spans="1:33" ht="18" customHeight="1">
      <c r="A27" s="1576" t="s">
        <v>1823</v>
      </c>
      <c r="B27" s="774" t="s">
        <v>680</v>
      </c>
      <c r="C27" s="53">
        <f ca="1">ROUND(F21*F26,4)</f>
        <v>5.9999999999999995E-4</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24335</v>
      </c>
      <c r="D29" s="2398"/>
      <c r="E29" s="2399"/>
      <c r="F29" s="2400"/>
      <c r="G29" s="3261"/>
      <c r="H29" s="812" t="s">
        <v>1778</v>
      </c>
      <c r="I29" s="813" t="s">
        <v>1779</v>
      </c>
      <c r="J29" s="814">
        <f ca="1">ROUND(J26/(1+F40)^F41,0)</f>
        <v>0</v>
      </c>
      <c r="K29" s="815" t="s">
        <v>1780</v>
      </c>
      <c r="L29" s="816"/>
      <c r="M29" s="817">
        <f ca="1">INDIRECT("'数据-取费表'!k"&amp;$G$1)</f>
        <v>58450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341</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186</v>
      </c>
      <c r="D31" s="1893" t="s">
        <v>1783</v>
      </c>
      <c r="E31" s="1891" t="s">
        <v>1784</v>
      </c>
      <c r="F31" s="3018" t="str">
        <f>IF(项目基本情况!B11="企业","——",IF('数据-取费表'!B10="住宅",IF(F6*F7*F8/12/(1+'数据-取费表'!F30)&gt;100000,4%,2.5%),IF(F6*F7*F8/12/(1+'数据-取费表'!F30)&gt;100000,12%,7%)))</f>
        <v>——</v>
      </c>
      <c r="G31" s="1945"/>
      <c r="H31" s="3258" t="s">
        <v>2998</v>
      </c>
      <c r="I31" s="1949"/>
      <c r="J31" s="1950"/>
      <c r="K31" s="1951"/>
      <c r="L31" s="1952"/>
      <c r="M31" s="1953"/>
    </row>
    <row r="32" spans="1:33" ht="18" customHeight="1">
      <c r="A32" s="1576" t="s">
        <v>1822</v>
      </c>
      <c r="B32" s="774" t="s">
        <v>1785</v>
      </c>
      <c r="C32" s="53">
        <f ca="1">ROUND(C6*F32/(1+'数据-取费表'!C42),1)</f>
        <v>48.1</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103.1</v>
      </c>
      <c r="D33" s="800" t="s">
        <v>3041</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35.200000000000003</v>
      </c>
      <c r="D34" s="803" t="s">
        <v>1790</v>
      </c>
      <c r="E34" s="774" t="s">
        <v>1791</v>
      </c>
      <c r="F34" s="632">
        <f>'数据-取费表'!B52</f>
        <v>18</v>
      </c>
      <c r="G34" s="1945"/>
      <c r="H34" s="1948"/>
      <c r="I34" s="824" t="s">
        <v>1804</v>
      </c>
      <c r="J34" s="825"/>
      <c r="K34" s="1963"/>
      <c r="L34" s="1962"/>
      <c r="M34" s="1962"/>
    </row>
    <row r="35" spans="1:18" ht="18" customHeight="1">
      <c r="A35" s="804"/>
      <c r="B35" s="783"/>
      <c r="C35" s="69"/>
      <c r="D35" s="805"/>
      <c r="E35" s="774" t="s">
        <v>1792</v>
      </c>
      <c r="F35" s="775">
        <f ca="1">INDIRECT("'数据-取费表'!r"&amp;$G$1)</f>
        <v>19577.849999999999</v>
      </c>
      <c r="G35" s="1945"/>
      <c r="H35" s="1948"/>
      <c r="I35" s="826" t="s">
        <v>1805</v>
      </c>
      <c r="J35" s="827">
        <f ca="1">ROUND(C13*J36,0)</f>
        <v>2068</v>
      </c>
      <c r="K35" s="1961"/>
      <c r="L35" s="1960"/>
      <c r="M35" s="1960"/>
    </row>
    <row r="36" spans="1:18" ht="18" customHeight="1">
      <c r="A36" s="1577" t="s">
        <v>1880</v>
      </c>
      <c r="B36" s="774" t="s">
        <v>1793</v>
      </c>
      <c r="C36" s="53">
        <f ca="1">ROUND(C29*F36,1)</f>
        <v>121.7</v>
      </c>
      <c r="D36" s="1891" t="s">
        <v>1794</v>
      </c>
      <c r="E36" s="774" t="s">
        <v>1787</v>
      </c>
      <c r="F36" s="806">
        <f ca="1">INDIRECT("'数据-取费表'!Ak"&amp;$G$1)</f>
        <v>5.0000000000000001E-3</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24.3</v>
      </c>
      <c r="D37" s="1891" t="s">
        <v>1795</v>
      </c>
      <c r="E37" s="774" t="s">
        <v>1787</v>
      </c>
      <c r="F37" s="807">
        <f ca="1">INDIRECT("'数据-取费表'!Al"&amp;$G$1)</f>
        <v>1E-3</v>
      </c>
      <c r="G37" s="1945"/>
      <c r="H37" s="1960"/>
      <c r="I37" s="830" t="s">
        <v>1807</v>
      </c>
      <c r="J37" s="831"/>
      <c r="K37" s="1964"/>
      <c r="L37" s="1960"/>
      <c r="M37" s="1960"/>
    </row>
    <row r="38" spans="1:18" ht="18" customHeight="1" thickBot="1">
      <c r="A38" s="2404" t="s">
        <v>1882</v>
      </c>
      <c r="B38" s="2399" t="s">
        <v>660</v>
      </c>
      <c r="C38" s="2397">
        <f ca="1">ROUND(C5*F38,1)</f>
        <v>9</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561</v>
      </c>
      <c r="D39" s="2401" t="s">
        <v>1797</v>
      </c>
      <c r="E39" s="2402"/>
      <c r="F39" s="2403"/>
      <c r="G39" s="1945"/>
      <c r="H39" s="1960"/>
      <c r="I39" s="826" t="s">
        <v>1809</v>
      </c>
      <c r="J39" s="834">
        <f ca="1">ROUND(J35/C39,3)</f>
        <v>3.6859999999999999</v>
      </c>
      <c r="K39" s="1965"/>
      <c r="L39" s="1960"/>
      <c r="M39" s="1960"/>
    </row>
    <row r="40" spans="1:18" ht="18" customHeight="1">
      <c r="A40" s="771" t="s">
        <v>1886</v>
      </c>
      <c r="B40" s="2112" t="s">
        <v>2289</v>
      </c>
      <c r="C40" s="773">
        <f ca="1">ROUND(C39*(1-((1+F42)/(1+F40))^F41)/(F40-F42),0)</f>
        <v>12302</v>
      </c>
      <c r="D40" s="803" t="s">
        <v>1798</v>
      </c>
      <c r="E40" s="774" t="s">
        <v>2404</v>
      </c>
      <c r="F40" s="784">
        <f ca="1">INDIRECT("'数据-取费表'!I"&amp;$G$1)</f>
        <v>0.05</v>
      </c>
      <c r="G40" s="1945"/>
      <c r="H40" s="1945"/>
      <c r="I40" s="826" t="s">
        <v>1810</v>
      </c>
      <c r="J40" s="834">
        <f ca="1">1-J39</f>
        <v>-2.6859999999999999</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37</v>
      </c>
      <c r="G41" s="1945"/>
      <c r="H41" s="1900"/>
      <c r="I41" s="832" t="s">
        <v>1811</v>
      </c>
      <c r="J41" s="835"/>
      <c r="K41" s="1964"/>
      <c r="L41" s="1900"/>
      <c r="M41" s="1900"/>
    </row>
    <row r="42" spans="1:18" ht="18" customHeight="1">
      <c r="A42" s="780"/>
      <c r="B42" s="781"/>
      <c r="C42" s="782"/>
      <c r="D42" s="805"/>
      <c r="E42" s="774" t="s">
        <v>1800</v>
      </c>
      <c r="F42" s="784">
        <f ca="1">INDIRECT("'数据-取费表'!v"&amp;$G$1)</f>
        <v>0.02</v>
      </c>
      <c r="G42" s="1945"/>
      <c r="H42" s="1900"/>
      <c r="I42" s="836" t="s">
        <v>1812</v>
      </c>
      <c r="J42" s="834">
        <f ca="1">ROUND(C13/C40,3)</f>
        <v>1.978</v>
      </c>
      <c r="K42" s="1964"/>
      <c r="L42" s="1900"/>
      <c r="M42" s="1900"/>
    </row>
    <row r="43" spans="1:18" ht="18" customHeight="1" thickBot="1">
      <c r="A43" s="812" t="s">
        <v>1778</v>
      </c>
      <c r="B43" s="813" t="s">
        <v>1801</v>
      </c>
      <c r="C43" s="814">
        <f ca="1">ROUND(C40*10000/F43,0)</f>
        <v>2105</v>
      </c>
      <c r="D43" s="815" t="s">
        <v>1802</v>
      </c>
      <c r="E43" s="816" t="s">
        <v>1803</v>
      </c>
      <c r="F43" s="817">
        <f ca="1">INDIRECT("'数据-取费表'!k"&amp;$G$1)</f>
        <v>58450</v>
      </c>
      <c r="G43" s="1945"/>
      <c r="H43" s="1900"/>
      <c r="I43" s="836" t="s">
        <v>1813</v>
      </c>
      <c r="J43" s="837">
        <f ca="1">1-J42</f>
        <v>-0.97799999999999998</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-15327</v>
      </c>
      <c r="D46" s="3262"/>
      <c r="E46" s="3262"/>
      <c r="F46" s="3262"/>
      <c r="I46" s="2233" t="s">
        <v>2328</v>
      </c>
      <c r="J46" s="2234"/>
      <c r="K46" s="2235"/>
      <c r="L46" s="2811">
        <f>IF(OR(M47="住宅",D1="土地（套用方法）"),0,IF(L48&gt;J51,L60,J60))</f>
        <v>0</v>
      </c>
      <c r="M46" s="3263"/>
      <c r="O46" s="2249" t="s">
        <v>2395</v>
      </c>
      <c r="P46" s="1526"/>
      <c r="Q46" s="1534"/>
      <c r="R46" s="1526"/>
    </row>
    <row r="47" spans="1:18" s="1942" customFormat="1" ht="18" customHeight="1" thickBot="1">
      <c r="A47" s="2227">
        <v>1</v>
      </c>
      <c r="B47" s="2228" t="s">
        <v>629</v>
      </c>
      <c r="C47" s="2426">
        <f ca="1">C48+C52+C54</f>
        <v>0</v>
      </c>
      <c r="D47" s="3262"/>
      <c r="E47" s="3262"/>
      <c r="F47" s="3262"/>
      <c r="I47" s="2802" t="s">
        <v>2329</v>
      </c>
      <c r="J47" s="2236" t="s">
        <v>3038</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40</v>
      </c>
      <c r="M48" s="3263"/>
      <c r="O48" s="2253" t="s">
        <v>2364</v>
      </c>
      <c r="P48" s="2254" t="s">
        <v>2390</v>
      </c>
      <c r="Q48" s="2255">
        <f ca="1">C40+J29</f>
        <v>12302</v>
      </c>
      <c r="R48" s="2254" t="s">
        <v>2365</v>
      </c>
    </row>
    <row r="49" spans="1:18" s="1942" customFormat="1" ht="18" customHeight="1" thickBot="1">
      <c r="A49" s="776"/>
      <c r="B49" s="777"/>
      <c r="C49" s="778"/>
      <c r="D49" s="779"/>
      <c r="E49" s="774" t="s">
        <v>1730</v>
      </c>
      <c r="F49" s="775">
        <f ca="1">F7</f>
        <v>1670</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12</v>
      </c>
      <c r="G50" s="1977"/>
      <c r="H50" s="1975"/>
      <c r="I50" s="2799" t="s">
        <v>2332</v>
      </c>
      <c r="J50" s="2806">
        <f>SUMPRODUCT((I63:I65=J47)*(J62:L62=J48)*(J63:L65))</f>
        <v>60</v>
      </c>
      <c r="K50" s="2810" t="s">
        <v>2338</v>
      </c>
      <c r="L50" s="2239"/>
      <c r="M50" s="3263"/>
      <c r="O50" s="2256" t="s">
        <v>2368</v>
      </c>
      <c r="P50" s="2254" t="s">
        <v>2392</v>
      </c>
      <c r="Q50" s="2255">
        <f ca="1">C29</f>
        <v>24335</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-90449</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37</v>
      </c>
      <c r="K53" s="3567" t="s">
        <v>2932</v>
      </c>
      <c r="L53" s="3568"/>
      <c r="M53" s="3263"/>
      <c r="O53" s="2256" t="s">
        <v>2373</v>
      </c>
      <c r="P53" s="2254" t="s">
        <v>2374</v>
      </c>
      <c r="Q53" s="2255">
        <f ca="1">J53</f>
        <v>37</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2376</v>
      </c>
      <c r="P54" s="2254" t="s">
        <v>2393</v>
      </c>
      <c r="Q54" s="2255">
        <f ca="1">Q48+Q49</f>
        <v>12302</v>
      </c>
      <c r="R54" s="2258" t="s">
        <v>2377</v>
      </c>
    </row>
    <row r="55" spans="1:18" s="1942" customFormat="1" ht="18" customHeight="1" thickTop="1" thickBot="1">
      <c r="A55" s="787">
        <v>2</v>
      </c>
      <c r="B55" s="788" t="s">
        <v>638</v>
      </c>
      <c r="C55" s="789">
        <f ca="1">C13</f>
        <v>24335</v>
      </c>
      <c r="D55" s="785"/>
      <c r="E55" s="785"/>
      <c r="F55" s="790"/>
      <c r="I55" s="2816" t="s">
        <v>2340</v>
      </c>
      <c r="J55" s="2788" t="e">
        <f ca="1">ROUND(IF(J47="钢混",J57/J50,1-(1-2%)*(J50-J57)/J50),3)</f>
        <v>#VALUE!</v>
      </c>
      <c r="K55" s="2817" t="s">
        <v>2341</v>
      </c>
      <c r="L55" s="2241"/>
      <c r="M55" s="3263"/>
      <c r="O55" s="2259" t="s">
        <v>2396</v>
      </c>
      <c r="P55" s="1526"/>
      <c r="Q55" s="1534"/>
      <c r="R55" s="1526"/>
    </row>
    <row r="56" spans="1:18" s="1942" customFormat="1" ht="42.75" customHeight="1" thickBot="1">
      <c r="A56" s="1578"/>
      <c r="B56" s="2111" t="s">
        <v>2290</v>
      </c>
      <c r="C56" s="53">
        <f ca="1">C29</f>
        <v>24335</v>
      </c>
      <c r="D56" s="2481"/>
      <c r="E56" s="774"/>
      <c r="F56" s="799"/>
      <c r="I56" s="2818" t="s">
        <v>2342</v>
      </c>
      <c r="J56" s="2828" t="s">
        <v>1669</v>
      </c>
      <c r="K56" s="2799" t="s">
        <v>2347</v>
      </c>
      <c r="L56" s="1822" t="str">
        <f ca="1">IF(L48&lt;J51,"——",L48-J51)</f>
        <v>——</v>
      </c>
      <c r="M56" s="3263"/>
      <c r="O56" s="2250" t="s">
        <v>2360</v>
      </c>
      <c r="P56" s="2251" t="s">
        <v>2361</v>
      </c>
      <c r="Q56" s="2252" t="s">
        <v>2362</v>
      </c>
      <c r="R56" s="2251" t="s">
        <v>2363</v>
      </c>
    </row>
    <row r="57" spans="1:18" s="1942" customFormat="1" ht="28.5" customHeight="1" thickBot="1">
      <c r="A57" s="787" t="s">
        <v>1739</v>
      </c>
      <c r="B57" s="788" t="s">
        <v>645</v>
      </c>
      <c r="C57" s="789">
        <f ca="1">ROUND(C58+C63+C64+C65,0)</f>
        <v>181</v>
      </c>
      <c r="D57" s="26" t="s">
        <v>1741</v>
      </c>
      <c r="E57" s="2482"/>
      <c r="F57" s="56"/>
      <c r="I57" s="2819" t="s">
        <v>2343</v>
      </c>
      <c r="J57" s="2820" t="str">
        <f ca="1">IF(OR(M47="住宅",J51&lt;L48,J56="是"),"——",J51-L48)</f>
        <v>——</v>
      </c>
      <c r="K57" s="2799" t="s">
        <v>2348</v>
      </c>
      <c r="L57" s="1822" t="str">
        <f ca="1">IF(L48&lt;J51,"——",IF(L55="比较法",L49,IF(L55="基准地价",L50,L51)))</f>
        <v>——</v>
      </c>
      <c r="M57" s="3263"/>
      <c r="O57" s="2253" t="s">
        <v>2364</v>
      </c>
      <c r="P57" s="2254" t="s">
        <v>2394</v>
      </c>
      <c r="Q57" s="2255">
        <f ca="1">C40+J29</f>
        <v>12302</v>
      </c>
      <c r="R57" s="2254" t="s">
        <v>2365</v>
      </c>
    </row>
    <row r="58" spans="1:18" s="1942" customFormat="1" ht="28.5" customHeight="1" thickBot="1">
      <c r="A58" s="1577" t="s">
        <v>1815</v>
      </c>
      <c r="B58" s="774" t="s">
        <v>650</v>
      </c>
      <c r="C58" s="3019">
        <f ca="1">ROUND(IF(AND(项目基本情况!B11="自然人",项目基本情况!B10="北京市"),C48*F58/(1+'数据-取费表'!C42),C59+C60+C61),0)</f>
        <v>35</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6" t="s">
        <v>2369</v>
      </c>
      <c r="P60" s="2254" t="s">
        <v>2378</v>
      </c>
      <c r="Q60" s="2257">
        <f>L52</f>
        <v>0</v>
      </c>
      <c r="R60" s="2258"/>
    </row>
    <row r="61" spans="1:18" s="1942" customFormat="1" ht="18" customHeight="1" thickBot="1">
      <c r="A61" s="1579" t="s">
        <v>1824</v>
      </c>
      <c r="B61" s="339" t="s">
        <v>662</v>
      </c>
      <c r="C61" s="54">
        <f ca="1">ROUND(F61*F62/10000,1)</f>
        <v>35.200000000000003</v>
      </c>
      <c r="D61" s="803" t="s">
        <v>663</v>
      </c>
      <c r="E61" s="774" t="s">
        <v>664</v>
      </c>
      <c r="F61" s="632">
        <f t="shared" si="0"/>
        <v>18</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19577.849999999999</v>
      </c>
      <c r="I62" s="2824" t="s">
        <v>2352</v>
      </c>
      <c r="J62" s="2825" t="s">
        <v>2353</v>
      </c>
      <c r="K62" s="2825" t="s">
        <v>2354</v>
      </c>
      <c r="L62" s="2825" t="s">
        <v>2335</v>
      </c>
      <c r="M62" s="2826" t="s">
        <v>2911</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121.7</v>
      </c>
      <c r="D63" s="2481" t="s">
        <v>1794</v>
      </c>
      <c r="E63" s="774" t="s">
        <v>1738</v>
      </c>
      <c r="F63" s="806">
        <f t="shared" ca="1" si="0"/>
        <v>5.0000000000000001E-3</v>
      </c>
      <c r="I63" s="2824" t="s">
        <v>2355</v>
      </c>
      <c r="J63" s="2825">
        <v>70</v>
      </c>
      <c r="K63" s="2825">
        <v>50</v>
      </c>
      <c r="L63" s="2825">
        <v>80</v>
      </c>
      <c r="M63" s="2827">
        <v>0.02</v>
      </c>
      <c r="O63" s="2253" t="s">
        <v>2376</v>
      </c>
      <c r="P63" s="2254" t="s">
        <v>2393</v>
      </c>
      <c r="Q63" s="2255">
        <f ca="1">Q57+Q58</f>
        <v>12302</v>
      </c>
      <c r="R63" s="2258" t="s">
        <v>2377</v>
      </c>
    </row>
    <row r="64" spans="1:18" s="1942" customFormat="1" ht="16.5" thickBot="1">
      <c r="A64" s="1577" t="s">
        <v>1881</v>
      </c>
      <c r="B64" s="774" t="s">
        <v>673</v>
      </c>
      <c r="C64" s="53">
        <f ca="1">ROUND(C55*F64,1)</f>
        <v>24.3</v>
      </c>
      <c r="D64" s="2481" t="s">
        <v>674</v>
      </c>
      <c r="E64" s="774" t="s">
        <v>1738</v>
      </c>
      <c r="F64" s="807">
        <f t="shared" ca="1" si="0"/>
        <v>1E-3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-181</v>
      </c>
      <c r="D66" s="2480" t="s">
        <v>694</v>
      </c>
      <c r="E66" s="2479"/>
      <c r="F66" s="809"/>
      <c r="K66" s="1968"/>
      <c r="O66" s="2253" t="s">
        <v>2364</v>
      </c>
      <c r="P66" s="2254" t="s">
        <v>2394</v>
      </c>
      <c r="Q66" s="2255">
        <f ca="1">C40+J29</f>
        <v>12302</v>
      </c>
      <c r="R66" s="2254" t="s">
        <v>2365</v>
      </c>
    </row>
    <row r="67" spans="1:18" s="1942" customFormat="1" ht="20.25" thickBot="1">
      <c r="A67" s="771" t="s">
        <v>1771</v>
      </c>
      <c r="B67" s="2112" t="s">
        <v>2289</v>
      </c>
      <c r="C67" s="773">
        <f ca="1">ROUND(C66*(1-((1+F69)/(1+F67))^F68)/(F67-F69),0)</f>
        <v>-3025</v>
      </c>
      <c r="D67" s="803" t="s">
        <v>698</v>
      </c>
      <c r="E67" s="774" t="s">
        <v>699</v>
      </c>
      <c r="F67" s="784">
        <f ca="1">F40</f>
        <v>0.05</v>
      </c>
      <c r="K67" s="1968"/>
      <c r="O67" s="2253" t="s">
        <v>2366</v>
      </c>
      <c r="P67" s="2254" t="s">
        <v>2397</v>
      </c>
      <c r="Q67" s="2255">
        <f ca="1">L60</f>
        <v>0</v>
      </c>
      <c r="R67" s="2258" t="s">
        <v>2399</v>
      </c>
    </row>
    <row r="68" spans="1:18" ht="21.75" thickBot="1">
      <c r="A68" s="776"/>
      <c r="B68" s="777"/>
      <c r="C68" s="778"/>
      <c r="D68" s="810" t="s">
        <v>1799</v>
      </c>
      <c r="E68" s="774" t="s">
        <v>1775</v>
      </c>
      <c r="F68" s="811">
        <f ca="1">F41</f>
        <v>37</v>
      </c>
      <c r="O68" s="2256" t="s">
        <v>2368</v>
      </c>
      <c r="P68" s="2254" t="s">
        <v>2398</v>
      </c>
      <c r="Q68" s="2260">
        <f ca="1">L51</f>
        <v>-90449</v>
      </c>
      <c r="R68" s="2261" t="s">
        <v>2401</v>
      </c>
    </row>
    <row r="69" spans="1:18" ht="20.25" thickBot="1">
      <c r="A69" s="780"/>
      <c r="B69" s="781"/>
      <c r="C69" s="782"/>
      <c r="D69" s="805"/>
      <c r="E69" s="774" t="s">
        <v>704</v>
      </c>
      <c r="F69" s="2226"/>
      <c r="O69" s="2256" t="s">
        <v>2369</v>
      </c>
      <c r="P69" s="2262" t="s">
        <v>2383</v>
      </c>
      <c r="Q69" s="2255">
        <f ca="1">ROUND(Q70-Q71*Q72,0)</f>
        <v>-1507</v>
      </c>
      <c r="R69" s="2258"/>
    </row>
    <row r="70" spans="1:18" ht="15.75" thickBot="1">
      <c r="A70" s="812" t="s">
        <v>1778</v>
      </c>
      <c r="B70" s="813" t="s">
        <v>1801</v>
      </c>
      <c r="C70" s="814">
        <f ca="1">ROUND(C67*10000/F70,0)</f>
        <v>-518</v>
      </c>
      <c r="D70" s="815" t="s">
        <v>1802</v>
      </c>
      <c r="E70" s="816" t="s">
        <v>1803</v>
      </c>
      <c r="F70" s="817">
        <f ca="1">F43</f>
        <v>58450</v>
      </c>
      <c r="O70" s="2256" t="s">
        <v>2384</v>
      </c>
      <c r="P70" s="2262" t="s">
        <v>2385</v>
      </c>
      <c r="Q70" s="2255">
        <f ca="1">C39</f>
        <v>561</v>
      </c>
      <c r="R70" s="2254" t="s">
        <v>2365</v>
      </c>
    </row>
    <row r="71" spans="1:18" ht="15.75" thickBot="1">
      <c r="O71" s="2256" t="s">
        <v>2386</v>
      </c>
      <c r="P71" s="2262" t="s">
        <v>2387</v>
      </c>
      <c r="Q71" s="2255">
        <f ca="1">C13</f>
        <v>24335</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12302</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5" t="s">
        <v>2453</v>
      </c>
      <c r="B1" s="3586"/>
      <c r="C1" s="3587"/>
      <c r="D1" s="3588">
        <f>SUM(I10,I15,I20,I21,I23)</f>
        <v>0</v>
      </c>
      <c r="E1" s="3588"/>
      <c r="F1" s="3588"/>
      <c r="G1" s="3588"/>
      <c r="H1" s="3588"/>
      <c r="I1" s="3589"/>
    </row>
    <row r="2" spans="1:9">
      <c r="A2" s="3575" t="s">
        <v>2454</v>
      </c>
      <c r="B2" s="3576" t="s">
        <v>2455</v>
      </c>
      <c r="C2" s="3576"/>
      <c r="D2" s="2360" t="s">
        <v>2456</v>
      </c>
      <c r="E2" s="2360" t="s">
        <v>2457</v>
      </c>
      <c r="F2" s="2360" t="s">
        <v>2458</v>
      </c>
      <c r="G2" s="2360" t="s">
        <v>2459</v>
      </c>
      <c r="H2" s="2360" t="s">
        <v>2460</v>
      </c>
      <c r="I2" s="2361" t="s">
        <v>2461</v>
      </c>
    </row>
    <row r="3" spans="1:9">
      <c r="A3" s="3575"/>
      <c r="B3" s="3576" t="s">
        <v>2462</v>
      </c>
      <c r="C3" s="3576"/>
      <c r="D3" s="2362"/>
      <c r="E3" s="2360"/>
      <c r="F3" s="2363"/>
      <c r="G3" s="2363"/>
      <c r="H3" s="2364"/>
      <c r="I3" s="2365">
        <f>ROUND(D3*E3*F3*G3*H3/10000,0)</f>
        <v>0</v>
      </c>
    </row>
    <row r="4" spans="1:9">
      <c r="A4" s="3575"/>
      <c r="B4" s="3576" t="s">
        <v>2463</v>
      </c>
      <c r="C4" s="3576"/>
      <c r="D4" s="2362"/>
      <c r="E4" s="2360"/>
      <c r="F4" s="2363"/>
      <c r="G4" s="2363"/>
      <c r="H4" s="2364"/>
      <c r="I4" s="2365">
        <f t="shared" ref="I4:I9" si="0">ROUND(D4*E4*F4*G4*H4/10000,0)</f>
        <v>0</v>
      </c>
    </row>
    <row r="5" spans="1:9">
      <c r="A5" s="3575"/>
      <c r="B5" s="3576" t="s">
        <v>2464</v>
      </c>
      <c r="C5" s="3576"/>
      <c r="D5" s="2362"/>
      <c r="E5" s="2360"/>
      <c r="F5" s="2363"/>
      <c r="G5" s="2363"/>
      <c r="H5" s="2364"/>
      <c r="I5" s="2365">
        <f t="shared" si="0"/>
        <v>0</v>
      </c>
    </row>
    <row r="6" spans="1:9">
      <c r="A6" s="3575"/>
      <c r="B6" s="3576" t="s">
        <v>2465</v>
      </c>
      <c r="C6" s="3576"/>
      <c r="D6" s="2362"/>
      <c r="E6" s="2360"/>
      <c r="F6" s="2363"/>
      <c r="G6" s="2363"/>
      <c r="H6" s="2364"/>
      <c r="I6" s="2365">
        <f t="shared" si="0"/>
        <v>0</v>
      </c>
    </row>
    <row r="7" spans="1:9">
      <c r="A7" s="3575"/>
      <c r="B7" s="3576" t="s">
        <v>2466</v>
      </c>
      <c r="C7" s="3576"/>
      <c r="D7" s="2362"/>
      <c r="E7" s="2360"/>
      <c r="F7" s="2363"/>
      <c r="G7" s="2363"/>
      <c r="H7" s="2364"/>
      <c r="I7" s="2365">
        <f t="shared" si="0"/>
        <v>0</v>
      </c>
    </row>
    <row r="8" spans="1:9">
      <c r="A8" s="3575"/>
      <c r="B8" s="3576" t="s">
        <v>2467</v>
      </c>
      <c r="C8" s="3576"/>
      <c r="D8" s="2362"/>
      <c r="E8" s="2360"/>
      <c r="F8" s="2363"/>
      <c r="G8" s="2363"/>
      <c r="H8" s="2364"/>
      <c r="I8" s="2365">
        <f t="shared" si="0"/>
        <v>0</v>
      </c>
    </row>
    <row r="9" spans="1:9">
      <c r="A9" s="3575"/>
      <c r="B9" s="3576" t="s">
        <v>2468</v>
      </c>
      <c r="C9" s="3576"/>
      <c r="D9" s="2362"/>
      <c r="E9" s="2360"/>
      <c r="F9" s="2363"/>
      <c r="G9" s="2363"/>
      <c r="H9" s="2364"/>
      <c r="I9" s="2365">
        <f t="shared" si="0"/>
        <v>0</v>
      </c>
    </row>
    <row r="10" spans="1:9">
      <c r="A10" s="3575"/>
      <c r="B10" s="3577" t="s">
        <v>2469</v>
      </c>
      <c r="C10" s="3577"/>
      <c r="D10" s="2366">
        <v>527</v>
      </c>
      <c r="E10" s="2366" t="e">
        <f>ROUND(D1*10000/D10/H9,0)</f>
        <v>#DIV/0!</v>
      </c>
      <c r="F10" s="2367"/>
      <c r="G10" s="2367"/>
      <c r="H10" s="2368"/>
      <c r="I10" s="2369">
        <f>SUM(I3:I9)</f>
        <v>0</v>
      </c>
    </row>
    <row r="11" spans="1:9" ht="14.25">
      <c r="A11" s="3575" t="s">
        <v>2470</v>
      </c>
      <c r="B11" s="3576" t="s">
        <v>2471</v>
      </c>
      <c r="C11" s="3576"/>
      <c r="D11" s="2362" t="s">
        <v>2472</v>
      </c>
      <c r="E11" s="2362" t="s">
        <v>2473</v>
      </c>
      <c r="F11" s="2363" t="s">
        <v>2474</v>
      </c>
      <c r="G11" s="2363" t="s">
        <v>2475</v>
      </c>
      <c r="H11" s="2370" t="s">
        <v>2476</v>
      </c>
      <c r="I11" s="2361" t="s">
        <v>2477</v>
      </c>
    </row>
    <row r="12" spans="1:9">
      <c r="A12" s="3575"/>
      <c r="B12" s="3576" t="s">
        <v>2478</v>
      </c>
      <c r="C12" s="3576"/>
      <c r="D12" s="2362"/>
      <c r="E12" s="2362"/>
      <c r="F12" s="2363"/>
      <c r="G12" s="2364"/>
      <c r="H12" s="2371"/>
      <c r="I12" s="2361">
        <f>ROUND(D12*E12*F12*G12/10000,0)</f>
        <v>0</v>
      </c>
    </row>
    <row r="13" spans="1:9">
      <c r="A13" s="3575"/>
      <c r="B13" s="3576" t="s">
        <v>2479</v>
      </c>
      <c r="C13" s="3576"/>
      <c r="D13" s="2362"/>
      <c r="E13" s="2362"/>
      <c r="F13" s="2363"/>
      <c r="G13" s="2364"/>
      <c r="H13" s="2371"/>
      <c r="I13" s="2361">
        <f>ROUND(D13*E13*F13*G13/10000,0)</f>
        <v>0</v>
      </c>
    </row>
    <row r="14" spans="1:9">
      <c r="A14" s="3575"/>
      <c r="B14" s="3576" t="s">
        <v>2480</v>
      </c>
      <c r="C14" s="3576"/>
      <c r="D14" s="2362"/>
      <c r="E14" s="2362"/>
      <c r="F14" s="2363"/>
      <c r="G14" s="2364"/>
      <c r="H14" s="2371"/>
      <c r="I14" s="2361">
        <f>ROUND(D14*E14*F14*G14/10000,0)</f>
        <v>0</v>
      </c>
    </row>
    <row r="15" spans="1:9">
      <c r="A15" s="3575"/>
      <c r="B15" s="3577" t="s">
        <v>2469</v>
      </c>
      <c r="C15" s="3577"/>
      <c r="D15" s="2366"/>
      <c r="E15" s="2366">
        <f>SUM(E12:E14)</f>
        <v>0</v>
      </c>
      <c r="F15" s="2367"/>
      <c r="G15" s="2364"/>
      <c r="H15" s="2371"/>
      <c r="I15" s="2372">
        <f>SUM(I12:I14)</f>
        <v>0</v>
      </c>
    </row>
    <row r="16" spans="1:9" ht="24">
      <c r="A16" s="3575" t="s">
        <v>2481</v>
      </c>
      <c r="B16" s="3576" t="s">
        <v>2482</v>
      </c>
      <c r="C16" s="3576"/>
      <c r="D16" s="2362" t="s">
        <v>2483</v>
      </c>
      <c r="E16" s="2373" t="s">
        <v>2484</v>
      </c>
      <c r="F16" s="2363" t="s">
        <v>2485</v>
      </c>
      <c r="G16" s="2364" t="s">
        <v>2475</v>
      </c>
      <c r="H16" s="2370" t="s">
        <v>2476</v>
      </c>
      <c r="I16" s="2361" t="s">
        <v>2477</v>
      </c>
    </row>
    <row r="17" spans="1:9" ht="14.25">
      <c r="A17" s="3575"/>
      <c r="B17" s="3576" t="s">
        <v>2486</v>
      </c>
      <c r="C17" s="3576"/>
      <c r="D17" s="2362"/>
      <c r="E17" s="2362"/>
      <c r="F17" s="2363"/>
      <c r="G17" s="2364"/>
      <c r="H17" s="2374"/>
      <c r="I17" s="2375">
        <f>ROUND(D17*E17*F17*G17/10000,0)</f>
        <v>0</v>
      </c>
    </row>
    <row r="18" spans="1:9" ht="14.25">
      <c r="A18" s="3575"/>
      <c r="B18" s="3576" t="s">
        <v>2487</v>
      </c>
      <c r="C18" s="3576"/>
      <c r="D18" s="2362"/>
      <c r="E18" s="2362"/>
      <c r="F18" s="2363"/>
      <c r="G18" s="2364"/>
      <c r="H18" s="2374"/>
      <c r="I18" s="2375">
        <f>ROUND(D18*E18*F18*G18/10000,0)</f>
        <v>0</v>
      </c>
    </row>
    <row r="19" spans="1:9" ht="14.25">
      <c r="A19" s="3575"/>
      <c r="B19" s="3576" t="s">
        <v>2488</v>
      </c>
      <c r="C19" s="3576"/>
      <c r="D19" s="2362"/>
      <c r="E19" s="2362"/>
      <c r="F19" s="2363"/>
      <c r="G19" s="2364"/>
      <c r="H19" s="2374"/>
      <c r="I19" s="2375">
        <f>ROUND(D19*E19*F19*G19/10000,0)</f>
        <v>0</v>
      </c>
    </row>
    <row r="20" spans="1:9">
      <c r="A20" s="3575"/>
      <c r="B20" s="3577" t="s">
        <v>2469</v>
      </c>
      <c r="C20" s="3577"/>
      <c r="D20" s="2366">
        <f>SUM(D17:D19)</f>
        <v>0</v>
      </c>
      <c r="E20" s="2366"/>
      <c r="F20" s="2367"/>
      <c r="G20" s="2364"/>
      <c r="H20" s="2371"/>
      <c r="I20" s="2372">
        <f>SUM(I17:I19)</f>
        <v>0</v>
      </c>
    </row>
    <row r="21" spans="1:9">
      <c r="A21" s="3575" t="s">
        <v>2489</v>
      </c>
      <c r="B21" s="3578"/>
      <c r="C21" s="3578"/>
      <c r="D21" s="3578"/>
      <c r="E21" s="3578"/>
      <c r="F21" s="3578"/>
      <c r="G21" s="3578"/>
      <c r="H21" s="2376">
        <v>0.1</v>
      </c>
      <c r="I21" s="2369">
        <f>ROUND(I10*H21,0)</f>
        <v>0</v>
      </c>
    </row>
    <row r="22" spans="1:9" ht="14.25">
      <c r="A22" s="3579" t="s">
        <v>2490</v>
      </c>
      <c r="B22" s="3580"/>
      <c r="C22" s="3581"/>
      <c r="D22" s="2377" t="s">
        <v>2491</v>
      </c>
      <c r="E22" s="2377" t="s">
        <v>2492</v>
      </c>
      <c r="F22" s="2378" t="s">
        <v>2493</v>
      </c>
      <c r="G22" s="2378" t="s">
        <v>2494</v>
      </c>
      <c r="H22" s="2370" t="s">
        <v>2495</v>
      </c>
      <c r="I22" s="2361" t="s">
        <v>2496</v>
      </c>
    </row>
    <row r="23" spans="1:9" ht="14.25" thickBot="1">
      <c r="A23" s="3582"/>
      <c r="B23" s="3583"/>
      <c r="C23" s="3584"/>
      <c r="D23" s="2379"/>
      <c r="E23" s="2379"/>
      <c r="F23" s="2379"/>
      <c r="G23" s="2380"/>
      <c r="H23" s="2381"/>
      <c r="I23" s="2382">
        <f>ROUND(E23*D23*F23*(1-G23)/10000,0)</f>
        <v>0</v>
      </c>
    </row>
    <row r="26" spans="1:9">
      <c r="A26" s="2383" t="s">
        <v>2497</v>
      </c>
      <c r="B26" s="2383"/>
      <c r="C26" s="2383"/>
      <c r="D26" s="2383"/>
      <c r="E26" s="3572">
        <f>C27-C30-C31-C32</f>
        <v>0</v>
      </c>
      <c r="F26" s="3572"/>
      <c r="G26" s="3572"/>
      <c r="H26" s="2756" t="s">
        <v>2823</v>
      </c>
    </row>
    <row r="27" spans="1:9">
      <c r="A27" s="2384">
        <v>1</v>
      </c>
      <c r="B27" s="2385" t="s">
        <v>2498</v>
      </c>
      <c r="C27" s="2385"/>
      <c r="D27" s="2385"/>
      <c r="E27" s="3573"/>
      <c r="F27" s="3573"/>
      <c r="G27" s="3573"/>
    </row>
    <row r="28" spans="1:9">
      <c r="A28" s="2386" t="s">
        <v>2499</v>
      </c>
      <c r="B28" s="2385" t="s">
        <v>2500</v>
      </c>
      <c r="C28" s="2385"/>
      <c r="D28" s="2385"/>
      <c r="E28" s="3573"/>
      <c r="F28" s="3573"/>
      <c r="G28" s="3573"/>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74"/>
      <c r="F32" s="3574"/>
      <c r="G32" s="3574"/>
    </row>
    <row r="33" spans="1:7" hidden="1">
      <c r="A33" s="3569" t="s">
        <v>2508</v>
      </c>
      <c r="B33" s="3570"/>
      <c r="C33" s="3570"/>
      <c r="D33" s="3571"/>
      <c r="E33" s="3572"/>
      <c r="F33" s="3572"/>
      <c r="G33" s="3572"/>
    </row>
    <row r="34" spans="1:7" hidden="1">
      <c r="A34" s="2388">
        <v>1</v>
      </c>
      <c r="B34" s="2385" t="s">
        <v>2509</v>
      </c>
      <c r="C34" s="2385"/>
      <c r="D34" s="2385"/>
      <c r="E34" s="3573"/>
      <c r="F34" s="3573"/>
      <c r="G34" s="3573"/>
    </row>
    <row r="35" spans="1:7" hidden="1">
      <c r="A35" s="2388">
        <v>2</v>
      </c>
      <c r="B35" s="2385" t="s">
        <v>2510</v>
      </c>
      <c r="C35" s="2385"/>
      <c r="D35" s="2385"/>
      <c r="E35" s="3573"/>
      <c r="F35" s="3573"/>
      <c r="G35" s="3573"/>
    </row>
    <row r="36" spans="1:7" hidden="1">
      <c r="A36" s="2388">
        <v>3</v>
      </c>
      <c r="B36" s="2385" t="s">
        <v>2511</v>
      </c>
      <c r="C36" s="2385"/>
      <c r="D36" s="2385"/>
      <c r="E36" s="3573"/>
      <c r="F36" s="3573"/>
      <c r="G36" s="3573"/>
    </row>
    <row r="37" spans="1:7" hidden="1">
      <c r="A37" s="2388">
        <v>4</v>
      </c>
      <c r="B37" s="2385" t="s">
        <v>2512</v>
      </c>
      <c r="C37" s="2385"/>
      <c r="D37" s="2385"/>
      <c r="E37" s="3573"/>
      <c r="F37" s="3573"/>
      <c r="G37" s="3573"/>
    </row>
    <row r="38" spans="1:7" hidden="1">
      <c r="A38" s="3569" t="s">
        <v>2513</v>
      </c>
      <c r="B38" s="3570"/>
      <c r="C38" s="3570"/>
      <c r="D38" s="3571"/>
      <c r="E38" s="3572"/>
      <c r="F38" s="3572"/>
      <c r="G38" s="35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2999</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220</v>
      </c>
      <c r="F12" s="746"/>
      <c r="G12" s="749"/>
    </row>
    <row r="13" spans="1:25" s="2064" customFormat="1" ht="13.5" customHeight="1">
      <c r="A13" s="2329" t="s">
        <v>2430</v>
      </c>
      <c r="B13" s="747" t="s">
        <v>606</v>
      </c>
      <c r="C13" s="748">
        <f>ROUND(D13*E13/10000,0)</f>
        <v>12311</v>
      </c>
      <c r="D13" s="3271">
        <f>'数据-汇总表'!E6</f>
        <v>559573.15</v>
      </c>
      <c r="E13" s="3271">
        <f>'数据-取费表'!B28</f>
        <v>220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0.85799999999999998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92" t="s">
        <v>516</v>
      </c>
      <c r="D4" s="3493"/>
      <c r="E4" s="3517" t="s">
        <v>517</v>
      </c>
      <c r="F4" s="3518"/>
      <c r="G4" s="3492" t="s">
        <v>518</v>
      </c>
      <c r="H4" s="3493"/>
      <c r="I4" s="3492" t="s">
        <v>519</v>
      </c>
      <c r="J4" s="3493"/>
      <c r="K4" s="842" t="s">
        <v>520</v>
      </c>
      <c r="L4" s="2015"/>
      <c r="M4" s="2016"/>
      <c r="N4" s="2016"/>
      <c r="O4" s="2016"/>
      <c r="P4" s="3494" t="s">
        <v>521</v>
      </c>
      <c r="Q4" s="3495"/>
      <c r="R4" s="3480" t="s">
        <v>517</v>
      </c>
      <c r="S4" s="3481"/>
      <c r="T4" s="3480" t="s">
        <v>518</v>
      </c>
      <c r="U4" s="3481"/>
      <c r="V4" s="3500" t="s">
        <v>519</v>
      </c>
      <c r="W4" s="3500"/>
      <c r="X4" s="1501"/>
      <c r="Y4" s="3480" t="s">
        <v>521</v>
      </c>
      <c r="Z4" s="3481"/>
      <c r="AA4" s="3475" t="s">
        <v>517</v>
      </c>
      <c r="AB4" s="3475" t="s">
        <v>518</v>
      </c>
      <c r="AC4" s="3475" t="s">
        <v>519</v>
      </c>
    </row>
    <row r="5" spans="1:29" ht="15">
      <c r="A5" s="509"/>
      <c r="B5" s="510"/>
      <c r="C5" s="3503" t="s">
        <v>2898</v>
      </c>
      <c r="D5" s="3504"/>
      <c r="E5" s="3519" t="s">
        <v>2899</v>
      </c>
      <c r="F5" s="3520"/>
      <c r="G5" s="3503" t="s">
        <v>2900</v>
      </c>
      <c r="H5" s="3504"/>
      <c r="I5" s="3503" t="s">
        <v>2901</v>
      </c>
      <c r="J5" s="3504"/>
      <c r="K5" s="843"/>
      <c r="L5" s="2015"/>
      <c r="M5" s="2016"/>
      <c r="N5" s="2016"/>
      <c r="O5" s="2016"/>
      <c r="P5" s="3496"/>
      <c r="Q5" s="3497"/>
      <c r="R5" s="3482"/>
      <c r="S5" s="3483"/>
      <c r="T5" s="3482"/>
      <c r="U5" s="3483"/>
      <c r="V5" s="3500"/>
      <c r="W5" s="3500"/>
      <c r="X5" s="1501"/>
      <c r="Y5" s="3482"/>
      <c r="Z5" s="3483"/>
      <c r="AA5" s="3476"/>
      <c r="AB5" s="3476"/>
      <c r="AC5" s="3476"/>
    </row>
    <row r="6" spans="1:29" ht="15.75" thickBot="1">
      <c r="A6" s="511"/>
      <c r="B6" s="512"/>
      <c r="C6" s="3501" t="s">
        <v>2902</v>
      </c>
      <c r="D6" s="3502"/>
      <c r="E6" s="3521" t="s">
        <v>2902</v>
      </c>
      <c r="F6" s="3522"/>
      <c r="G6" s="3501" t="s">
        <v>2902</v>
      </c>
      <c r="H6" s="3502"/>
      <c r="I6" s="3501" t="s">
        <v>2902</v>
      </c>
      <c r="J6" s="3502"/>
      <c r="K6" s="843" t="s">
        <v>522</v>
      </c>
      <c r="L6" s="2015"/>
      <c r="M6" s="2016"/>
      <c r="N6" s="2016"/>
      <c r="O6" s="2016"/>
      <c r="P6" s="3498"/>
      <c r="Q6" s="3499"/>
      <c r="R6" s="3482"/>
      <c r="S6" s="3483"/>
      <c r="T6" s="3484"/>
      <c r="U6" s="3485"/>
      <c r="V6" s="3500"/>
      <c r="W6" s="3500"/>
      <c r="X6" s="1501"/>
      <c r="Y6" s="3484"/>
      <c r="Z6" s="3485"/>
      <c r="AA6" s="3477"/>
      <c r="AB6" s="3477"/>
      <c r="AC6" s="3477"/>
    </row>
    <row r="7" spans="1:29" s="1203" customFormat="1" ht="15.75" thickBot="1">
      <c r="A7" s="2629"/>
      <c r="B7" s="2636" t="s">
        <v>523</v>
      </c>
      <c r="C7" s="513">
        <f>'数据-取费表'!B2</f>
        <v>44187</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78" t="s">
        <v>524</v>
      </c>
      <c r="Q7" s="3487"/>
      <c r="R7" s="1502" t="s">
        <v>13</v>
      </c>
      <c r="S7" s="1503">
        <f t="shared" ref="S7:S15" si="0">F7</f>
        <v>0</v>
      </c>
      <c r="T7" s="1502" t="s">
        <v>13</v>
      </c>
      <c r="U7" s="1503">
        <f t="shared" ref="U7:U15" si="1">H7</f>
        <v>0</v>
      </c>
      <c r="V7" s="1502" t="s">
        <v>13</v>
      </c>
      <c r="W7" s="1503">
        <f t="shared" ref="W7:W15" si="2">J7</f>
        <v>0</v>
      </c>
      <c r="X7" s="1504"/>
      <c r="Y7" s="3478" t="s">
        <v>524</v>
      </c>
      <c r="Z7" s="3479"/>
      <c r="AA7" s="1505" t="e">
        <f>D7/F7</f>
        <v>#DIV/0!</v>
      </c>
      <c r="AB7" s="1505" t="e">
        <f>D7/H7</f>
        <v>#DIV/0!</v>
      </c>
      <c r="AC7" s="1505"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78" t="s">
        <v>527</v>
      </c>
      <c r="Q8" s="3479"/>
      <c r="R8" s="1502" t="s">
        <v>13</v>
      </c>
      <c r="S8" s="1503">
        <f t="shared" si="0"/>
        <v>0</v>
      </c>
      <c r="T8" s="1502" t="s">
        <v>13</v>
      </c>
      <c r="U8" s="1503">
        <f t="shared" si="1"/>
        <v>0</v>
      </c>
      <c r="V8" s="1502" t="s">
        <v>13</v>
      </c>
      <c r="W8" s="1503">
        <f t="shared" si="2"/>
        <v>0</v>
      </c>
      <c r="X8" s="1504"/>
      <c r="Y8" s="3478" t="s">
        <v>527</v>
      </c>
      <c r="Z8" s="3479"/>
      <c r="AA8" s="1505" t="e">
        <f t="shared" ref="AA8:AA46" si="3">D8/F8</f>
        <v>#DIV/0!</v>
      </c>
      <c r="AB8" s="1505" t="e">
        <f t="shared" ref="AB8:AB46" si="4">D8/H8</f>
        <v>#DIV/0!</v>
      </c>
      <c r="AC8" s="1505"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86" t="s">
        <v>529</v>
      </c>
      <c r="Q9" s="1134" t="str">
        <f t="shared" ref="Q9:Q15" si="6">B9</f>
        <v>用途</v>
      </c>
      <c r="R9" s="1502" t="s">
        <v>8</v>
      </c>
      <c r="S9" s="1503">
        <f t="shared" si="0"/>
        <v>100</v>
      </c>
      <c r="T9" s="1502" t="s">
        <v>8</v>
      </c>
      <c r="U9" s="1503">
        <f t="shared" si="1"/>
        <v>100</v>
      </c>
      <c r="V9" s="1502" t="s">
        <v>8</v>
      </c>
      <c r="W9" s="1503">
        <f t="shared" si="2"/>
        <v>100</v>
      </c>
      <c r="X9" s="1504"/>
      <c r="Y9" s="3437" t="s">
        <v>530</v>
      </c>
      <c r="Z9" s="1133" t="str">
        <f t="shared" ref="Z9:Z15" si="7">Q9</f>
        <v>用途</v>
      </c>
      <c r="AA9" s="1505">
        <f t="shared" si="3"/>
        <v>1</v>
      </c>
      <c r="AB9" s="1505">
        <f t="shared" si="4"/>
        <v>1</v>
      </c>
      <c r="AC9" s="1505">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7"/>
      <c r="Z10" s="1133" t="str">
        <f t="shared" si="7"/>
        <v>土地使用年限（年）</v>
      </c>
      <c r="AA10" s="1505">
        <f t="shared" si="3"/>
        <v>1</v>
      </c>
      <c r="AB10" s="1505">
        <f t="shared" si="4"/>
        <v>1</v>
      </c>
      <c r="AC10" s="1505">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86"/>
      <c r="Q11" s="1134" t="str">
        <f t="shared" si="6"/>
        <v>容积率</v>
      </c>
      <c r="R11" s="1502" t="s">
        <v>11</v>
      </c>
      <c r="S11" s="1503" t="e">
        <f t="shared" si="0"/>
        <v>#N/A</v>
      </c>
      <c r="T11" s="1502" t="s">
        <v>11</v>
      </c>
      <c r="U11" s="1503" t="e">
        <f t="shared" si="1"/>
        <v>#N/A</v>
      </c>
      <c r="V11" s="1502" t="s">
        <v>11</v>
      </c>
      <c r="W11" s="1503" t="e">
        <f t="shared" si="2"/>
        <v>#N/A</v>
      </c>
      <c r="X11" s="1504"/>
      <c r="Y11" s="3437"/>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6"/>
      <c r="Q12" s="1134">
        <f t="shared" si="6"/>
        <v>111</v>
      </c>
      <c r="R12" s="1502" t="s">
        <v>11</v>
      </c>
      <c r="S12" s="1503">
        <f t="shared" si="0"/>
        <v>100</v>
      </c>
      <c r="T12" s="1502" t="s">
        <v>11</v>
      </c>
      <c r="U12" s="1503">
        <f t="shared" si="1"/>
        <v>100</v>
      </c>
      <c r="V12" s="1502" t="s">
        <v>11</v>
      </c>
      <c r="W12" s="1503">
        <f t="shared" si="2"/>
        <v>100</v>
      </c>
      <c r="X12" s="1504"/>
      <c r="Y12" s="3437"/>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6"/>
      <c r="Q13" s="1134">
        <f t="shared" si="6"/>
        <v>111</v>
      </c>
      <c r="R13" s="1502" t="s">
        <v>11</v>
      </c>
      <c r="S13" s="1503">
        <f t="shared" si="0"/>
        <v>100</v>
      </c>
      <c r="T13" s="1502" t="s">
        <v>11</v>
      </c>
      <c r="U13" s="1503">
        <f t="shared" si="1"/>
        <v>100</v>
      </c>
      <c r="V13" s="1502" t="s">
        <v>11</v>
      </c>
      <c r="W13" s="1503">
        <f t="shared" si="2"/>
        <v>100</v>
      </c>
      <c r="X13" s="1504"/>
      <c r="Y13" s="3437"/>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6"/>
      <c r="Q14" s="1134">
        <f t="shared" si="6"/>
        <v>111</v>
      </c>
      <c r="R14" s="1502" t="s">
        <v>11</v>
      </c>
      <c r="S14" s="1503">
        <f t="shared" si="0"/>
        <v>100</v>
      </c>
      <c r="T14" s="1502" t="s">
        <v>11</v>
      </c>
      <c r="U14" s="1503">
        <f t="shared" si="1"/>
        <v>100</v>
      </c>
      <c r="V14" s="1502" t="s">
        <v>11</v>
      </c>
      <c r="W14" s="1503">
        <f t="shared" si="2"/>
        <v>100</v>
      </c>
      <c r="X14" s="1504"/>
      <c r="Y14" s="3437"/>
      <c r="Z14" s="1133">
        <f t="shared" si="7"/>
        <v>111</v>
      </c>
      <c r="AA14" s="1505">
        <f t="shared" si="3"/>
        <v>1</v>
      </c>
      <c r="AB14" s="1505">
        <f t="shared" si="4"/>
        <v>1</v>
      </c>
      <c r="AC14" s="1505">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88" t="s">
        <v>534</v>
      </c>
      <c r="Q15" s="1506" t="str">
        <f t="shared" si="6"/>
        <v>居住社区成熟度</v>
      </c>
      <c r="R15" s="1507" t="s">
        <v>11</v>
      </c>
      <c r="S15" s="1508">
        <f t="shared" si="0"/>
        <v>100</v>
      </c>
      <c r="T15" s="1507" t="s">
        <v>11</v>
      </c>
      <c r="U15" s="1508">
        <f t="shared" si="1"/>
        <v>100</v>
      </c>
      <c r="V15" s="1507" t="s">
        <v>11</v>
      </c>
      <c r="W15" s="1508">
        <f t="shared" si="2"/>
        <v>100</v>
      </c>
      <c r="X15" s="1501"/>
      <c r="Y15" s="3488"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489"/>
      <c r="Q16" s="1506"/>
      <c r="R16" s="1507"/>
      <c r="S16" s="1508"/>
      <c r="T16" s="1507"/>
      <c r="U16" s="1508"/>
      <c r="V16" s="1507"/>
      <c r="W16" s="1508"/>
      <c r="X16" s="1501"/>
      <c r="Y16" s="3489"/>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89"/>
      <c r="Q17" s="1506" t="str">
        <f>B17</f>
        <v>交通便捷度</v>
      </c>
      <c r="R17" s="1507" t="s">
        <v>11</v>
      </c>
      <c r="S17" s="1508">
        <f>F17</f>
        <v>100</v>
      </c>
      <c r="T17" s="1507" t="s">
        <v>11</v>
      </c>
      <c r="U17" s="1508">
        <f>H17</f>
        <v>100</v>
      </c>
      <c r="V17" s="1507" t="s">
        <v>11</v>
      </c>
      <c r="W17" s="1508">
        <f>J17</f>
        <v>100</v>
      </c>
      <c r="X17" s="1501"/>
      <c r="Y17" s="348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489"/>
      <c r="Q18" s="1506"/>
      <c r="R18" s="1507"/>
      <c r="S18" s="1508"/>
      <c r="T18" s="1507"/>
      <c r="U18" s="1508"/>
      <c r="V18" s="1507"/>
      <c r="W18" s="1508"/>
      <c r="X18" s="1501"/>
      <c r="Y18" s="3489"/>
      <c r="Z18" s="1509"/>
      <c r="AA18" s="1510">
        <v>1</v>
      </c>
      <c r="AB18" s="1510">
        <v>1</v>
      </c>
      <c r="AC18" s="1510">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89"/>
      <c r="Q19" s="1506" t="str">
        <f>B19</f>
        <v>公共配套设施</v>
      </c>
      <c r="R19" s="1507" t="s">
        <v>11</v>
      </c>
      <c r="S19" s="1508">
        <f>F19</f>
        <v>100</v>
      </c>
      <c r="T19" s="1507" t="s">
        <v>11</v>
      </c>
      <c r="U19" s="1508">
        <f>H19</f>
        <v>100</v>
      </c>
      <c r="V19" s="1507" t="s">
        <v>11</v>
      </c>
      <c r="W19" s="1508">
        <f>J19</f>
        <v>100</v>
      </c>
      <c r="X19" s="1501"/>
      <c r="Y19" s="3489"/>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489"/>
      <c r="Q20" s="1506"/>
      <c r="R20" s="1507"/>
      <c r="S20" s="1508"/>
      <c r="T20" s="1507"/>
      <c r="U20" s="1508"/>
      <c r="V20" s="1507"/>
      <c r="W20" s="1508"/>
      <c r="X20" s="1501"/>
      <c r="Y20" s="3489"/>
      <c r="Z20" s="1509"/>
      <c r="AA20" s="1510">
        <v>1</v>
      </c>
      <c r="AB20" s="1510">
        <v>1</v>
      </c>
      <c r="AC20" s="1510">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89"/>
      <c r="Q21" s="2429" t="str">
        <f>B21</f>
        <v>基础设施水平</v>
      </c>
      <c r="R21" s="1507" t="s">
        <v>11</v>
      </c>
      <c r="S21" s="1508">
        <f>F21</f>
        <v>100</v>
      </c>
      <c r="T21" s="1507" t="s">
        <v>11</v>
      </c>
      <c r="U21" s="1508">
        <f>H21</f>
        <v>100</v>
      </c>
      <c r="V21" s="1507" t="s">
        <v>11</v>
      </c>
      <c r="W21" s="1508">
        <f>J21</f>
        <v>100</v>
      </c>
      <c r="X21" s="2431"/>
      <c r="Y21" s="3489"/>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489"/>
      <c r="Q22" s="2429"/>
      <c r="R22" s="1507"/>
      <c r="S22" s="1508"/>
      <c r="T22" s="1507"/>
      <c r="U22" s="1508"/>
      <c r="V22" s="1507"/>
      <c r="W22" s="1508"/>
      <c r="X22" s="2431"/>
      <c r="Y22" s="3489"/>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89"/>
      <c r="Q23" s="1506" t="str">
        <f>B23</f>
        <v>自然及人文环境</v>
      </c>
      <c r="R23" s="1507" t="s">
        <v>11</v>
      </c>
      <c r="S23" s="1508">
        <f>F23</f>
        <v>100</v>
      </c>
      <c r="T23" s="1507" t="s">
        <v>11</v>
      </c>
      <c r="U23" s="1508">
        <f>H23</f>
        <v>100</v>
      </c>
      <c r="V23" s="1507" t="s">
        <v>11</v>
      </c>
      <c r="W23" s="1508">
        <f>J23</f>
        <v>100</v>
      </c>
      <c r="X23" s="1501"/>
      <c r="Y23" s="3489"/>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489"/>
      <c r="Q24" s="1506"/>
      <c r="R24" s="1507"/>
      <c r="S24" s="1508"/>
      <c r="T24" s="1507"/>
      <c r="U24" s="1508"/>
      <c r="V24" s="1507"/>
      <c r="W24" s="1508"/>
      <c r="X24" s="1501"/>
      <c r="Y24" s="3489"/>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89"/>
      <c r="Q25" s="1506" t="str">
        <f t="shared" ref="Q25:Q46" si="11">B25</f>
        <v>楼层-1</v>
      </c>
      <c r="R25" s="1507" t="s">
        <v>11</v>
      </c>
      <c r="S25" s="1508">
        <f>F25</f>
        <v>100</v>
      </c>
      <c r="T25" s="1507" t="s">
        <v>11</v>
      </c>
      <c r="U25" s="1508">
        <f>H25</f>
        <v>100</v>
      </c>
      <c r="V25" s="1507" t="s">
        <v>11</v>
      </c>
      <c r="W25" s="1508">
        <f>J25</f>
        <v>100</v>
      </c>
      <c r="X25" s="1501"/>
      <c r="Y25" s="3489"/>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89"/>
      <c r="Q26" s="1506" t="str">
        <f t="shared" si="11"/>
        <v>朝向</v>
      </c>
      <c r="R26" s="1507" t="s">
        <v>11</v>
      </c>
      <c r="S26" s="1508">
        <f>F26</f>
        <v>100</v>
      </c>
      <c r="T26" s="1507" t="s">
        <v>11</v>
      </c>
      <c r="U26" s="1508">
        <f>H26</f>
        <v>100</v>
      </c>
      <c r="V26" s="1507" t="s">
        <v>11</v>
      </c>
      <c r="W26" s="1508">
        <f>J26</f>
        <v>100</v>
      </c>
      <c r="X26" s="1501"/>
      <c r="Y26" s="3489"/>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89"/>
      <c r="Q27" s="1134" t="str">
        <f t="shared" si="11"/>
        <v>道路级别</v>
      </c>
      <c r="R27" s="1502" t="s">
        <v>11</v>
      </c>
      <c r="S27" s="1503">
        <f>F27</f>
        <v>100</v>
      </c>
      <c r="T27" s="1502" t="s">
        <v>11</v>
      </c>
      <c r="U27" s="1503">
        <f>H27</f>
        <v>100</v>
      </c>
      <c r="V27" s="1502" t="s">
        <v>11</v>
      </c>
      <c r="W27" s="1503">
        <f>J27</f>
        <v>100</v>
      </c>
      <c r="X27" s="1504"/>
      <c r="Y27" s="3489"/>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89"/>
      <c r="Q28" s="1506">
        <f t="shared" si="11"/>
        <v>111</v>
      </c>
      <c r="R28" s="1507" t="s">
        <v>11</v>
      </c>
      <c r="S28" s="1508">
        <f t="shared" ref="S28:S46" si="12">F28</f>
        <v>100</v>
      </c>
      <c r="T28" s="1507" t="s">
        <v>11</v>
      </c>
      <c r="U28" s="1508">
        <f t="shared" ref="U28:U46" si="13">H28</f>
        <v>100</v>
      </c>
      <c r="V28" s="1507" t="s">
        <v>11</v>
      </c>
      <c r="W28" s="1508">
        <f t="shared" ref="W28:W46" si="14">J28</f>
        <v>100</v>
      </c>
      <c r="X28" s="1501"/>
      <c r="Y28" s="3489"/>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89"/>
      <c r="Q29" s="1506">
        <f t="shared" si="11"/>
        <v>111</v>
      </c>
      <c r="R29" s="1507" t="s">
        <v>11</v>
      </c>
      <c r="S29" s="1508">
        <f t="shared" si="12"/>
        <v>100</v>
      </c>
      <c r="T29" s="1507" t="s">
        <v>11</v>
      </c>
      <c r="U29" s="1508">
        <f t="shared" si="13"/>
        <v>100</v>
      </c>
      <c r="V29" s="1507" t="s">
        <v>11</v>
      </c>
      <c r="W29" s="1508">
        <f t="shared" si="14"/>
        <v>100</v>
      </c>
      <c r="X29" s="1501"/>
      <c r="Y29" s="3489"/>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89"/>
      <c r="Q30" s="1506">
        <f t="shared" si="11"/>
        <v>111</v>
      </c>
      <c r="R30" s="1507" t="s">
        <v>11</v>
      </c>
      <c r="S30" s="1508">
        <f t="shared" si="12"/>
        <v>100</v>
      </c>
      <c r="T30" s="1507" t="s">
        <v>11</v>
      </c>
      <c r="U30" s="1508">
        <f t="shared" si="13"/>
        <v>100</v>
      </c>
      <c r="V30" s="1507" t="s">
        <v>11</v>
      </c>
      <c r="W30" s="1508">
        <f t="shared" si="14"/>
        <v>100</v>
      </c>
      <c r="X30" s="1501"/>
      <c r="Y30" s="3489"/>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89"/>
      <c r="Q31" s="1506">
        <f t="shared" si="11"/>
        <v>111</v>
      </c>
      <c r="R31" s="1507" t="s">
        <v>11</v>
      </c>
      <c r="S31" s="1508">
        <f t="shared" si="12"/>
        <v>100</v>
      </c>
      <c r="T31" s="1507" t="s">
        <v>11</v>
      </c>
      <c r="U31" s="1508">
        <f t="shared" si="13"/>
        <v>100</v>
      </c>
      <c r="V31" s="1507" t="s">
        <v>11</v>
      </c>
      <c r="W31" s="1508">
        <f t="shared" si="14"/>
        <v>100</v>
      </c>
      <c r="X31" s="1501"/>
      <c r="Y31" s="3489"/>
      <c r="Z31" s="1509">
        <f t="shared" si="15"/>
        <v>111</v>
      </c>
      <c r="AA31" s="1510">
        <f t="shared" si="3"/>
        <v>1</v>
      </c>
      <c r="AB31" s="1510">
        <f t="shared" si="4"/>
        <v>1</v>
      </c>
      <c r="AC31" s="1510">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0" t="s">
        <v>544</v>
      </c>
      <c r="Q32" s="1506" t="str">
        <f t="shared" si="11"/>
        <v>建筑类型</v>
      </c>
      <c r="R32" s="1507" t="s">
        <v>11</v>
      </c>
      <c r="S32" s="1508">
        <f t="shared" si="12"/>
        <v>100</v>
      </c>
      <c r="T32" s="1507" t="s">
        <v>11</v>
      </c>
      <c r="U32" s="1508">
        <f t="shared" si="13"/>
        <v>100</v>
      </c>
      <c r="V32" s="1507" t="s">
        <v>11</v>
      </c>
      <c r="W32" s="1508">
        <f t="shared" si="14"/>
        <v>100</v>
      </c>
      <c r="X32" s="1501"/>
      <c r="Y32" s="3491"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1"/>
      <c r="Q33" s="1535" t="str">
        <f t="shared" si="11"/>
        <v>项目建筑规模</v>
      </c>
      <c r="R33" s="1511" t="s">
        <v>11</v>
      </c>
      <c r="S33" s="1512" t="e">
        <f t="shared" si="12"/>
        <v>#N/A</v>
      </c>
      <c r="T33" s="1511" t="s">
        <v>11</v>
      </c>
      <c r="U33" s="1512" t="e">
        <f t="shared" si="13"/>
        <v>#N/A</v>
      </c>
      <c r="V33" s="1511" t="s">
        <v>11</v>
      </c>
      <c r="W33" s="1512" t="e">
        <f t="shared" si="14"/>
        <v>#N/A</v>
      </c>
      <c r="X33" s="1513"/>
      <c r="Y33" s="3491"/>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1"/>
      <c r="Q34" s="1506" t="str">
        <f t="shared" si="11"/>
        <v>建筑结构</v>
      </c>
      <c r="R34" s="1507" t="s">
        <v>11</v>
      </c>
      <c r="S34" s="1508">
        <f t="shared" si="12"/>
        <v>100</v>
      </c>
      <c r="T34" s="1507" t="s">
        <v>11</v>
      </c>
      <c r="U34" s="1508">
        <f t="shared" si="13"/>
        <v>100</v>
      </c>
      <c r="V34" s="1507" t="s">
        <v>11</v>
      </c>
      <c r="W34" s="1508">
        <f t="shared" si="14"/>
        <v>100</v>
      </c>
      <c r="X34" s="1501"/>
      <c r="Y34" s="3491"/>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1"/>
      <c r="Q35" s="1506" t="str">
        <f t="shared" si="11"/>
        <v>建筑品质</v>
      </c>
      <c r="R35" s="1507" t="s">
        <v>11</v>
      </c>
      <c r="S35" s="1508">
        <f t="shared" si="12"/>
        <v>100</v>
      </c>
      <c r="T35" s="1507" t="s">
        <v>11</v>
      </c>
      <c r="U35" s="1508">
        <f t="shared" si="13"/>
        <v>100</v>
      </c>
      <c r="V35" s="1507" t="s">
        <v>11</v>
      </c>
      <c r="W35" s="1508">
        <f t="shared" si="14"/>
        <v>100</v>
      </c>
      <c r="X35" s="1501"/>
      <c r="Y35" s="3491"/>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1"/>
      <c r="Q36" s="1506" t="str">
        <f t="shared" si="11"/>
        <v>公共部分装修</v>
      </c>
      <c r="R36" s="1507" t="s">
        <v>11</v>
      </c>
      <c r="S36" s="1508">
        <f t="shared" si="12"/>
        <v>100</v>
      </c>
      <c r="T36" s="1507" t="s">
        <v>11</v>
      </c>
      <c r="U36" s="1508">
        <f t="shared" si="13"/>
        <v>100</v>
      </c>
      <c r="V36" s="1507" t="s">
        <v>11</v>
      </c>
      <c r="W36" s="1508">
        <f t="shared" si="14"/>
        <v>100</v>
      </c>
      <c r="X36" s="1501"/>
      <c r="Y36" s="3491"/>
      <c r="Z36" s="1509" t="str">
        <f t="shared" si="15"/>
        <v>公共部分装修</v>
      </c>
      <c r="AA36" s="1510">
        <f t="shared" si="3"/>
        <v>1</v>
      </c>
      <c r="AB36" s="1510">
        <f t="shared" si="4"/>
        <v>1</v>
      </c>
      <c r="AC36" s="1510">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1"/>
      <c r="Q37" s="1134" t="str">
        <f t="shared" si="11"/>
        <v>成新度</v>
      </c>
      <c r="R37" s="1502" t="s">
        <v>11</v>
      </c>
      <c r="S37" s="1503" t="e">
        <f t="shared" si="12"/>
        <v>#N/A</v>
      </c>
      <c r="T37" s="1502" t="s">
        <v>11</v>
      </c>
      <c r="U37" s="1503" t="e">
        <f t="shared" si="13"/>
        <v>#N/A</v>
      </c>
      <c r="V37" s="1502" t="s">
        <v>11</v>
      </c>
      <c r="W37" s="1503" t="e">
        <f t="shared" si="14"/>
        <v>#N/A</v>
      </c>
      <c r="X37" s="1504"/>
      <c r="Y37" s="3491"/>
      <c r="Z37" s="1133" t="str">
        <f t="shared" si="15"/>
        <v>成新度</v>
      </c>
      <c r="AA37" s="1505" t="e">
        <f t="shared" si="3"/>
        <v>#N/A</v>
      </c>
      <c r="AB37" s="1505" t="e">
        <f t="shared" si="4"/>
        <v>#N/A</v>
      </c>
      <c r="AC37" s="1505"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1" t="s">
        <v>544</v>
      </c>
      <c r="Q38" s="1506" t="str">
        <f t="shared" si="11"/>
        <v>物业管理</v>
      </c>
      <c r="R38" s="1507" t="s">
        <v>11</v>
      </c>
      <c r="S38" s="1508">
        <f t="shared" si="12"/>
        <v>100</v>
      </c>
      <c r="T38" s="1507" t="s">
        <v>11</v>
      </c>
      <c r="U38" s="1508">
        <f t="shared" si="13"/>
        <v>100</v>
      </c>
      <c r="V38" s="1507" t="s">
        <v>11</v>
      </c>
      <c r="W38" s="1508">
        <f t="shared" si="14"/>
        <v>100</v>
      </c>
      <c r="X38" s="1501"/>
      <c r="Y38" s="3491" t="s">
        <v>544</v>
      </c>
      <c r="Z38" s="1509" t="str">
        <f t="shared" si="15"/>
        <v>物业管理</v>
      </c>
      <c r="AA38" s="1510">
        <f t="shared" si="3"/>
        <v>1</v>
      </c>
      <c r="AB38" s="1510">
        <f t="shared" si="4"/>
        <v>1</v>
      </c>
      <c r="AC38" s="1510">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1"/>
      <c r="Q39" s="1506" t="str">
        <f t="shared" si="11"/>
        <v>市政基础设施</v>
      </c>
      <c r="R39" s="1507" t="s">
        <v>11</v>
      </c>
      <c r="S39" s="1508">
        <f t="shared" si="12"/>
        <v>100</v>
      </c>
      <c r="T39" s="1507" t="s">
        <v>11</v>
      </c>
      <c r="U39" s="1508">
        <f t="shared" si="13"/>
        <v>100</v>
      </c>
      <c r="V39" s="1507" t="s">
        <v>11</v>
      </c>
      <c r="W39" s="1508">
        <f t="shared" si="14"/>
        <v>100</v>
      </c>
      <c r="X39" s="1501"/>
      <c r="Y39" s="3491"/>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1"/>
      <c r="Q40" s="1506" t="str">
        <f t="shared" si="11"/>
        <v>房型</v>
      </c>
      <c r="R40" s="1507" t="s">
        <v>11</v>
      </c>
      <c r="S40" s="1508">
        <f t="shared" si="12"/>
        <v>100</v>
      </c>
      <c r="T40" s="1507" t="s">
        <v>11</v>
      </c>
      <c r="U40" s="1508">
        <f t="shared" si="13"/>
        <v>100</v>
      </c>
      <c r="V40" s="1507" t="s">
        <v>11</v>
      </c>
      <c r="W40" s="1508">
        <f t="shared" si="14"/>
        <v>100</v>
      </c>
      <c r="X40" s="1501"/>
      <c r="Y40" s="3491"/>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1"/>
      <c r="Q41" s="1535" t="str">
        <f t="shared" si="11"/>
        <v>单套/主力户型建筑面积</v>
      </c>
      <c r="R41" s="1511" t="s">
        <v>11</v>
      </c>
      <c r="S41" s="1512">
        <f t="shared" si="12"/>
        <v>100</v>
      </c>
      <c r="T41" s="1511" t="s">
        <v>11</v>
      </c>
      <c r="U41" s="1512">
        <f t="shared" si="13"/>
        <v>100</v>
      </c>
      <c r="V41" s="1511" t="s">
        <v>11</v>
      </c>
      <c r="W41" s="1512">
        <f t="shared" si="14"/>
        <v>100</v>
      </c>
      <c r="X41" s="1513"/>
      <c r="Y41" s="3491"/>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1"/>
      <c r="Q42" s="1506" t="str">
        <f t="shared" si="11"/>
        <v>内部装修</v>
      </c>
      <c r="R42" s="1507" t="s">
        <v>11</v>
      </c>
      <c r="S42" s="1508">
        <f t="shared" si="12"/>
        <v>100</v>
      </c>
      <c r="T42" s="1507" t="s">
        <v>11</v>
      </c>
      <c r="U42" s="1508">
        <f t="shared" si="13"/>
        <v>100</v>
      </c>
      <c r="V42" s="1507" t="s">
        <v>11</v>
      </c>
      <c r="W42" s="1508">
        <f t="shared" si="14"/>
        <v>100</v>
      </c>
      <c r="X42" s="1501"/>
      <c r="Y42" s="3491"/>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1"/>
      <c r="Q43" s="1506" t="str">
        <f t="shared" si="11"/>
        <v>内部装修维护情况</v>
      </c>
      <c r="R43" s="1507" t="s">
        <v>11</v>
      </c>
      <c r="S43" s="1508">
        <f t="shared" si="12"/>
        <v>100</v>
      </c>
      <c r="T43" s="1507" t="s">
        <v>11</v>
      </c>
      <c r="U43" s="1508">
        <f t="shared" si="13"/>
        <v>100</v>
      </c>
      <c r="V43" s="1507" t="s">
        <v>11</v>
      </c>
      <c r="W43" s="1508">
        <f t="shared" si="14"/>
        <v>100</v>
      </c>
      <c r="X43" s="1501"/>
      <c r="Y43" s="3491"/>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1"/>
      <c r="Q44" s="1134">
        <f t="shared" si="11"/>
        <v>111</v>
      </c>
      <c r="R44" s="1502" t="s">
        <v>11</v>
      </c>
      <c r="S44" s="1503">
        <f t="shared" si="12"/>
        <v>100</v>
      </c>
      <c r="T44" s="1502" t="s">
        <v>11</v>
      </c>
      <c r="U44" s="1503">
        <f t="shared" si="13"/>
        <v>100</v>
      </c>
      <c r="V44" s="1502" t="s">
        <v>11</v>
      </c>
      <c r="W44" s="1503">
        <f t="shared" si="14"/>
        <v>100</v>
      </c>
      <c r="X44" s="1504"/>
      <c r="Y44" s="3491"/>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1"/>
      <c r="Q45" s="1506">
        <f t="shared" si="11"/>
        <v>111</v>
      </c>
      <c r="R45" s="1507" t="s">
        <v>11</v>
      </c>
      <c r="S45" s="1508">
        <f t="shared" si="12"/>
        <v>100</v>
      </c>
      <c r="T45" s="1507" t="s">
        <v>11</v>
      </c>
      <c r="U45" s="1508">
        <f t="shared" si="13"/>
        <v>100</v>
      </c>
      <c r="V45" s="1507" t="s">
        <v>11</v>
      </c>
      <c r="W45" s="1508">
        <f t="shared" si="14"/>
        <v>100</v>
      </c>
      <c r="X45" s="1501"/>
      <c r="Y45" s="3491"/>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92"/>
      <c r="Q46" s="1506">
        <f t="shared" si="11"/>
        <v>111</v>
      </c>
      <c r="R46" s="1507" t="s">
        <v>10</v>
      </c>
      <c r="S46" s="1508">
        <f t="shared" si="12"/>
        <v>100</v>
      </c>
      <c r="T46" s="1507" t="s">
        <v>10</v>
      </c>
      <c r="U46" s="1508">
        <f t="shared" si="13"/>
        <v>100</v>
      </c>
      <c r="V46" s="1507" t="s">
        <v>10</v>
      </c>
      <c r="W46" s="1508">
        <f t="shared" si="14"/>
        <v>100</v>
      </c>
      <c r="X46" s="1501"/>
      <c r="Y46" s="3592"/>
      <c r="Z46" s="1509">
        <f t="shared" si="15"/>
        <v>111</v>
      </c>
      <c r="AA46" s="1510">
        <f t="shared" si="3"/>
        <v>1</v>
      </c>
      <c r="AB46" s="1510">
        <f t="shared" si="4"/>
        <v>1</v>
      </c>
      <c r="AC46" s="1510">
        <f t="shared" si="5"/>
        <v>1</v>
      </c>
    </row>
    <row r="47" spans="1:29" ht="15">
      <c r="A47" s="601" t="s">
        <v>730</v>
      </c>
      <c r="B47" s="876"/>
      <c r="C47" s="2470" t="s">
        <v>9</v>
      </c>
      <c r="D47" s="2471"/>
      <c r="E47" s="2472"/>
      <c r="F47" s="2473"/>
      <c r="G47" s="2474"/>
      <c r="H47" s="2475"/>
      <c r="I47" s="2472"/>
      <c r="J47" s="2475"/>
      <c r="K47" s="1536"/>
      <c r="L47" s="2026"/>
      <c r="M47" s="2027"/>
      <c r="N47" s="2016"/>
      <c r="O47" s="2027"/>
      <c r="P47" s="3486" t="str">
        <f>A47</f>
        <v>成交单价（元/平方米）</v>
      </c>
      <c r="Q47" s="3486"/>
      <c r="R47" s="3591">
        <f>E47</f>
        <v>0</v>
      </c>
      <c r="S47" s="3591"/>
      <c r="T47" s="3591">
        <f>G47</f>
        <v>0</v>
      </c>
      <c r="U47" s="3591"/>
      <c r="V47" s="3591">
        <f>I47</f>
        <v>0</v>
      </c>
      <c r="W47" s="3591"/>
      <c r="X47" s="1496"/>
      <c r="Y47" s="1515"/>
      <c r="Z47" s="1496"/>
      <c r="AA47" s="1496"/>
      <c r="AB47" s="1496"/>
      <c r="AC47" s="1496"/>
    </row>
    <row r="48" spans="1:29" ht="15.75" thickBot="1">
      <c r="A48" s="609" t="s">
        <v>2741</v>
      </c>
      <c r="B48" s="877"/>
      <c r="C48" s="2476" t="e">
        <f>R49</f>
        <v>#DIV/0!</v>
      </c>
      <c r="D48" s="3014" t="s">
        <v>2972</v>
      </c>
      <c r="E48" s="2477" t="e">
        <f>R48</f>
        <v>#DIV/0!</v>
      </c>
      <c r="F48" s="3015"/>
      <c r="G48" s="2476" t="e">
        <f>T48</f>
        <v>#DIV/0!</v>
      </c>
      <c r="H48" s="3015"/>
      <c r="I48" s="2477" t="e">
        <f>V48</f>
        <v>#DIV/0!</v>
      </c>
      <c r="J48" s="3015"/>
      <c r="K48" s="3023">
        <f>F48+H48+J48</f>
        <v>0</v>
      </c>
      <c r="L48" s="2026"/>
      <c r="M48" s="2027"/>
      <c r="N48" s="2027"/>
      <c r="O48" s="2027"/>
      <c r="P48" s="3486" t="str">
        <f>A48</f>
        <v>比较价格（元/平方米）</v>
      </c>
      <c r="Q48" s="3486"/>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496"/>
      <c r="Y48" s="1496"/>
      <c r="Z48" s="1496"/>
      <c r="AA48" s="1496"/>
      <c r="AB48" s="1496"/>
      <c r="AC48" s="1496"/>
    </row>
    <row r="49" spans="1:29" ht="15.75" thickBot="1">
      <c r="A49" s="613" t="s">
        <v>2904</v>
      </c>
      <c r="B49" s="614"/>
      <c r="C49" s="2478" t="e">
        <f>R49</f>
        <v>#DIV/0!</v>
      </c>
      <c r="D49" s="2478"/>
      <c r="E49" s="2478"/>
      <c r="F49" s="2478"/>
      <c r="G49" s="2478"/>
      <c r="H49" s="2478"/>
      <c r="I49" s="2478"/>
      <c r="J49" s="2478"/>
      <c r="K49" s="1537"/>
      <c r="L49" s="2026"/>
      <c r="M49" s="2027"/>
      <c r="N49" s="2027"/>
      <c r="O49" s="2027"/>
      <c r="P49" s="3507" t="str">
        <f>A49</f>
        <v>估价对象XX用房的比较价格（楼面单价，元/平方米）</v>
      </c>
      <c r="Q49" s="3508"/>
      <c r="R49" s="3590" t="e">
        <f>IF(F1="售价",ROUND(IF(D48="简单平均",AVERAGE(R48:V48),R48*F48+T48*H48+V48*J48),0),ROUND(IF(D48="简单平均",AVERAGE(R48:V48),R48*F48+T48*H48+V48*J48),1))</f>
        <v>#DIV/0!</v>
      </c>
      <c r="S49" s="3590"/>
      <c r="T49" s="3590"/>
      <c r="U49" s="3590"/>
      <c r="V49" s="3590"/>
      <c r="W49" s="3590"/>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92" t="s">
        <v>516</v>
      </c>
      <c r="D4" s="3493"/>
      <c r="E4" s="3517" t="s">
        <v>517</v>
      </c>
      <c r="F4" s="3518"/>
      <c r="G4" s="3492" t="s">
        <v>518</v>
      </c>
      <c r="H4" s="3493"/>
      <c r="I4" s="3492" t="s">
        <v>519</v>
      </c>
      <c r="J4" s="3493"/>
      <c r="K4" s="508" t="s">
        <v>520</v>
      </c>
      <c r="L4" s="2015"/>
      <c r="M4" s="2016"/>
      <c r="N4" s="2016"/>
      <c r="O4" s="2016"/>
      <c r="P4" s="3494" t="s">
        <v>521</v>
      </c>
      <c r="Q4" s="3495"/>
      <c r="R4" s="3480" t="s">
        <v>517</v>
      </c>
      <c r="S4" s="3481"/>
      <c r="T4" s="3480" t="s">
        <v>518</v>
      </c>
      <c r="U4" s="3481"/>
      <c r="V4" s="3500" t="s">
        <v>519</v>
      </c>
      <c r="W4" s="3500"/>
      <c r="X4" s="1501"/>
      <c r="Y4" s="3480" t="s">
        <v>521</v>
      </c>
      <c r="Z4" s="3481"/>
      <c r="AA4" s="3475" t="s">
        <v>517</v>
      </c>
      <c r="AB4" s="3500" t="s">
        <v>518</v>
      </c>
      <c r="AC4" s="3475" t="s">
        <v>519</v>
      </c>
    </row>
    <row r="5" spans="1:29" ht="15">
      <c r="A5" s="509"/>
      <c r="B5" s="510"/>
      <c r="C5" s="3503" t="s">
        <v>2898</v>
      </c>
      <c r="D5" s="3504"/>
      <c r="E5" s="3519" t="s">
        <v>2899</v>
      </c>
      <c r="F5" s="3520"/>
      <c r="G5" s="3503" t="s">
        <v>2900</v>
      </c>
      <c r="H5" s="3504"/>
      <c r="I5" s="3503" t="s">
        <v>2901</v>
      </c>
      <c r="J5" s="3504"/>
      <c r="K5" s="508"/>
      <c r="L5" s="2015"/>
      <c r="M5" s="2016"/>
      <c r="N5" s="2016"/>
      <c r="O5" s="2016"/>
      <c r="P5" s="3496"/>
      <c r="Q5" s="3497"/>
      <c r="R5" s="3482"/>
      <c r="S5" s="3483"/>
      <c r="T5" s="3482"/>
      <c r="U5" s="3483"/>
      <c r="V5" s="3500"/>
      <c r="W5" s="3500"/>
      <c r="X5" s="1501"/>
      <c r="Y5" s="3482"/>
      <c r="Z5" s="3483"/>
      <c r="AA5" s="3476"/>
      <c r="AB5" s="3500"/>
      <c r="AC5" s="3476"/>
    </row>
    <row r="6" spans="1:29" ht="15.75" thickBot="1">
      <c r="A6" s="511"/>
      <c r="B6" s="512"/>
      <c r="C6" s="3501" t="s">
        <v>2902</v>
      </c>
      <c r="D6" s="3502"/>
      <c r="E6" s="3521" t="s">
        <v>2902</v>
      </c>
      <c r="F6" s="3522"/>
      <c r="G6" s="3501" t="s">
        <v>2902</v>
      </c>
      <c r="H6" s="3502"/>
      <c r="I6" s="3501" t="s">
        <v>2902</v>
      </c>
      <c r="J6" s="3502"/>
      <c r="K6" s="508" t="s">
        <v>522</v>
      </c>
      <c r="L6" s="2015"/>
      <c r="M6" s="2016"/>
      <c r="N6" s="2016"/>
      <c r="O6" s="2016"/>
      <c r="P6" s="3498"/>
      <c r="Q6" s="3499"/>
      <c r="R6" s="3482"/>
      <c r="S6" s="3483"/>
      <c r="T6" s="3484"/>
      <c r="U6" s="3485"/>
      <c r="V6" s="3500"/>
      <c r="W6" s="3500"/>
      <c r="X6" s="1501"/>
      <c r="Y6" s="3484"/>
      <c r="Z6" s="3485"/>
      <c r="AA6" s="3477"/>
      <c r="AB6" s="3500"/>
      <c r="AC6" s="3477"/>
    </row>
    <row r="7" spans="1:29" s="1203" customFormat="1" ht="15.75" thickBot="1">
      <c r="A7" s="2629"/>
      <c r="B7" s="2636" t="s">
        <v>523</v>
      </c>
      <c r="C7" s="513">
        <f>'数据-取费表'!B2</f>
        <v>44187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78" t="s">
        <v>524</v>
      </c>
      <c r="Q7" s="3487"/>
      <c r="R7" s="1502" t="s">
        <v>8</v>
      </c>
      <c r="S7" s="1503">
        <f t="shared" ref="S7:S15" si="0">F7</f>
        <v>0</v>
      </c>
      <c r="T7" s="1502" t="s">
        <v>8</v>
      </c>
      <c r="U7" s="1503">
        <f t="shared" ref="U7:U15" si="1">H7</f>
        <v>0</v>
      </c>
      <c r="V7" s="1502" t="s">
        <v>8</v>
      </c>
      <c r="W7" s="1503">
        <f t="shared" ref="W7:W15" si="2">J7</f>
        <v>0</v>
      </c>
      <c r="X7" s="1504"/>
      <c r="Y7" s="3478" t="s">
        <v>524</v>
      </c>
      <c r="Z7" s="3479"/>
      <c r="AA7" s="1505" t="e">
        <f>D7/F7</f>
        <v>#DIV/0!</v>
      </c>
      <c r="AB7" s="1505" t="e">
        <f>D7/H7</f>
        <v>#DIV/0!</v>
      </c>
      <c r="AC7" s="1505"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78" t="s">
        <v>527</v>
      </c>
      <c r="Q8" s="3479"/>
      <c r="R8" s="1502" t="s">
        <v>8</v>
      </c>
      <c r="S8" s="1503">
        <f t="shared" si="0"/>
        <v>0</v>
      </c>
      <c r="T8" s="1502" t="s">
        <v>8</v>
      </c>
      <c r="U8" s="1503">
        <f t="shared" si="1"/>
        <v>0</v>
      </c>
      <c r="V8" s="1502" t="s">
        <v>8</v>
      </c>
      <c r="W8" s="1503">
        <f t="shared" si="2"/>
        <v>0</v>
      </c>
      <c r="X8" s="1504"/>
      <c r="Y8" s="3478" t="s">
        <v>527</v>
      </c>
      <c r="Z8" s="3479"/>
      <c r="AA8" s="1505" t="e">
        <f t="shared" ref="AA8:AA46" si="3">D8/F8</f>
        <v>#DIV/0!</v>
      </c>
      <c r="AB8" s="1505" t="e">
        <f t="shared" ref="AB8:AB46" si="4">D8/H8</f>
        <v>#DIV/0!</v>
      </c>
      <c r="AC8" s="1505"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6" t="s">
        <v>529</v>
      </c>
      <c r="Q9" s="1134" t="str">
        <f t="shared" ref="Q9:Q15" si="6">B9</f>
        <v>用途</v>
      </c>
      <c r="R9" s="1502" t="s">
        <v>8</v>
      </c>
      <c r="S9" s="1503">
        <f t="shared" si="0"/>
        <v>100</v>
      </c>
      <c r="T9" s="1502" t="s">
        <v>8</v>
      </c>
      <c r="U9" s="1503">
        <f t="shared" si="1"/>
        <v>100</v>
      </c>
      <c r="V9" s="1502" t="s">
        <v>8</v>
      </c>
      <c r="W9" s="1503">
        <f t="shared" si="2"/>
        <v>100</v>
      </c>
      <c r="X9" s="1504"/>
      <c r="Y9" s="3437" t="s">
        <v>530</v>
      </c>
      <c r="Z9" s="1133" t="str">
        <f t="shared" ref="Z9:Z15" si="7">Q9</f>
        <v>用途</v>
      </c>
      <c r="AA9" s="1505">
        <f t="shared" si="3"/>
        <v>1</v>
      </c>
      <c r="AB9" s="1505">
        <f t="shared" si="4"/>
        <v>1</v>
      </c>
      <c r="AC9" s="1505">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7"/>
      <c r="Z10" s="1133"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6"/>
      <c r="Q11" s="1134" t="str">
        <f t="shared" si="6"/>
        <v>容积率</v>
      </c>
      <c r="R11" s="1502" t="s">
        <v>8</v>
      </c>
      <c r="S11" s="1503" t="e">
        <f t="shared" si="0"/>
        <v>#N/A</v>
      </c>
      <c r="T11" s="1502" t="s">
        <v>8</v>
      </c>
      <c r="U11" s="1503" t="e">
        <f t="shared" si="1"/>
        <v>#N/A</v>
      </c>
      <c r="V11" s="1502" t="s">
        <v>8</v>
      </c>
      <c r="W11" s="1503" t="e">
        <f t="shared" si="2"/>
        <v>#N/A</v>
      </c>
      <c r="X11" s="1504"/>
      <c r="Y11" s="3437"/>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86"/>
      <c r="Q12" s="1134">
        <f t="shared" si="6"/>
        <v>111</v>
      </c>
      <c r="R12" s="1502" t="s">
        <v>8</v>
      </c>
      <c r="S12" s="1503">
        <f t="shared" si="0"/>
        <v>100</v>
      </c>
      <c r="T12" s="1502" t="s">
        <v>8</v>
      </c>
      <c r="U12" s="1503">
        <f t="shared" si="1"/>
        <v>100</v>
      </c>
      <c r="V12" s="1502" t="s">
        <v>8</v>
      </c>
      <c r="W12" s="1503">
        <f t="shared" si="2"/>
        <v>100</v>
      </c>
      <c r="X12" s="1504"/>
      <c r="Y12" s="3437"/>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86"/>
      <c r="Q13" s="1134">
        <f t="shared" si="6"/>
        <v>111</v>
      </c>
      <c r="R13" s="1502" t="s">
        <v>8</v>
      </c>
      <c r="S13" s="1503">
        <f t="shared" si="0"/>
        <v>100</v>
      </c>
      <c r="T13" s="1502" t="s">
        <v>8</v>
      </c>
      <c r="U13" s="1503">
        <f t="shared" si="1"/>
        <v>100</v>
      </c>
      <c r="V13" s="1502" t="s">
        <v>8</v>
      </c>
      <c r="W13" s="1503">
        <f t="shared" si="2"/>
        <v>100</v>
      </c>
      <c r="X13" s="1504"/>
      <c r="Y13" s="3437"/>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86"/>
      <c r="Q14" s="1134">
        <f t="shared" si="6"/>
        <v>111</v>
      </c>
      <c r="R14" s="1502" t="s">
        <v>8</v>
      </c>
      <c r="S14" s="1503">
        <f t="shared" si="0"/>
        <v>100</v>
      </c>
      <c r="T14" s="1502" t="s">
        <v>8</v>
      </c>
      <c r="U14" s="1503">
        <f t="shared" si="1"/>
        <v>100</v>
      </c>
      <c r="V14" s="1502" t="s">
        <v>8</v>
      </c>
      <c r="W14" s="1503">
        <f t="shared" si="2"/>
        <v>100</v>
      </c>
      <c r="X14" s="1504"/>
      <c r="Y14" s="3437"/>
      <c r="Z14" s="1133">
        <f t="shared" si="7"/>
        <v>111</v>
      </c>
      <c r="AA14" s="1505">
        <f t="shared" si="3"/>
        <v>1</v>
      </c>
      <c r="AB14" s="1505">
        <f t="shared" si="4"/>
        <v>1</v>
      </c>
      <c r="AC14" s="1505">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88" t="s">
        <v>534</v>
      </c>
      <c r="Q15" s="1506" t="str">
        <f t="shared" si="6"/>
        <v>商业繁华度</v>
      </c>
      <c r="R15" s="1507" t="s">
        <v>8</v>
      </c>
      <c r="S15" s="1508">
        <f t="shared" si="0"/>
        <v>100</v>
      </c>
      <c r="T15" s="1507" t="s">
        <v>8</v>
      </c>
      <c r="U15" s="1508">
        <f t="shared" si="1"/>
        <v>100</v>
      </c>
      <c r="V15" s="1507" t="s">
        <v>8</v>
      </c>
      <c r="W15" s="1508">
        <f t="shared" si="2"/>
        <v>100</v>
      </c>
      <c r="X15" s="1501"/>
      <c r="Y15" s="3488"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89"/>
      <c r="Q16" s="1506"/>
      <c r="R16" s="1507"/>
      <c r="S16" s="1508"/>
      <c r="T16" s="1507"/>
      <c r="U16" s="1508"/>
      <c r="V16" s="1507"/>
      <c r="W16" s="1508"/>
      <c r="X16" s="1501"/>
      <c r="Y16" s="3489"/>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89"/>
      <c r="Q17" s="1506" t="str">
        <f>B17</f>
        <v>交通便捷度</v>
      </c>
      <c r="R17" s="1507" t="s">
        <v>8</v>
      </c>
      <c r="S17" s="1508">
        <f>F17</f>
        <v>100</v>
      </c>
      <c r="T17" s="1507" t="s">
        <v>8</v>
      </c>
      <c r="U17" s="1508">
        <f>H17</f>
        <v>100</v>
      </c>
      <c r="V17" s="1507" t="s">
        <v>8</v>
      </c>
      <c r="W17" s="1508">
        <f>J17</f>
        <v>100</v>
      </c>
      <c r="X17" s="1501"/>
      <c r="Y17" s="348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89"/>
      <c r="Q18" s="1506"/>
      <c r="R18" s="1507"/>
      <c r="S18" s="1508"/>
      <c r="T18" s="1507"/>
      <c r="U18" s="1508"/>
      <c r="V18" s="1507"/>
      <c r="W18" s="1508"/>
      <c r="X18" s="1501"/>
      <c r="Y18" s="3489"/>
      <c r="Z18" s="1509"/>
      <c r="AA18" s="1510">
        <v>1</v>
      </c>
      <c r="AB18" s="1510">
        <v>1</v>
      </c>
      <c r="AC18" s="1510">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89"/>
      <c r="Q19" s="1506" t="str">
        <f>B19</f>
        <v>公共配套设施</v>
      </c>
      <c r="R19" s="1507" t="s">
        <v>8</v>
      </c>
      <c r="S19" s="1508">
        <f>F19</f>
        <v>100</v>
      </c>
      <c r="T19" s="1507" t="s">
        <v>8</v>
      </c>
      <c r="U19" s="1508">
        <f>H19</f>
        <v>100</v>
      </c>
      <c r="V19" s="1507" t="s">
        <v>8</v>
      </c>
      <c r="W19" s="1508">
        <f>J19</f>
        <v>100</v>
      </c>
      <c r="X19" s="1501"/>
      <c r="Y19" s="3489"/>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489"/>
      <c r="Q20" s="1506"/>
      <c r="R20" s="1507"/>
      <c r="S20" s="1508"/>
      <c r="T20" s="1507"/>
      <c r="U20" s="1508"/>
      <c r="V20" s="1507"/>
      <c r="W20" s="1508"/>
      <c r="X20" s="1501"/>
      <c r="Y20" s="3489"/>
      <c r="Z20" s="1509"/>
      <c r="AA20" s="1510">
        <v>1</v>
      </c>
      <c r="AB20" s="1510">
        <v>1</v>
      </c>
      <c r="AC20" s="1510">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89"/>
      <c r="Q21" s="2429" t="str">
        <f>B21</f>
        <v>基础设施水平</v>
      </c>
      <c r="R21" s="1507" t="s">
        <v>8</v>
      </c>
      <c r="S21" s="1508">
        <f>F21</f>
        <v>100</v>
      </c>
      <c r="T21" s="1507" t="s">
        <v>8</v>
      </c>
      <c r="U21" s="1508">
        <f>H21</f>
        <v>100</v>
      </c>
      <c r="V21" s="1507" t="s">
        <v>8</v>
      </c>
      <c r="W21" s="1508">
        <f>J21</f>
        <v>100</v>
      </c>
      <c r="X21" s="2431"/>
      <c r="Y21" s="3489"/>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489"/>
      <c r="Q22" s="2429"/>
      <c r="R22" s="1507"/>
      <c r="S22" s="1508"/>
      <c r="T22" s="1507"/>
      <c r="U22" s="1508"/>
      <c r="V22" s="1507"/>
      <c r="W22" s="1508"/>
      <c r="X22" s="2431"/>
      <c r="Y22" s="3489"/>
      <c r="Z22" s="2430"/>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89"/>
      <c r="Q23" s="1506" t="str">
        <f>B23</f>
        <v>自然及人文环境</v>
      </c>
      <c r="R23" s="1507" t="s">
        <v>8</v>
      </c>
      <c r="S23" s="1508">
        <f>F23</f>
        <v>100</v>
      </c>
      <c r="T23" s="1507" t="s">
        <v>8</v>
      </c>
      <c r="U23" s="1508">
        <f>H23</f>
        <v>100</v>
      </c>
      <c r="V23" s="1507" t="s">
        <v>8</v>
      </c>
      <c r="W23" s="1508">
        <f>J23</f>
        <v>100</v>
      </c>
      <c r="X23" s="1501"/>
      <c r="Y23" s="3489"/>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489"/>
      <c r="Q24" s="1506"/>
      <c r="R24" s="1507"/>
      <c r="S24" s="1508"/>
      <c r="T24" s="1507"/>
      <c r="U24" s="1508"/>
      <c r="V24" s="1507"/>
      <c r="W24" s="1508"/>
      <c r="X24" s="1501"/>
      <c r="Y24" s="3489"/>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89"/>
      <c r="Q25" s="1506" t="str">
        <f t="shared" ref="Q25:Q46" si="11">B25</f>
        <v>临街状况</v>
      </c>
      <c r="R25" s="1507" t="s">
        <v>8</v>
      </c>
      <c r="S25" s="1508">
        <f>F25</f>
        <v>100</v>
      </c>
      <c r="T25" s="1507" t="s">
        <v>8</v>
      </c>
      <c r="U25" s="1508">
        <f>H25</f>
        <v>100</v>
      </c>
      <c r="V25" s="1507" t="s">
        <v>8</v>
      </c>
      <c r="W25" s="1508">
        <f>J25</f>
        <v>100</v>
      </c>
      <c r="X25" s="1501"/>
      <c r="Y25" s="3489"/>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89"/>
      <c r="Q26" s="1506" t="str">
        <f t="shared" si="11"/>
        <v>平面位置/可视性</v>
      </c>
      <c r="R26" s="1507" t="s">
        <v>8</v>
      </c>
      <c r="S26" s="1508">
        <f>F26</f>
        <v>100</v>
      </c>
      <c r="T26" s="1507" t="s">
        <v>8</v>
      </c>
      <c r="U26" s="1508">
        <f>H26</f>
        <v>100</v>
      </c>
      <c r="V26" s="1507" t="s">
        <v>8</v>
      </c>
      <c r="W26" s="1508">
        <f>J26</f>
        <v>100</v>
      </c>
      <c r="X26" s="1501"/>
      <c r="Y26" s="3489"/>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89"/>
      <c r="Q27" s="1134" t="str">
        <f t="shared" si="11"/>
        <v>人流量</v>
      </c>
      <c r="R27" s="1502" t="s">
        <v>8</v>
      </c>
      <c r="S27" s="1503">
        <f>F27</f>
        <v>100</v>
      </c>
      <c r="T27" s="1502" t="s">
        <v>8</v>
      </c>
      <c r="U27" s="1503">
        <f>H27</f>
        <v>100</v>
      </c>
      <c r="V27" s="1502" t="s">
        <v>8</v>
      </c>
      <c r="W27" s="1503">
        <f>J27</f>
        <v>100</v>
      </c>
      <c r="X27" s="1504"/>
      <c r="Y27" s="3489"/>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89"/>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89"/>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89"/>
      <c r="Q29" s="1506">
        <f t="shared" si="11"/>
        <v>111</v>
      </c>
      <c r="R29" s="1507" t="s">
        <v>8</v>
      </c>
      <c r="S29" s="1508">
        <f t="shared" si="12"/>
        <v>100</v>
      </c>
      <c r="T29" s="1507" t="s">
        <v>8</v>
      </c>
      <c r="U29" s="1508">
        <f t="shared" si="13"/>
        <v>100</v>
      </c>
      <c r="V29" s="1507" t="s">
        <v>8</v>
      </c>
      <c r="W29" s="1508">
        <f t="shared" si="14"/>
        <v>100</v>
      </c>
      <c r="X29" s="1501"/>
      <c r="Y29" s="3489"/>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89"/>
      <c r="Q30" s="1506">
        <f t="shared" si="11"/>
        <v>111</v>
      </c>
      <c r="R30" s="1507" t="s">
        <v>8</v>
      </c>
      <c r="S30" s="1508">
        <f t="shared" si="12"/>
        <v>100</v>
      </c>
      <c r="T30" s="1507" t="s">
        <v>8</v>
      </c>
      <c r="U30" s="1508">
        <f t="shared" si="13"/>
        <v>100</v>
      </c>
      <c r="V30" s="1507" t="s">
        <v>8</v>
      </c>
      <c r="W30" s="1508">
        <f t="shared" si="14"/>
        <v>100</v>
      </c>
      <c r="X30" s="1501"/>
      <c r="Y30" s="3489"/>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89"/>
      <c r="Q31" s="1506">
        <f t="shared" si="11"/>
        <v>111</v>
      </c>
      <c r="R31" s="1507" t="s">
        <v>8</v>
      </c>
      <c r="S31" s="1508">
        <f t="shared" si="12"/>
        <v>100</v>
      </c>
      <c r="T31" s="1507" t="s">
        <v>8</v>
      </c>
      <c r="U31" s="1508">
        <f t="shared" si="13"/>
        <v>100</v>
      </c>
      <c r="V31" s="1507" t="s">
        <v>8</v>
      </c>
      <c r="W31" s="1508">
        <f t="shared" si="14"/>
        <v>100</v>
      </c>
      <c r="X31" s="1501"/>
      <c r="Y31" s="3489"/>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0" t="s">
        <v>544</v>
      </c>
      <c r="Q32" s="1506" t="str">
        <f t="shared" si="11"/>
        <v>商业类型</v>
      </c>
      <c r="R32" s="1507" t="s">
        <v>8</v>
      </c>
      <c r="S32" s="1508">
        <f t="shared" si="12"/>
        <v>100</v>
      </c>
      <c r="T32" s="1507" t="s">
        <v>8</v>
      </c>
      <c r="U32" s="1508">
        <f t="shared" si="13"/>
        <v>100</v>
      </c>
      <c r="V32" s="1507" t="s">
        <v>8</v>
      </c>
      <c r="W32" s="1508">
        <f t="shared" si="14"/>
        <v>100</v>
      </c>
      <c r="X32" s="1501"/>
      <c r="Y32" s="3491"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1"/>
      <c r="Q33" s="1535" t="str">
        <f t="shared" si="11"/>
        <v>项目建筑规模</v>
      </c>
      <c r="R33" s="1511" t="s">
        <v>8</v>
      </c>
      <c r="S33" s="1512" t="e">
        <f t="shared" si="12"/>
        <v>#N/A</v>
      </c>
      <c r="T33" s="1511" t="s">
        <v>8</v>
      </c>
      <c r="U33" s="1512" t="e">
        <f t="shared" si="13"/>
        <v>#N/A</v>
      </c>
      <c r="V33" s="1511" t="s">
        <v>8</v>
      </c>
      <c r="W33" s="1512" t="e">
        <f t="shared" si="14"/>
        <v>#N/A</v>
      </c>
      <c r="X33" s="1513"/>
      <c r="Y33" s="3491"/>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1"/>
      <c r="Q34" s="1506" t="str">
        <f t="shared" si="11"/>
        <v>建筑结构</v>
      </c>
      <c r="R34" s="1507" t="s">
        <v>8</v>
      </c>
      <c r="S34" s="1508">
        <f t="shared" si="12"/>
        <v>100</v>
      </c>
      <c r="T34" s="1507" t="s">
        <v>8</v>
      </c>
      <c r="U34" s="1508">
        <f t="shared" si="13"/>
        <v>100</v>
      </c>
      <c r="V34" s="1507" t="s">
        <v>8</v>
      </c>
      <c r="W34" s="1508">
        <f t="shared" si="14"/>
        <v>100</v>
      </c>
      <c r="X34" s="1501"/>
      <c r="Y34" s="3491"/>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1"/>
      <c r="Q35" s="1506" t="str">
        <f t="shared" si="11"/>
        <v>公共部分装修</v>
      </c>
      <c r="R35" s="1507" t="s">
        <v>8</v>
      </c>
      <c r="S35" s="1508">
        <f t="shared" si="12"/>
        <v>100</v>
      </c>
      <c r="T35" s="1507" t="s">
        <v>8</v>
      </c>
      <c r="U35" s="1508">
        <f t="shared" si="13"/>
        <v>100</v>
      </c>
      <c r="V35" s="1507" t="s">
        <v>8</v>
      </c>
      <c r="W35" s="1508">
        <f t="shared" si="14"/>
        <v>100</v>
      </c>
      <c r="X35" s="1501"/>
      <c r="Y35" s="3491"/>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1"/>
      <c r="Q36" s="1506" t="str">
        <f t="shared" si="11"/>
        <v>成新度</v>
      </c>
      <c r="R36" s="1507" t="s">
        <v>8</v>
      </c>
      <c r="S36" s="1508" t="e">
        <f t="shared" si="12"/>
        <v>#N/A</v>
      </c>
      <c r="T36" s="1507" t="s">
        <v>8</v>
      </c>
      <c r="U36" s="1508" t="e">
        <f t="shared" si="13"/>
        <v>#N/A</v>
      </c>
      <c r="V36" s="1507" t="s">
        <v>8</v>
      </c>
      <c r="W36" s="1508" t="e">
        <f t="shared" si="14"/>
        <v>#N/A</v>
      </c>
      <c r="X36" s="1501"/>
      <c r="Y36" s="3491"/>
      <c r="Z36" s="1509" t="str">
        <f t="shared" si="15"/>
        <v>成新度</v>
      </c>
      <c r="AA36" s="1510" t="e">
        <f t="shared" si="3"/>
        <v>#N/A</v>
      </c>
      <c r="AB36" s="1510" t="e">
        <f t="shared" si="4"/>
        <v>#N/A</v>
      </c>
      <c r="AC36" s="1510"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1"/>
      <c r="Q37" s="1134" t="str">
        <f t="shared" si="11"/>
        <v>市政基础设施</v>
      </c>
      <c r="R37" s="1502" t="s">
        <v>8</v>
      </c>
      <c r="S37" s="1503">
        <f t="shared" si="12"/>
        <v>100</v>
      </c>
      <c r="T37" s="1502" t="s">
        <v>8</v>
      </c>
      <c r="U37" s="1503">
        <f t="shared" si="13"/>
        <v>100</v>
      </c>
      <c r="V37" s="1502" t="s">
        <v>8</v>
      </c>
      <c r="W37" s="1503">
        <f t="shared" si="14"/>
        <v>100</v>
      </c>
      <c r="X37" s="1504"/>
      <c r="Y37" s="3491"/>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1" t="s">
        <v>760</v>
      </c>
      <c r="Q38" s="1506" t="str">
        <f t="shared" si="11"/>
        <v>业态</v>
      </c>
      <c r="R38" s="1507" t="s">
        <v>8</v>
      </c>
      <c r="S38" s="1508">
        <f t="shared" si="12"/>
        <v>100</v>
      </c>
      <c r="T38" s="1507" t="s">
        <v>8</v>
      </c>
      <c r="U38" s="1508">
        <f t="shared" si="13"/>
        <v>100</v>
      </c>
      <c r="V38" s="1507" t="s">
        <v>8</v>
      </c>
      <c r="W38" s="1508">
        <f t="shared" si="14"/>
        <v>100</v>
      </c>
      <c r="X38" s="1501"/>
      <c r="Y38" s="3491"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1"/>
      <c r="Q39" s="1506" t="str">
        <f t="shared" si="11"/>
        <v>层高</v>
      </c>
      <c r="R39" s="1507" t="s">
        <v>8</v>
      </c>
      <c r="S39" s="1508">
        <f t="shared" si="12"/>
        <v>100</v>
      </c>
      <c r="T39" s="1507" t="s">
        <v>8</v>
      </c>
      <c r="U39" s="1508">
        <f t="shared" si="13"/>
        <v>100</v>
      </c>
      <c r="V39" s="1507" t="s">
        <v>8</v>
      </c>
      <c r="W39" s="1508">
        <f t="shared" si="14"/>
        <v>100</v>
      </c>
      <c r="X39" s="1501"/>
      <c r="Y39" s="3491"/>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1"/>
      <c r="Q40" s="1506" t="str">
        <f t="shared" si="11"/>
        <v>单套建筑面积</v>
      </c>
      <c r="R40" s="1507" t="s">
        <v>8</v>
      </c>
      <c r="S40" s="1508">
        <f t="shared" si="12"/>
        <v>100</v>
      </c>
      <c r="T40" s="1507" t="s">
        <v>8</v>
      </c>
      <c r="U40" s="1508">
        <f t="shared" si="13"/>
        <v>100</v>
      </c>
      <c r="V40" s="1507" t="s">
        <v>8</v>
      </c>
      <c r="W40" s="1508">
        <f t="shared" si="14"/>
        <v>100</v>
      </c>
      <c r="X40" s="1501"/>
      <c r="Y40" s="3491"/>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1"/>
      <c r="Q41" s="1535" t="str">
        <f t="shared" si="11"/>
        <v>进深比</v>
      </c>
      <c r="R41" s="1511" t="s">
        <v>8</v>
      </c>
      <c r="S41" s="1512">
        <f t="shared" si="12"/>
        <v>100</v>
      </c>
      <c r="T41" s="1511" t="s">
        <v>8</v>
      </c>
      <c r="U41" s="1512">
        <f t="shared" si="13"/>
        <v>100</v>
      </c>
      <c r="V41" s="1511" t="s">
        <v>8</v>
      </c>
      <c r="W41" s="1512">
        <f t="shared" si="14"/>
        <v>100</v>
      </c>
      <c r="X41" s="1513"/>
      <c r="Y41" s="3491"/>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1"/>
      <c r="Q42" s="1506" t="str">
        <f t="shared" si="11"/>
        <v>内部装修</v>
      </c>
      <c r="R42" s="1507" t="s">
        <v>8</v>
      </c>
      <c r="S42" s="1508">
        <f t="shared" si="12"/>
        <v>100</v>
      </c>
      <c r="T42" s="1507" t="s">
        <v>8</v>
      </c>
      <c r="U42" s="1508">
        <f t="shared" si="13"/>
        <v>100</v>
      </c>
      <c r="V42" s="1507" t="s">
        <v>8</v>
      </c>
      <c r="W42" s="1508">
        <f t="shared" si="14"/>
        <v>100</v>
      </c>
      <c r="X42" s="1501"/>
      <c r="Y42" s="3491"/>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1"/>
      <c r="Q43" s="1506" t="str">
        <f t="shared" si="11"/>
        <v>内部装修维护情况</v>
      </c>
      <c r="R43" s="1507" t="s">
        <v>8</v>
      </c>
      <c r="S43" s="1508">
        <f t="shared" si="12"/>
        <v>100</v>
      </c>
      <c r="T43" s="1507" t="s">
        <v>8</v>
      </c>
      <c r="U43" s="1508">
        <f t="shared" si="13"/>
        <v>100</v>
      </c>
      <c r="V43" s="1507" t="s">
        <v>8</v>
      </c>
      <c r="W43" s="1508">
        <f t="shared" si="14"/>
        <v>100</v>
      </c>
      <c r="X43" s="1501"/>
      <c r="Y43" s="3491"/>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1"/>
      <c r="Q44" s="1134">
        <f t="shared" si="11"/>
        <v>111</v>
      </c>
      <c r="R44" s="1502" t="s">
        <v>8</v>
      </c>
      <c r="S44" s="1503">
        <f t="shared" si="12"/>
        <v>100</v>
      </c>
      <c r="T44" s="1502" t="s">
        <v>8</v>
      </c>
      <c r="U44" s="1503">
        <f t="shared" si="13"/>
        <v>100</v>
      </c>
      <c r="V44" s="1502" t="s">
        <v>8</v>
      </c>
      <c r="W44" s="1503">
        <f t="shared" si="14"/>
        <v>100</v>
      </c>
      <c r="X44" s="1504"/>
      <c r="Y44" s="3491"/>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1"/>
      <c r="Q45" s="1506">
        <f t="shared" si="11"/>
        <v>111</v>
      </c>
      <c r="R45" s="1507" t="s">
        <v>8</v>
      </c>
      <c r="S45" s="1508">
        <f t="shared" si="12"/>
        <v>100</v>
      </c>
      <c r="T45" s="1507" t="s">
        <v>8</v>
      </c>
      <c r="U45" s="1508">
        <f t="shared" si="13"/>
        <v>100</v>
      </c>
      <c r="V45" s="1507" t="s">
        <v>8</v>
      </c>
      <c r="W45" s="1508">
        <f t="shared" si="14"/>
        <v>100</v>
      </c>
      <c r="X45" s="1501"/>
      <c r="Y45" s="3491"/>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92"/>
      <c r="Q46" s="1506">
        <f t="shared" si="11"/>
        <v>111</v>
      </c>
      <c r="R46" s="1507" t="s">
        <v>8</v>
      </c>
      <c r="S46" s="1508">
        <f t="shared" si="12"/>
        <v>100</v>
      </c>
      <c r="T46" s="1507" t="s">
        <v>8</v>
      </c>
      <c r="U46" s="1508">
        <f t="shared" si="13"/>
        <v>100</v>
      </c>
      <c r="V46" s="1507" t="s">
        <v>8</v>
      </c>
      <c r="W46" s="1508">
        <f t="shared" si="14"/>
        <v>100</v>
      </c>
      <c r="X46" s="1501"/>
      <c r="Y46" s="3592"/>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486" t="str">
        <f>A47</f>
        <v>成交单价（元/平方米）</v>
      </c>
      <c r="Q47" s="3486"/>
      <c r="R47" s="3591">
        <f>E47</f>
        <v>0</v>
      </c>
      <c r="S47" s="3591"/>
      <c r="T47" s="3591">
        <f>G47</f>
        <v>0</v>
      </c>
      <c r="U47" s="3591"/>
      <c r="V47" s="3591">
        <f>I47</f>
        <v>0</v>
      </c>
      <c r="W47" s="3591"/>
      <c r="X47" s="1496"/>
      <c r="Y47" s="1515"/>
      <c r="Z47" s="1496"/>
      <c r="AA47" s="1496"/>
      <c r="AB47" s="1496"/>
      <c r="AC47" s="1496"/>
    </row>
    <row r="48" spans="1:29" ht="15.75" thickBot="1">
      <c r="A48" s="609" t="s">
        <v>2741</v>
      </c>
      <c r="B48" s="877"/>
      <c r="C48" s="2476" t="e">
        <f>R49</f>
        <v>#DIV/0!</v>
      </c>
      <c r="D48" s="3014" t="s">
        <v>2972</v>
      </c>
      <c r="E48" s="2477" t="e">
        <f>R48</f>
        <v>#DIV/0!</v>
      </c>
      <c r="F48" s="3015"/>
      <c r="G48" s="2476" t="e">
        <f>T48</f>
        <v>#DIV/0!</v>
      </c>
      <c r="H48" s="3015"/>
      <c r="I48" s="2477" t="e">
        <f>V48</f>
        <v>#DIV/0!</v>
      </c>
      <c r="J48" s="3015"/>
      <c r="K48" s="3023">
        <f>F48+H48+J48</f>
        <v>0</v>
      </c>
      <c r="L48" s="2026"/>
      <c r="M48" s="2027"/>
      <c r="N48" s="2016"/>
      <c r="O48" s="2027"/>
      <c r="P48" s="3486" t="str">
        <f>A48</f>
        <v>比较价格（元/平方米）</v>
      </c>
      <c r="Q48" s="3486"/>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496"/>
      <c r="Y48" s="1496"/>
      <c r="Z48" s="1496"/>
      <c r="AA48" s="1496"/>
      <c r="AB48" s="1496"/>
      <c r="AC48" s="1496"/>
    </row>
    <row r="49" spans="1:29" ht="15.75" thickBot="1">
      <c r="A49" s="613" t="s">
        <v>2904</v>
      </c>
      <c r="B49" s="614"/>
      <c r="C49" s="2478" t="e">
        <f>R49</f>
        <v>#DIV/0!</v>
      </c>
      <c r="D49" s="2478"/>
      <c r="E49" s="2478"/>
      <c r="F49" s="2478"/>
      <c r="G49" s="2478"/>
      <c r="H49" s="2478"/>
      <c r="I49" s="2478"/>
      <c r="J49" s="2478"/>
      <c r="K49" s="1541"/>
      <c r="L49" s="2026"/>
      <c r="M49" s="2027"/>
      <c r="N49" s="2016"/>
      <c r="O49" s="2027"/>
      <c r="P49" s="3507" t="str">
        <f>A49</f>
        <v>估价对象XX用房的比较价格（楼面单价，元/平方米）</v>
      </c>
      <c r="Q49" s="3508"/>
      <c r="R49" s="3590" t="e">
        <f>IF(F1="售价",ROUND(IF(D48="简单平均",AVERAGE(R48:V48),R48*F48+T48*H48+V48*J48),0),ROUND(IF(D48="简单平均",AVERAGE(R48:V48),R48*F48+T48*H48+V48*J48),1))</f>
        <v>#DIV/0!</v>
      </c>
      <c r="S49" s="3590"/>
      <c r="T49" s="3590"/>
      <c r="U49" s="3590"/>
      <c r="V49" s="3590"/>
      <c r="W49" s="3590"/>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92" t="s">
        <v>516</v>
      </c>
      <c r="D4" s="3493"/>
      <c r="E4" s="3517" t="s">
        <v>517</v>
      </c>
      <c r="F4" s="3518"/>
      <c r="G4" s="3492" t="s">
        <v>518</v>
      </c>
      <c r="H4" s="3493"/>
      <c r="I4" s="3492" t="s">
        <v>519</v>
      </c>
      <c r="J4" s="3493"/>
      <c r="K4" s="508" t="s">
        <v>520</v>
      </c>
      <c r="L4" s="2015"/>
      <c r="M4" s="2016"/>
      <c r="N4" s="2016"/>
      <c r="O4" s="2016"/>
      <c r="P4" s="3593" t="s">
        <v>521</v>
      </c>
      <c r="Q4" s="3495"/>
      <c r="R4" s="3480" t="s">
        <v>517</v>
      </c>
      <c r="S4" s="3481"/>
      <c r="T4" s="3480" t="s">
        <v>518</v>
      </c>
      <c r="U4" s="3481"/>
      <c r="V4" s="3500" t="s">
        <v>519</v>
      </c>
      <c r="W4" s="3500"/>
      <c r="X4" s="1501"/>
      <c r="Y4" s="3480" t="s">
        <v>521</v>
      </c>
      <c r="Z4" s="3481"/>
      <c r="AA4" s="3475" t="s">
        <v>517</v>
      </c>
      <c r="AB4" s="3475" t="s">
        <v>518</v>
      </c>
      <c r="AC4" s="3475" t="s">
        <v>519</v>
      </c>
    </row>
    <row r="5" spans="1:29" ht="15">
      <c r="A5" s="509"/>
      <c r="B5" s="510"/>
      <c r="C5" s="3503" t="s">
        <v>2898</v>
      </c>
      <c r="D5" s="3504"/>
      <c r="E5" s="3519" t="s">
        <v>2899</v>
      </c>
      <c r="F5" s="3520"/>
      <c r="G5" s="3503" t="s">
        <v>2900</v>
      </c>
      <c r="H5" s="3504"/>
      <c r="I5" s="3503" t="s">
        <v>2901</v>
      </c>
      <c r="J5" s="3504"/>
      <c r="K5" s="508"/>
      <c r="L5" s="2015"/>
      <c r="M5" s="2016"/>
      <c r="N5" s="2016"/>
      <c r="O5" s="2016"/>
      <c r="P5" s="3594"/>
      <c r="Q5" s="3497"/>
      <c r="R5" s="3482"/>
      <c r="S5" s="3483"/>
      <c r="T5" s="3482"/>
      <c r="U5" s="3483"/>
      <c r="V5" s="3500"/>
      <c r="W5" s="3500"/>
      <c r="X5" s="1501"/>
      <c r="Y5" s="3482"/>
      <c r="Z5" s="3483"/>
      <c r="AA5" s="3476"/>
      <c r="AB5" s="3476"/>
      <c r="AC5" s="3476"/>
    </row>
    <row r="6" spans="1:29" ht="15.75" thickBot="1">
      <c r="A6" s="511"/>
      <c r="B6" s="512"/>
      <c r="C6" s="3501" t="s">
        <v>2902</v>
      </c>
      <c r="D6" s="3502"/>
      <c r="E6" s="3521" t="s">
        <v>2902</v>
      </c>
      <c r="F6" s="3522"/>
      <c r="G6" s="3501" t="s">
        <v>2902</v>
      </c>
      <c r="H6" s="3502"/>
      <c r="I6" s="3501" t="s">
        <v>2902</v>
      </c>
      <c r="J6" s="3502"/>
      <c r="K6" s="508" t="s">
        <v>522</v>
      </c>
      <c r="L6" s="2015"/>
      <c r="M6" s="2016"/>
      <c r="N6" s="2016"/>
      <c r="O6" s="2016"/>
      <c r="P6" s="3595"/>
      <c r="Q6" s="3499"/>
      <c r="R6" s="3482"/>
      <c r="S6" s="3483"/>
      <c r="T6" s="3484"/>
      <c r="U6" s="3485"/>
      <c r="V6" s="3500"/>
      <c r="W6" s="3500"/>
      <c r="X6" s="1501"/>
      <c r="Y6" s="3484"/>
      <c r="Z6" s="3485"/>
      <c r="AA6" s="3477"/>
      <c r="AB6" s="3477"/>
      <c r="AC6" s="3477"/>
    </row>
    <row r="7" spans="1:29" s="1203" customFormat="1" ht="15.75" thickBot="1">
      <c r="A7" s="2629"/>
      <c r="B7" s="2636" t="s">
        <v>523</v>
      </c>
      <c r="C7" s="513">
        <f>'数据-取费表'!B2</f>
        <v>44187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87" t="s">
        <v>524</v>
      </c>
      <c r="Q7" s="3487"/>
      <c r="R7" s="1502" t="s">
        <v>8</v>
      </c>
      <c r="S7" s="1503">
        <f t="shared" ref="S7:S15" si="0">F7</f>
        <v>0</v>
      </c>
      <c r="T7" s="1502" t="s">
        <v>8</v>
      </c>
      <c r="U7" s="1503">
        <f t="shared" ref="U7:U15" si="1">H7</f>
        <v>0</v>
      </c>
      <c r="V7" s="1502" t="s">
        <v>8</v>
      </c>
      <c r="W7" s="1503">
        <f t="shared" ref="W7:W15" si="2">J7</f>
        <v>0</v>
      </c>
      <c r="X7" s="1504"/>
      <c r="Y7" s="3478" t="s">
        <v>524</v>
      </c>
      <c r="Z7" s="3479"/>
      <c r="AA7" s="1505" t="e">
        <f>D7/F7</f>
        <v>#DIV/0!</v>
      </c>
      <c r="AB7" s="1505" t="e">
        <f>D7/H7</f>
        <v>#DIV/0!</v>
      </c>
      <c r="AC7" s="1505"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87" t="s">
        <v>527</v>
      </c>
      <c r="Q8" s="3479"/>
      <c r="R8" s="1502" t="s">
        <v>8</v>
      </c>
      <c r="S8" s="1503">
        <f t="shared" si="0"/>
        <v>0</v>
      </c>
      <c r="T8" s="1502" t="s">
        <v>8</v>
      </c>
      <c r="U8" s="1503">
        <f t="shared" si="1"/>
        <v>0</v>
      </c>
      <c r="V8" s="1502" t="s">
        <v>8</v>
      </c>
      <c r="W8" s="1503">
        <f t="shared" si="2"/>
        <v>0</v>
      </c>
      <c r="X8" s="1504"/>
      <c r="Y8" s="3478" t="s">
        <v>527</v>
      </c>
      <c r="Z8" s="3479"/>
      <c r="AA8" s="1505" t="e">
        <f t="shared" ref="AA8:AA47" si="3">D8/F8</f>
        <v>#DIV/0!</v>
      </c>
      <c r="AB8" s="1505" t="e">
        <f t="shared" ref="AB8:AB47" si="4">D8/H8</f>
        <v>#DIV/0!</v>
      </c>
      <c r="AC8" s="1505"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6" t="s">
        <v>529</v>
      </c>
      <c r="Q9" s="1134" t="str">
        <f t="shared" ref="Q9:Q15" si="6">B9</f>
        <v>用途</v>
      </c>
      <c r="R9" s="1502" t="s">
        <v>8</v>
      </c>
      <c r="S9" s="1503">
        <f t="shared" si="0"/>
        <v>100</v>
      </c>
      <c r="T9" s="1502" t="s">
        <v>8</v>
      </c>
      <c r="U9" s="1503">
        <f t="shared" si="1"/>
        <v>100</v>
      </c>
      <c r="V9" s="1502" t="s">
        <v>8</v>
      </c>
      <c r="W9" s="1503">
        <f t="shared" si="2"/>
        <v>100</v>
      </c>
      <c r="X9" s="1504"/>
      <c r="Y9" s="3437" t="s">
        <v>530</v>
      </c>
      <c r="Z9" s="1133" t="str">
        <f t="shared" ref="Z9:Z15" si="7">Q9</f>
        <v>用途</v>
      </c>
      <c r="AA9" s="1505">
        <f t="shared" si="3"/>
        <v>1</v>
      </c>
      <c r="AB9" s="1505">
        <f t="shared" si="4"/>
        <v>1</v>
      </c>
      <c r="AC9" s="1505">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6"/>
      <c r="Q10" s="1134" t="str">
        <f t="shared" si="6"/>
        <v>土地使用年限（年）</v>
      </c>
      <c r="R10" s="1502" t="s">
        <v>8</v>
      </c>
      <c r="S10" s="1503">
        <f t="shared" si="0"/>
        <v>100</v>
      </c>
      <c r="T10" s="1502" t="s">
        <v>8</v>
      </c>
      <c r="U10" s="1503">
        <f t="shared" si="1"/>
        <v>100</v>
      </c>
      <c r="V10" s="1502" t="s">
        <v>8</v>
      </c>
      <c r="W10" s="1503">
        <f t="shared" si="2"/>
        <v>100</v>
      </c>
      <c r="X10" s="1504"/>
      <c r="Y10" s="3437"/>
      <c r="Z10" s="1133"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6"/>
      <c r="Q11" s="1134" t="str">
        <f t="shared" si="6"/>
        <v>容积率</v>
      </c>
      <c r="R11" s="1502" t="s">
        <v>8</v>
      </c>
      <c r="S11" s="1503" t="e">
        <f t="shared" si="0"/>
        <v>#N/A</v>
      </c>
      <c r="T11" s="1502" t="s">
        <v>8</v>
      </c>
      <c r="U11" s="1503" t="e">
        <f t="shared" si="1"/>
        <v>#N/A</v>
      </c>
      <c r="V11" s="1502" t="s">
        <v>8</v>
      </c>
      <c r="W11" s="1503" t="e">
        <f t="shared" si="2"/>
        <v>#N/A</v>
      </c>
      <c r="X11" s="1504"/>
      <c r="Y11" s="3437"/>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86"/>
      <c r="Q12" s="1134">
        <f t="shared" si="6"/>
        <v>111</v>
      </c>
      <c r="R12" s="1502" t="s">
        <v>8</v>
      </c>
      <c r="S12" s="1503">
        <f t="shared" si="0"/>
        <v>100</v>
      </c>
      <c r="T12" s="1502" t="s">
        <v>8</v>
      </c>
      <c r="U12" s="1503">
        <f t="shared" si="1"/>
        <v>100</v>
      </c>
      <c r="V12" s="1502" t="s">
        <v>8</v>
      </c>
      <c r="W12" s="1503">
        <f t="shared" si="2"/>
        <v>100</v>
      </c>
      <c r="X12" s="1504"/>
      <c r="Y12" s="3437"/>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86"/>
      <c r="Q13" s="1134">
        <f t="shared" si="6"/>
        <v>111</v>
      </c>
      <c r="R13" s="1502" t="s">
        <v>8</v>
      </c>
      <c r="S13" s="1503">
        <f t="shared" si="0"/>
        <v>100</v>
      </c>
      <c r="T13" s="1502" t="s">
        <v>8</v>
      </c>
      <c r="U13" s="1503">
        <f t="shared" si="1"/>
        <v>100</v>
      </c>
      <c r="V13" s="1502" t="s">
        <v>8</v>
      </c>
      <c r="W13" s="1503">
        <f t="shared" si="2"/>
        <v>100</v>
      </c>
      <c r="X13" s="1504"/>
      <c r="Y13" s="3437"/>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86"/>
      <c r="Q14" s="1134">
        <f t="shared" si="6"/>
        <v>111</v>
      </c>
      <c r="R14" s="1502" t="s">
        <v>8</v>
      </c>
      <c r="S14" s="1503">
        <f t="shared" si="0"/>
        <v>100</v>
      </c>
      <c r="T14" s="1502" t="s">
        <v>8</v>
      </c>
      <c r="U14" s="1503">
        <f t="shared" si="1"/>
        <v>100</v>
      </c>
      <c r="V14" s="1502" t="s">
        <v>8</v>
      </c>
      <c r="W14" s="1503">
        <f t="shared" si="2"/>
        <v>100</v>
      </c>
      <c r="X14" s="1504"/>
      <c r="Y14" s="3437"/>
      <c r="Z14" s="1133">
        <f t="shared" si="7"/>
        <v>111</v>
      </c>
      <c r="AA14" s="1505">
        <f t="shared" si="3"/>
        <v>1</v>
      </c>
      <c r="AB14" s="1505">
        <f t="shared" si="4"/>
        <v>1</v>
      </c>
      <c r="AC14" s="1505">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88" t="s">
        <v>534</v>
      </c>
      <c r="Q15" s="1506" t="str">
        <f t="shared" si="6"/>
        <v>办公集聚程度</v>
      </c>
      <c r="R15" s="1507" t="s">
        <v>8</v>
      </c>
      <c r="S15" s="1508">
        <f t="shared" si="0"/>
        <v>100</v>
      </c>
      <c r="T15" s="1507" t="s">
        <v>8</v>
      </c>
      <c r="U15" s="1508">
        <f t="shared" si="1"/>
        <v>100</v>
      </c>
      <c r="V15" s="1507" t="s">
        <v>8</v>
      </c>
      <c r="W15" s="1508">
        <f t="shared" si="2"/>
        <v>100</v>
      </c>
      <c r="X15" s="1501"/>
      <c r="Y15" s="3488"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489"/>
      <c r="Q16" s="1506"/>
      <c r="R16" s="1507"/>
      <c r="S16" s="1508"/>
      <c r="T16" s="1507"/>
      <c r="U16" s="1508"/>
      <c r="V16" s="1507"/>
      <c r="W16" s="1508"/>
      <c r="X16" s="1501"/>
      <c r="Y16" s="3489"/>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89"/>
      <c r="Q17" s="1506" t="str">
        <f>B17</f>
        <v>交通便捷度</v>
      </c>
      <c r="R17" s="1507" t="s">
        <v>8</v>
      </c>
      <c r="S17" s="1508">
        <f>F17</f>
        <v>100</v>
      </c>
      <c r="T17" s="1507" t="s">
        <v>8</v>
      </c>
      <c r="U17" s="1508">
        <f>H17</f>
        <v>100</v>
      </c>
      <c r="V17" s="1507" t="s">
        <v>8</v>
      </c>
      <c r="W17" s="1508">
        <f>J17</f>
        <v>100</v>
      </c>
      <c r="X17" s="1501"/>
      <c r="Y17" s="3489"/>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489"/>
      <c r="Q18" s="1506"/>
      <c r="R18" s="1507"/>
      <c r="S18" s="1508"/>
      <c r="T18" s="1507"/>
      <c r="U18" s="1508"/>
      <c r="V18" s="1507"/>
      <c r="W18" s="1508"/>
      <c r="X18" s="1501"/>
      <c r="Y18" s="3489"/>
      <c r="Z18" s="1509"/>
      <c r="AA18" s="1510">
        <v>1</v>
      </c>
      <c r="AB18" s="1510">
        <v>1</v>
      </c>
      <c r="AC18" s="1510">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89"/>
      <c r="Q19" s="1506" t="str">
        <f>B19</f>
        <v>公共配套设施</v>
      </c>
      <c r="R19" s="1507" t="s">
        <v>8</v>
      </c>
      <c r="S19" s="1508">
        <f>F19</f>
        <v>100</v>
      </c>
      <c r="T19" s="1507" t="s">
        <v>8</v>
      </c>
      <c r="U19" s="1508">
        <f>H19</f>
        <v>100</v>
      </c>
      <c r="V19" s="1507" t="s">
        <v>8</v>
      </c>
      <c r="W19" s="1508">
        <f>J19</f>
        <v>100</v>
      </c>
      <c r="X19" s="1501"/>
      <c r="Y19" s="3489"/>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489"/>
      <c r="Q20" s="1506"/>
      <c r="R20" s="1507"/>
      <c r="S20" s="1508"/>
      <c r="T20" s="1507"/>
      <c r="U20" s="1508"/>
      <c r="V20" s="1507"/>
      <c r="W20" s="1508"/>
      <c r="X20" s="1501"/>
      <c r="Y20" s="3489"/>
      <c r="Z20" s="1509"/>
      <c r="AA20" s="1510">
        <v>1</v>
      </c>
      <c r="AB20" s="1510">
        <v>1</v>
      </c>
      <c r="AC20" s="1510">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89"/>
      <c r="Q21" s="2429" t="str">
        <f>B21</f>
        <v>基础设施水平</v>
      </c>
      <c r="R21" s="1507" t="s">
        <v>8</v>
      </c>
      <c r="S21" s="1508">
        <f>F21</f>
        <v>100</v>
      </c>
      <c r="T21" s="1507" t="s">
        <v>8</v>
      </c>
      <c r="U21" s="1508">
        <f>H21</f>
        <v>100</v>
      </c>
      <c r="V21" s="1507" t="s">
        <v>8</v>
      </c>
      <c r="W21" s="1508">
        <f>J21</f>
        <v>100</v>
      </c>
      <c r="X21" s="2431"/>
      <c r="Y21" s="3489"/>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89"/>
      <c r="Q22" s="2429"/>
      <c r="R22" s="1507"/>
      <c r="S22" s="1508"/>
      <c r="T22" s="1507"/>
      <c r="U22" s="1508"/>
      <c r="V22" s="1507"/>
      <c r="W22" s="1508"/>
      <c r="X22" s="2431"/>
      <c r="Y22" s="3489"/>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89"/>
      <c r="Q23" s="1506" t="str">
        <f>B23</f>
        <v>环境质量</v>
      </c>
      <c r="R23" s="1507" t="s">
        <v>8</v>
      </c>
      <c r="S23" s="1508">
        <f>F23</f>
        <v>100</v>
      </c>
      <c r="T23" s="1507" t="s">
        <v>8</v>
      </c>
      <c r="U23" s="1508">
        <f>H23</f>
        <v>100</v>
      </c>
      <c r="V23" s="1507" t="s">
        <v>8</v>
      </c>
      <c r="W23" s="1508">
        <f>J23</f>
        <v>100</v>
      </c>
      <c r="X23" s="1501"/>
      <c r="Y23" s="3489"/>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489"/>
      <c r="Q24" s="1506"/>
      <c r="R24" s="1507"/>
      <c r="S24" s="1508"/>
      <c r="T24" s="1507"/>
      <c r="U24" s="1508"/>
      <c r="V24" s="1507"/>
      <c r="W24" s="1508"/>
      <c r="X24" s="1501"/>
      <c r="Y24" s="3489"/>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89"/>
      <c r="Q25" s="1506" t="str">
        <f>B25</f>
        <v>毗邻道路的类型与等级</v>
      </c>
      <c r="R25" s="1507" t="s">
        <v>8</v>
      </c>
      <c r="S25" s="1508">
        <f>F25</f>
        <v>100</v>
      </c>
      <c r="T25" s="1507" t="s">
        <v>8</v>
      </c>
      <c r="U25" s="1508">
        <f>H25</f>
        <v>100</v>
      </c>
      <c r="V25" s="1507" t="s">
        <v>8</v>
      </c>
      <c r="W25" s="1508">
        <f>J25</f>
        <v>100</v>
      </c>
      <c r="X25" s="1501"/>
      <c r="Y25" s="3489"/>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489"/>
      <c r="Q26" s="1506"/>
      <c r="R26" s="1507"/>
      <c r="S26" s="1508"/>
      <c r="T26" s="1507"/>
      <c r="U26" s="1508"/>
      <c r="V26" s="1507"/>
      <c r="W26" s="1508"/>
      <c r="X26" s="1501"/>
      <c r="Y26" s="3489"/>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89"/>
      <c r="Q27" s="1506" t="str">
        <f t="shared" ref="Q27:Q47" si="11">B27</f>
        <v>楼层</v>
      </c>
      <c r="R27" s="1507" t="s">
        <v>8</v>
      </c>
      <c r="S27" s="1508">
        <f>F27</f>
        <v>100</v>
      </c>
      <c r="T27" s="1507" t="s">
        <v>8</v>
      </c>
      <c r="U27" s="1508">
        <f>H27</f>
        <v>100</v>
      </c>
      <c r="V27" s="1507" t="s">
        <v>8</v>
      </c>
      <c r="W27" s="1508">
        <f>J27</f>
        <v>100</v>
      </c>
      <c r="X27" s="1501"/>
      <c r="Y27" s="3489"/>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89"/>
      <c r="Q28" s="1134" t="str">
        <f t="shared" si="11"/>
        <v>朝向</v>
      </c>
      <c r="R28" s="1502" t="s">
        <v>8</v>
      </c>
      <c r="S28" s="1503">
        <f>F28</f>
        <v>100</v>
      </c>
      <c r="T28" s="1502" t="s">
        <v>8</v>
      </c>
      <c r="U28" s="1503">
        <f>H28</f>
        <v>100</v>
      </c>
      <c r="V28" s="1502" t="s">
        <v>8</v>
      </c>
      <c r="W28" s="1503">
        <f>J28</f>
        <v>100</v>
      </c>
      <c r="X28" s="1504"/>
      <c r="Y28" s="3489"/>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89"/>
      <c r="Q29" s="1506">
        <f t="shared" si="11"/>
        <v>111</v>
      </c>
      <c r="R29" s="1507" t="s">
        <v>8</v>
      </c>
      <c r="S29" s="1508">
        <f t="shared" ref="S29:S47" si="12">F29</f>
        <v>100</v>
      </c>
      <c r="T29" s="1507" t="s">
        <v>8</v>
      </c>
      <c r="U29" s="1508">
        <f t="shared" ref="U29:U47" si="13">H29</f>
        <v>100</v>
      </c>
      <c r="V29" s="1507" t="s">
        <v>8</v>
      </c>
      <c r="W29" s="1508">
        <f t="shared" ref="W29:W47" si="14">J29</f>
        <v>100</v>
      </c>
      <c r="X29" s="1501"/>
      <c r="Y29" s="3489"/>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89"/>
      <c r="Q30" s="1506">
        <f t="shared" si="11"/>
        <v>111</v>
      </c>
      <c r="R30" s="1507" t="s">
        <v>8</v>
      </c>
      <c r="S30" s="1508">
        <f t="shared" si="12"/>
        <v>100</v>
      </c>
      <c r="T30" s="1507" t="s">
        <v>8</v>
      </c>
      <c r="U30" s="1508">
        <f t="shared" si="13"/>
        <v>100</v>
      </c>
      <c r="V30" s="1507" t="s">
        <v>8</v>
      </c>
      <c r="W30" s="1508">
        <f t="shared" si="14"/>
        <v>100</v>
      </c>
      <c r="X30" s="1501"/>
      <c r="Y30" s="3489"/>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89"/>
      <c r="Q31" s="1506">
        <f t="shared" si="11"/>
        <v>111</v>
      </c>
      <c r="R31" s="1507" t="s">
        <v>8</v>
      </c>
      <c r="S31" s="1508">
        <f t="shared" si="12"/>
        <v>100</v>
      </c>
      <c r="T31" s="1507" t="s">
        <v>8</v>
      </c>
      <c r="U31" s="1508">
        <f t="shared" si="13"/>
        <v>100</v>
      </c>
      <c r="V31" s="1507" t="s">
        <v>8</v>
      </c>
      <c r="W31" s="1508">
        <f t="shared" si="14"/>
        <v>100</v>
      </c>
      <c r="X31" s="1501"/>
      <c r="Y31" s="3489"/>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89"/>
      <c r="Q32" s="1506">
        <f t="shared" si="11"/>
        <v>111</v>
      </c>
      <c r="R32" s="1507" t="s">
        <v>8</v>
      </c>
      <c r="S32" s="1508">
        <f t="shared" si="12"/>
        <v>100</v>
      </c>
      <c r="T32" s="1507" t="s">
        <v>8</v>
      </c>
      <c r="U32" s="1508">
        <f t="shared" si="13"/>
        <v>100</v>
      </c>
      <c r="V32" s="1507" t="s">
        <v>8</v>
      </c>
      <c r="W32" s="1508">
        <f t="shared" si="14"/>
        <v>100</v>
      </c>
      <c r="X32" s="1501"/>
      <c r="Y32" s="3489"/>
      <c r="Z32" s="1509">
        <f t="shared" si="15"/>
        <v>111</v>
      </c>
      <c r="AA32" s="1510">
        <f t="shared" si="3"/>
        <v>1</v>
      </c>
      <c r="AB32" s="1510">
        <f t="shared" si="4"/>
        <v>1</v>
      </c>
      <c r="AC32" s="1510">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0" t="s">
        <v>544</v>
      </c>
      <c r="Q33" s="1506" t="str">
        <f t="shared" si="11"/>
        <v>建筑类型</v>
      </c>
      <c r="R33" s="1507" t="s">
        <v>8</v>
      </c>
      <c r="S33" s="1508">
        <f t="shared" si="12"/>
        <v>100</v>
      </c>
      <c r="T33" s="1507" t="s">
        <v>8</v>
      </c>
      <c r="U33" s="1508">
        <f t="shared" si="13"/>
        <v>100</v>
      </c>
      <c r="V33" s="1507" t="s">
        <v>8</v>
      </c>
      <c r="W33" s="1508">
        <f t="shared" si="14"/>
        <v>100</v>
      </c>
      <c r="X33" s="1501"/>
      <c r="Y33" s="3491"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1"/>
      <c r="Q34" s="1535" t="str">
        <f t="shared" si="11"/>
        <v>项目建筑规模</v>
      </c>
      <c r="R34" s="1511" t="s">
        <v>8</v>
      </c>
      <c r="S34" s="1512" t="e">
        <f t="shared" si="12"/>
        <v>#N/A</v>
      </c>
      <c r="T34" s="1511" t="s">
        <v>8</v>
      </c>
      <c r="U34" s="1512" t="e">
        <f t="shared" si="13"/>
        <v>#N/A</v>
      </c>
      <c r="V34" s="1511" t="s">
        <v>8</v>
      </c>
      <c r="W34" s="1512" t="e">
        <f t="shared" si="14"/>
        <v>#N/A</v>
      </c>
      <c r="X34" s="1513"/>
      <c r="Y34" s="3491"/>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1"/>
      <c r="Q35" s="1506" t="str">
        <f t="shared" si="11"/>
        <v>建筑结构</v>
      </c>
      <c r="R35" s="1507" t="s">
        <v>8</v>
      </c>
      <c r="S35" s="1508">
        <f t="shared" si="12"/>
        <v>100</v>
      </c>
      <c r="T35" s="1507" t="s">
        <v>8</v>
      </c>
      <c r="U35" s="1508">
        <f t="shared" si="13"/>
        <v>100</v>
      </c>
      <c r="V35" s="1507" t="s">
        <v>8</v>
      </c>
      <c r="W35" s="1508">
        <f t="shared" si="14"/>
        <v>100</v>
      </c>
      <c r="X35" s="1501"/>
      <c r="Y35" s="3491"/>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1"/>
      <c r="Q36" s="1506" t="str">
        <f t="shared" si="11"/>
        <v>公共部分装修</v>
      </c>
      <c r="R36" s="1507" t="s">
        <v>8</v>
      </c>
      <c r="S36" s="1508">
        <f t="shared" si="12"/>
        <v>100</v>
      </c>
      <c r="T36" s="1507" t="s">
        <v>8</v>
      </c>
      <c r="U36" s="1508">
        <f t="shared" si="13"/>
        <v>100</v>
      </c>
      <c r="V36" s="1507" t="s">
        <v>8</v>
      </c>
      <c r="W36" s="1508">
        <f t="shared" si="14"/>
        <v>100</v>
      </c>
      <c r="X36" s="1501"/>
      <c r="Y36" s="3491"/>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1"/>
      <c r="Q37" s="1506" t="str">
        <f t="shared" si="11"/>
        <v>成新度</v>
      </c>
      <c r="R37" s="1507" t="s">
        <v>8</v>
      </c>
      <c r="S37" s="1508" t="e">
        <f t="shared" si="12"/>
        <v>#N/A</v>
      </c>
      <c r="T37" s="1507" t="s">
        <v>8</v>
      </c>
      <c r="U37" s="1508" t="e">
        <f t="shared" si="13"/>
        <v>#N/A</v>
      </c>
      <c r="V37" s="1507" t="s">
        <v>8</v>
      </c>
      <c r="W37" s="1508" t="e">
        <f t="shared" si="14"/>
        <v>#N/A</v>
      </c>
      <c r="X37" s="1501"/>
      <c r="Y37" s="3491"/>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1"/>
      <c r="Q38" s="1134" t="str">
        <f t="shared" si="11"/>
        <v>写字楼等级</v>
      </c>
      <c r="R38" s="1502" t="s">
        <v>8</v>
      </c>
      <c r="S38" s="1503">
        <f t="shared" si="12"/>
        <v>100</v>
      </c>
      <c r="T38" s="1502" t="s">
        <v>8</v>
      </c>
      <c r="U38" s="1503">
        <f t="shared" si="13"/>
        <v>100</v>
      </c>
      <c r="V38" s="1502" t="s">
        <v>8</v>
      </c>
      <c r="W38" s="1503">
        <f t="shared" si="14"/>
        <v>100</v>
      </c>
      <c r="X38" s="1504"/>
      <c r="Y38" s="3491"/>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1" t="s">
        <v>544</v>
      </c>
      <c r="Q39" s="1506" t="str">
        <f t="shared" si="11"/>
        <v>物业管理</v>
      </c>
      <c r="R39" s="1507" t="s">
        <v>8</v>
      </c>
      <c r="S39" s="1508">
        <f t="shared" si="12"/>
        <v>100</v>
      </c>
      <c r="T39" s="1507" t="s">
        <v>8</v>
      </c>
      <c r="U39" s="1508">
        <f t="shared" si="13"/>
        <v>100</v>
      </c>
      <c r="V39" s="1507" t="s">
        <v>8</v>
      </c>
      <c r="W39" s="1508">
        <f t="shared" si="14"/>
        <v>100</v>
      </c>
      <c r="X39" s="1501"/>
      <c r="Y39" s="3491"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1"/>
      <c r="Q40" s="1506" t="str">
        <f t="shared" si="11"/>
        <v>市政基础设施</v>
      </c>
      <c r="R40" s="1507" t="s">
        <v>8</v>
      </c>
      <c r="S40" s="1508">
        <f t="shared" si="12"/>
        <v>100</v>
      </c>
      <c r="T40" s="1507" t="s">
        <v>8</v>
      </c>
      <c r="U40" s="1508">
        <f t="shared" si="13"/>
        <v>100</v>
      </c>
      <c r="V40" s="1507" t="s">
        <v>8</v>
      </c>
      <c r="W40" s="1508">
        <f t="shared" si="14"/>
        <v>100</v>
      </c>
      <c r="X40" s="1501"/>
      <c r="Y40" s="3491"/>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1"/>
      <c r="Q41" s="1506" t="str">
        <f t="shared" si="11"/>
        <v>层高</v>
      </c>
      <c r="R41" s="1507" t="s">
        <v>8</v>
      </c>
      <c r="S41" s="1508">
        <f t="shared" si="12"/>
        <v>100</v>
      </c>
      <c r="T41" s="1507" t="s">
        <v>8</v>
      </c>
      <c r="U41" s="1508">
        <f t="shared" si="13"/>
        <v>100</v>
      </c>
      <c r="V41" s="1507" t="s">
        <v>8</v>
      </c>
      <c r="W41" s="1508">
        <f t="shared" si="14"/>
        <v>100</v>
      </c>
      <c r="X41" s="1501"/>
      <c r="Y41" s="3491"/>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1"/>
      <c r="Q42" s="1535" t="str">
        <f t="shared" si="11"/>
        <v>单套建筑面积</v>
      </c>
      <c r="R42" s="1511" t="s">
        <v>8</v>
      </c>
      <c r="S42" s="1512">
        <f t="shared" si="12"/>
        <v>100</v>
      </c>
      <c r="T42" s="1511" t="s">
        <v>8</v>
      </c>
      <c r="U42" s="1512">
        <f t="shared" si="13"/>
        <v>100</v>
      </c>
      <c r="V42" s="1511" t="s">
        <v>8</v>
      </c>
      <c r="W42" s="1512">
        <f t="shared" si="14"/>
        <v>100</v>
      </c>
      <c r="X42" s="1513"/>
      <c r="Y42" s="3491"/>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1"/>
      <c r="Q43" s="1506" t="str">
        <f t="shared" si="11"/>
        <v>内部装修</v>
      </c>
      <c r="R43" s="1507" t="s">
        <v>8</v>
      </c>
      <c r="S43" s="1508">
        <f t="shared" si="12"/>
        <v>100</v>
      </c>
      <c r="T43" s="1507" t="s">
        <v>8</v>
      </c>
      <c r="U43" s="1508">
        <f t="shared" si="13"/>
        <v>100</v>
      </c>
      <c r="V43" s="1507" t="s">
        <v>8</v>
      </c>
      <c r="W43" s="1508">
        <f t="shared" si="14"/>
        <v>100</v>
      </c>
      <c r="X43" s="1501"/>
      <c r="Y43" s="3491"/>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1"/>
      <c r="Q44" s="1506" t="str">
        <f t="shared" si="11"/>
        <v>内部装修维护情况</v>
      </c>
      <c r="R44" s="1507" t="s">
        <v>8</v>
      </c>
      <c r="S44" s="1508">
        <f t="shared" si="12"/>
        <v>100</v>
      </c>
      <c r="T44" s="1507" t="s">
        <v>8</v>
      </c>
      <c r="U44" s="1508">
        <f t="shared" si="13"/>
        <v>100</v>
      </c>
      <c r="V44" s="1507" t="s">
        <v>8</v>
      </c>
      <c r="W44" s="1508">
        <f t="shared" si="14"/>
        <v>100</v>
      </c>
      <c r="X44" s="1501"/>
      <c r="Y44" s="3491"/>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1"/>
      <c r="Q45" s="1134">
        <f t="shared" si="11"/>
        <v>111</v>
      </c>
      <c r="R45" s="1502" t="s">
        <v>8</v>
      </c>
      <c r="S45" s="1503">
        <f t="shared" si="12"/>
        <v>100</v>
      </c>
      <c r="T45" s="1502" t="s">
        <v>8</v>
      </c>
      <c r="U45" s="1503">
        <f t="shared" si="13"/>
        <v>100</v>
      </c>
      <c r="V45" s="1502" t="s">
        <v>8</v>
      </c>
      <c r="W45" s="1503">
        <f t="shared" si="14"/>
        <v>100</v>
      </c>
      <c r="X45" s="1504"/>
      <c r="Y45" s="3491"/>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1"/>
      <c r="Q46" s="1506">
        <f t="shared" si="11"/>
        <v>111</v>
      </c>
      <c r="R46" s="1507" t="s">
        <v>8</v>
      </c>
      <c r="S46" s="1508">
        <f t="shared" si="12"/>
        <v>100</v>
      </c>
      <c r="T46" s="1507" t="s">
        <v>8</v>
      </c>
      <c r="U46" s="1508">
        <f t="shared" si="13"/>
        <v>100</v>
      </c>
      <c r="V46" s="1507" t="s">
        <v>8</v>
      </c>
      <c r="W46" s="1508">
        <f t="shared" si="14"/>
        <v>100</v>
      </c>
      <c r="X46" s="1501"/>
      <c r="Y46" s="3491"/>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92"/>
      <c r="Q47" s="1506">
        <f t="shared" si="11"/>
        <v>111</v>
      </c>
      <c r="R47" s="1507" t="s">
        <v>8</v>
      </c>
      <c r="S47" s="1508">
        <f t="shared" si="12"/>
        <v>100</v>
      </c>
      <c r="T47" s="1507" t="s">
        <v>8</v>
      </c>
      <c r="U47" s="1508">
        <f t="shared" si="13"/>
        <v>100</v>
      </c>
      <c r="V47" s="1507" t="s">
        <v>8</v>
      </c>
      <c r="W47" s="1508">
        <f t="shared" si="14"/>
        <v>100</v>
      </c>
      <c r="X47" s="1501"/>
      <c r="Y47" s="3592"/>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508" t="str">
        <f>A48</f>
        <v>成交单价（元/平方米）</v>
      </c>
      <c r="Q48" s="3486"/>
      <c r="R48" s="3591">
        <f>E48</f>
        <v>0</v>
      </c>
      <c r="S48" s="3591"/>
      <c r="T48" s="3591">
        <f>G48</f>
        <v>0</v>
      </c>
      <c r="U48" s="3591"/>
      <c r="V48" s="3591">
        <f>I48</f>
        <v>0</v>
      </c>
      <c r="W48" s="3591"/>
      <c r="X48" s="1496"/>
      <c r="Y48" s="1515"/>
      <c r="Z48" s="1496"/>
      <c r="AA48" s="1496"/>
      <c r="AB48" s="1496"/>
      <c r="AC48" s="1496"/>
    </row>
    <row r="49" spans="1:29" ht="15.75" thickBot="1">
      <c r="A49" s="609" t="s">
        <v>2741</v>
      </c>
      <c r="B49" s="877"/>
      <c r="C49" s="2476" t="e">
        <f>R50</f>
        <v>#DIV/0!</v>
      </c>
      <c r="D49" s="3014" t="s">
        <v>2972</v>
      </c>
      <c r="E49" s="2477" t="e">
        <f>R49</f>
        <v>#DIV/0!</v>
      </c>
      <c r="F49" s="3015"/>
      <c r="G49" s="2476" t="e">
        <f>T49</f>
        <v>#DIV/0!</v>
      </c>
      <c r="H49" s="3015"/>
      <c r="I49" s="2477" t="e">
        <f>V49</f>
        <v>#DIV/0!</v>
      </c>
      <c r="J49" s="3015"/>
      <c r="K49" s="3023">
        <f>F49+H49+J49</f>
        <v>0</v>
      </c>
      <c r="L49" s="2026"/>
      <c r="M49" s="2016"/>
      <c r="N49" s="2016"/>
      <c r="O49" s="2016"/>
      <c r="P49" s="3508" t="str">
        <f>A49</f>
        <v>比较价格（元/平方米）</v>
      </c>
      <c r="Q49" s="3486"/>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1496"/>
      <c r="Y49" s="1496"/>
      <c r="Z49" s="1496"/>
      <c r="AA49" s="1496"/>
      <c r="AB49" s="1496"/>
      <c r="AC49" s="1496"/>
    </row>
    <row r="50" spans="1:29" ht="15.75" thickBot="1">
      <c r="A50" s="613" t="s">
        <v>2904</v>
      </c>
      <c r="B50" s="614"/>
      <c r="C50" s="2478" t="e">
        <f>R50</f>
        <v>#DIV/0!</v>
      </c>
      <c r="D50" s="2478"/>
      <c r="E50" s="2478"/>
      <c r="F50" s="2478"/>
      <c r="G50" s="2478"/>
      <c r="H50" s="2478"/>
      <c r="I50" s="2478"/>
      <c r="J50" s="2478"/>
      <c r="K50" s="1541"/>
      <c r="L50" s="2026"/>
      <c r="M50" s="2016"/>
      <c r="N50" s="2016"/>
      <c r="O50" s="2016"/>
      <c r="P50" s="3596" t="str">
        <f>A50</f>
        <v>估价对象XX用房的比较价格（楼面单价，元/平方米）</v>
      </c>
      <c r="Q50" s="3508"/>
      <c r="R50" s="3590" t="e">
        <f>IF(F1="售价",ROUND(IF(D49="简单平均",AVERAGE(R49:V49),R49*F49+T49*H49+V49*J49),0),ROUND(IF(D49="简单平均",AVERAGE(R49:V49),R49*F49+T49*H49+V49*J49),1))</f>
        <v>#DIV/0!</v>
      </c>
      <c r="S50" s="3590"/>
      <c r="T50" s="3590"/>
      <c r="U50" s="3590"/>
      <c r="V50" s="3590"/>
      <c r="W50" s="3590"/>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2020-12</v>
      </c>
      <c r="D59" s="2521">
        <f>EDATE(C59,-1)</f>
        <v>44136</v>
      </c>
      <c r="E59" s="2521">
        <f t="shared" ref="E59:O59" si="16">EDATE(D59,-1)</f>
        <v>44105</v>
      </c>
      <c r="F59" s="2521">
        <f t="shared" si="16"/>
        <v>44075</v>
      </c>
      <c r="G59" s="2521">
        <f t="shared" si="16"/>
        <v>44044</v>
      </c>
      <c r="H59" s="2521">
        <f t="shared" si="16"/>
        <v>44013</v>
      </c>
      <c r="I59" s="2521">
        <f t="shared" si="16"/>
        <v>43983</v>
      </c>
      <c r="J59" s="2521">
        <f t="shared" si="16"/>
        <v>43952</v>
      </c>
      <c r="K59" s="2521">
        <f t="shared" si="16"/>
        <v>43922</v>
      </c>
      <c r="L59" s="2521">
        <f t="shared" si="16"/>
        <v>43891</v>
      </c>
      <c r="M59" s="2521">
        <f t="shared" si="16"/>
        <v>43862</v>
      </c>
      <c r="N59" s="2521">
        <f t="shared" si="16"/>
        <v>43831</v>
      </c>
      <c r="O59" s="2521">
        <f t="shared" si="16"/>
        <v>43800</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153925.47平方米。根据《建设工程规划许可证》[]、《出让合同》[]，估价对象规划建筑面积为559573.15平方米。</v>
      </c>
    </row>
    <row r="7" spans="1:4" ht="93.75">
      <c r="A7" s="2590" t="s">
        <v>2729</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2020年12月22日（评估专业人员勘察现场之日）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根据《国有土地使用证》[]，估价对象（分摊）出让国有建设用地使用权面积为153925.47平方米。根据《建设工程规划许可证》[]、《出让合同》[]，估价对象规划建筑面积为559573.15平方米。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22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92" t="s">
        <v>516</v>
      </c>
      <c r="D4" s="3493"/>
      <c r="E4" s="3517" t="s">
        <v>517</v>
      </c>
      <c r="F4" s="3518"/>
      <c r="G4" s="3492" t="s">
        <v>518</v>
      </c>
      <c r="H4" s="3493"/>
      <c r="I4" s="3492" t="s">
        <v>519</v>
      </c>
      <c r="J4" s="3493"/>
      <c r="K4" s="508" t="s">
        <v>520</v>
      </c>
      <c r="L4" s="2015"/>
      <c r="M4" s="2016"/>
      <c r="N4" s="2016"/>
      <c r="O4" s="2016"/>
      <c r="P4" s="3494" t="s">
        <v>521</v>
      </c>
      <c r="Q4" s="3495"/>
      <c r="R4" s="3480" t="s">
        <v>517</v>
      </c>
      <c r="S4" s="3481"/>
      <c r="T4" s="3480" t="s">
        <v>518</v>
      </c>
      <c r="U4" s="3481"/>
      <c r="V4" s="3500" t="s">
        <v>519</v>
      </c>
      <c r="W4" s="3500"/>
      <c r="X4" s="1501"/>
      <c r="Y4" s="3480" t="s">
        <v>521</v>
      </c>
      <c r="Z4" s="3481"/>
      <c r="AA4" s="3475" t="s">
        <v>517</v>
      </c>
      <c r="AB4" s="3476" t="s">
        <v>518</v>
      </c>
      <c r="AC4" s="3475" t="s">
        <v>519</v>
      </c>
    </row>
    <row r="5" spans="1:29" ht="15">
      <c r="A5" s="509"/>
      <c r="B5" s="510"/>
      <c r="C5" s="3503" t="s">
        <v>2898</v>
      </c>
      <c r="D5" s="3504"/>
      <c r="E5" s="3519" t="s">
        <v>2899</v>
      </c>
      <c r="F5" s="3520"/>
      <c r="G5" s="3503" t="s">
        <v>2900</v>
      </c>
      <c r="H5" s="3504"/>
      <c r="I5" s="3503" t="s">
        <v>2901</v>
      </c>
      <c r="J5" s="3504"/>
      <c r="K5" s="508"/>
      <c r="L5" s="2015"/>
      <c r="M5" s="2016"/>
      <c r="N5" s="2016"/>
      <c r="O5" s="2016"/>
      <c r="P5" s="3496"/>
      <c r="Q5" s="3497"/>
      <c r="R5" s="3482"/>
      <c r="S5" s="3483"/>
      <c r="T5" s="3482"/>
      <c r="U5" s="3483"/>
      <c r="V5" s="3500"/>
      <c r="W5" s="3500"/>
      <c r="X5" s="1501"/>
      <c r="Y5" s="3482"/>
      <c r="Z5" s="3483"/>
      <c r="AA5" s="3476"/>
      <c r="AB5" s="3476"/>
      <c r="AC5" s="3476"/>
    </row>
    <row r="6" spans="1:29" ht="15.75" thickBot="1">
      <c r="A6" s="511"/>
      <c r="B6" s="512"/>
      <c r="C6" s="3501" t="s">
        <v>2902</v>
      </c>
      <c r="D6" s="3502"/>
      <c r="E6" s="3521" t="s">
        <v>2902</v>
      </c>
      <c r="F6" s="3522"/>
      <c r="G6" s="3501" t="s">
        <v>2902</v>
      </c>
      <c r="H6" s="3502"/>
      <c r="I6" s="3501" t="s">
        <v>2902</v>
      </c>
      <c r="J6" s="3502"/>
      <c r="K6" s="508" t="s">
        <v>522</v>
      </c>
      <c r="L6" s="2015"/>
      <c r="M6" s="2016"/>
      <c r="N6" s="2016"/>
      <c r="O6" s="2016"/>
      <c r="P6" s="3498"/>
      <c r="Q6" s="3499"/>
      <c r="R6" s="3482"/>
      <c r="S6" s="3483"/>
      <c r="T6" s="3484"/>
      <c r="U6" s="3485"/>
      <c r="V6" s="3500"/>
      <c r="W6" s="3500"/>
      <c r="X6" s="1501"/>
      <c r="Y6" s="3484"/>
      <c r="Z6" s="3485"/>
      <c r="AA6" s="3477"/>
      <c r="AB6" s="3477"/>
      <c r="AC6" s="3477"/>
    </row>
    <row r="7" spans="1:29" s="1203" customFormat="1" ht="15.75" thickBot="1">
      <c r="A7" s="2629"/>
      <c r="B7" s="2636" t="s">
        <v>523</v>
      </c>
      <c r="C7" s="513">
        <f>'数据-取费表'!B2</f>
        <v>44187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78" t="s">
        <v>524</v>
      </c>
      <c r="Q7" s="3487"/>
      <c r="R7" s="1502" t="s">
        <v>8</v>
      </c>
      <c r="S7" s="1503">
        <f t="shared" ref="S7:S15" si="0">F7</f>
        <v>0</v>
      </c>
      <c r="T7" s="1502" t="s">
        <v>8</v>
      </c>
      <c r="U7" s="1503">
        <f t="shared" ref="U7:U15" si="1">H7</f>
        <v>0</v>
      </c>
      <c r="V7" s="1502" t="s">
        <v>8</v>
      </c>
      <c r="W7" s="1503">
        <f t="shared" ref="W7:W15" si="2">J7</f>
        <v>0</v>
      </c>
      <c r="X7" s="1504"/>
      <c r="Y7" s="3478" t="s">
        <v>524</v>
      </c>
      <c r="Z7" s="3479"/>
      <c r="AA7" s="1505" t="e">
        <f>D7/F7</f>
        <v>#DIV/0!</v>
      </c>
      <c r="AB7" s="1505" t="e">
        <f>D7/H7</f>
        <v>#DIV/0!</v>
      </c>
      <c r="AC7" s="1505"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78" t="s">
        <v>527</v>
      </c>
      <c r="Q8" s="3479"/>
      <c r="R8" s="1502" t="s">
        <v>8</v>
      </c>
      <c r="S8" s="1503">
        <f t="shared" si="0"/>
        <v>0</v>
      </c>
      <c r="T8" s="1502" t="s">
        <v>8</v>
      </c>
      <c r="U8" s="1503">
        <f t="shared" si="1"/>
        <v>0</v>
      </c>
      <c r="V8" s="1502" t="s">
        <v>8</v>
      </c>
      <c r="W8" s="1503">
        <f t="shared" si="2"/>
        <v>0</v>
      </c>
      <c r="X8" s="1504"/>
      <c r="Y8" s="3478" t="s">
        <v>527</v>
      </c>
      <c r="Z8" s="3479"/>
      <c r="AA8" s="1505" t="e">
        <f t="shared" ref="AA8:AA40" si="3">D8/F8</f>
        <v>#DIV/0!</v>
      </c>
      <c r="AB8" s="1505" t="e">
        <f t="shared" ref="AB8:AB40" si="4">D8/H8</f>
        <v>#DIV/0!</v>
      </c>
      <c r="AC8" s="1505"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6" t="s">
        <v>529</v>
      </c>
      <c r="Q9" s="1134" t="str">
        <f t="shared" ref="Q9:Q15" si="6">B9</f>
        <v>用途</v>
      </c>
      <c r="R9" s="1502" t="s">
        <v>8</v>
      </c>
      <c r="S9" s="1503">
        <f t="shared" si="0"/>
        <v>100</v>
      </c>
      <c r="T9" s="1502" t="s">
        <v>8</v>
      </c>
      <c r="U9" s="1503">
        <f t="shared" si="1"/>
        <v>100</v>
      </c>
      <c r="V9" s="1502" t="s">
        <v>8</v>
      </c>
      <c r="W9" s="1503">
        <f t="shared" si="2"/>
        <v>100</v>
      </c>
      <c r="X9" s="1504"/>
      <c r="Y9" s="3437" t="s">
        <v>530</v>
      </c>
      <c r="Z9" s="1133" t="str">
        <f t="shared" ref="Z9:Z15" si="7">Q9</f>
        <v>用途</v>
      </c>
      <c r="AA9" s="1505">
        <f t="shared" si="3"/>
        <v>1</v>
      </c>
      <c r="AB9" s="1505">
        <f t="shared" si="4"/>
        <v>1</v>
      </c>
      <c r="AC9" s="1505">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7"/>
      <c r="Z10" s="1133"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6"/>
      <c r="Q11" s="1134" t="str">
        <f t="shared" si="6"/>
        <v>容积率</v>
      </c>
      <c r="R11" s="1502" t="s">
        <v>8</v>
      </c>
      <c r="S11" s="1503" t="e">
        <f t="shared" si="0"/>
        <v>#N/A</v>
      </c>
      <c r="T11" s="1502" t="s">
        <v>8</v>
      </c>
      <c r="U11" s="1503" t="e">
        <f t="shared" si="1"/>
        <v>#N/A</v>
      </c>
      <c r="V11" s="1502" t="s">
        <v>8</v>
      </c>
      <c r="W11" s="1503" t="e">
        <f t="shared" si="2"/>
        <v>#N/A</v>
      </c>
      <c r="X11" s="1504"/>
      <c r="Y11" s="3437"/>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86"/>
      <c r="Q12" s="1134">
        <f t="shared" si="6"/>
        <v>111</v>
      </c>
      <c r="R12" s="1502" t="s">
        <v>8</v>
      </c>
      <c r="S12" s="1503">
        <f t="shared" si="0"/>
        <v>100</v>
      </c>
      <c r="T12" s="1502" t="s">
        <v>8</v>
      </c>
      <c r="U12" s="1503">
        <f t="shared" si="1"/>
        <v>100</v>
      </c>
      <c r="V12" s="1502" t="s">
        <v>8</v>
      </c>
      <c r="W12" s="1503">
        <f t="shared" si="2"/>
        <v>100</v>
      </c>
      <c r="X12" s="1504"/>
      <c r="Y12" s="3437"/>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86"/>
      <c r="Q13" s="1134">
        <f t="shared" si="6"/>
        <v>111</v>
      </c>
      <c r="R13" s="1502" t="s">
        <v>8</v>
      </c>
      <c r="S13" s="1503">
        <f t="shared" si="0"/>
        <v>100</v>
      </c>
      <c r="T13" s="1502" t="s">
        <v>8</v>
      </c>
      <c r="U13" s="1503">
        <f t="shared" si="1"/>
        <v>100</v>
      </c>
      <c r="V13" s="1502" t="s">
        <v>8</v>
      </c>
      <c r="W13" s="1503">
        <f t="shared" si="2"/>
        <v>100</v>
      </c>
      <c r="X13" s="1504"/>
      <c r="Y13" s="3437"/>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86"/>
      <c r="Q14" s="1134">
        <f t="shared" si="6"/>
        <v>111</v>
      </c>
      <c r="R14" s="1502" t="s">
        <v>8</v>
      </c>
      <c r="S14" s="1503">
        <f t="shared" si="0"/>
        <v>100</v>
      </c>
      <c r="T14" s="1502" t="s">
        <v>8</v>
      </c>
      <c r="U14" s="1503">
        <f t="shared" si="1"/>
        <v>100</v>
      </c>
      <c r="V14" s="1502" t="s">
        <v>8</v>
      </c>
      <c r="W14" s="1503">
        <f t="shared" si="2"/>
        <v>100</v>
      </c>
      <c r="X14" s="1504"/>
      <c r="Y14" s="3437"/>
      <c r="Z14" s="1133">
        <f t="shared" si="7"/>
        <v>111</v>
      </c>
      <c r="AA14" s="1505">
        <f t="shared" si="3"/>
        <v>1</v>
      </c>
      <c r="AB14" s="1505">
        <f t="shared" si="4"/>
        <v>1</v>
      </c>
      <c r="AC14" s="1505">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88" t="s">
        <v>534</v>
      </c>
      <c r="Q15" s="1506" t="str">
        <f t="shared" si="6"/>
        <v>产业集聚程度</v>
      </c>
      <c r="R15" s="1507" t="s">
        <v>8</v>
      </c>
      <c r="S15" s="1508">
        <f t="shared" si="0"/>
        <v>100</v>
      </c>
      <c r="T15" s="1507" t="s">
        <v>8</v>
      </c>
      <c r="U15" s="1508">
        <f t="shared" si="1"/>
        <v>100</v>
      </c>
      <c r="V15" s="1507" t="s">
        <v>8</v>
      </c>
      <c r="W15" s="1508">
        <f t="shared" si="2"/>
        <v>100</v>
      </c>
      <c r="X15" s="1501"/>
      <c r="Y15" s="3488"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89"/>
      <c r="Q16" s="1506"/>
      <c r="R16" s="1507"/>
      <c r="S16" s="1508"/>
      <c r="T16" s="1507"/>
      <c r="U16" s="1508"/>
      <c r="V16" s="1507"/>
      <c r="W16" s="1508"/>
      <c r="X16" s="1501"/>
      <c r="Y16" s="3489"/>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89"/>
      <c r="Q17" s="1506" t="str">
        <f>B17</f>
        <v>交通便捷度</v>
      </c>
      <c r="R17" s="1507" t="s">
        <v>8</v>
      </c>
      <c r="S17" s="1508">
        <f>F17</f>
        <v>100</v>
      </c>
      <c r="T17" s="1507" t="s">
        <v>8</v>
      </c>
      <c r="U17" s="1508">
        <f>H17</f>
        <v>100</v>
      </c>
      <c r="V17" s="1507" t="s">
        <v>8</v>
      </c>
      <c r="W17" s="1508">
        <f>J17</f>
        <v>100</v>
      </c>
      <c r="X17" s="1501"/>
      <c r="Y17" s="348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89"/>
      <c r="Q18" s="1506"/>
      <c r="R18" s="1507"/>
      <c r="S18" s="1508"/>
      <c r="T18" s="1507"/>
      <c r="U18" s="1508"/>
      <c r="V18" s="1507"/>
      <c r="W18" s="1508"/>
      <c r="X18" s="1501"/>
      <c r="Y18" s="3489"/>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89"/>
      <c r="Q19" s="1506" t="str">
        <f>B19</f>
        <v>公共配套设施</v>
      </c>
      <c r="R19" s="1507" t="s">
        <v>8</v>
      </c>
      <c r="S19" s="1508">
        <f>F19</f>
        <v>100</v>
      </c>
      <c r="T19" s="1507" t="s">
        <v>8</v>
      </c>
      <c r="U19" s="1508">
        <f>H19</f>
        <v>100</v>
      </c>
      <c r="V19" s="1507" t="s">
        <v>8</v>
      </c>
      <c r="W19" s="1508">
        <f>J19</f>
        <v>100</v>
      </c>
      <c r="X19" s="1501"/>
      <c r="Y19" s="3489"/>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489"/>
      <c r="Q20" s="1506"/>
      <c r="R20" s="1507"/>
      <c r="S20" s="1508"/>
      <c r="T20" s="1507"/>
      <c r="U20" s="1508"/>
      <c r="V20" s="1507"/>
      <c r="W20" s="1508"/>
      <c r="X20" s="1501"/>
      <c r="Y20" s="3489"/>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89"/>
      <c r="Q21" s="2429" t="str">
        <f>B21</f>
        <v>基础设施水平</v>
      </c>
      <c r="R21" s="1507" t="s">
        <v>8</v>
      </c>
      <c r="S21" s="1508">
        <f>F21</f>
        <v>100</v>
      </c>
      <c r="T21" s="1507" t="s">
        <v>8</v>
      </c>
      <c r="U21" s="1508">
        <f>H21</f>
        <v>100</v>
      </c>
      <c r="V21" s="1507" t="s">
        <v>8</v>
      </c>
      <c r="W21" s="1508">
        <f>J21</f>
        <v>100</v>
      </c>
      <c r="X21" s="2431"/>
      <c r="Y21" s="3489"/>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89"/>
      <c r="Q22" s="2429"/>
      <c r="R22" s="1507"/>
      <c r="S22" s="1508"/>
      <c r="T22" s="1507"/>
      <c r="U22" s="1508"/>
      <c r="V22" s="1507"/>
      <c r="W22" s="1508"/>
      <c r="X22" s="2431"/>
      <c r="Y22" s="3489"/>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89"/>
      <c r="Q23" s="1506" t="str">
        <f>B23</f>
        <v>环境质量</v>
      </c>
      <c r="R23" s="1507" t="s">
        <v>8</v>
      </c>
      <c r="S23" s="1508">
        <f>F23</f>
        <v>100</v>
      </c>
      <c r="T23" s="1507" t="s">
        <v>8</v>
      </c>
      <c r="U23" s="1508">
        <f>H23</f>
        <v>100</v>
      </c>
      <c r="V23" s="1507" t="s">
        <v>8</v>
      </c>
      <c r="W23" s="1508">
        <f>J23</f>
        <v>100</v>
      </c>
      <c r="X23" s="1501"/>
      <c r="Y23" s="3489"/>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489"/>
      <c r="Q24" s="1506"/>
      <c r="R24" s="1507"/>
      <c r="S24" s="1508"/>
      <c r="T24" s="1507"/>
      <c r="U24" s="1508"/>
      <c r="V24" s="1507"/>
      <c r="W24" s="1508"/>
      <c r="X24" s="1501"/>
      <c r="Y24" s="3489"/>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89"/>
      <c r="Q25" s="1506">
        <f>B25</f>
        <v>111</v>
      </c>
      <c r="R25" s="1507" t="s">
        <v>8</v>
      </c>
      <c r="S25" s="1508">
        <f>F25</f>
        <v>100</v>
      </c>
      <c r="T25" s="1507" t="s">
        <v>8</v>
      </c>
      <c r="U25" s="1508">
        <f>H25</f>
        <v>100</v>
      </c>
      <c r="V25" s="1507" t="s">
        <v>8</v>
      </c>
      <c r="W25" s="1508">
        <f>J25</f>
        <v>100</v>
      </c>
      <c r="X25" s="1501"/>
      <c r="Y25" s="3489"/>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89"/>
      <c r="Q26" s="1506">
        <f t="shared" ref="Q26:Q40" si="11">B26</f>
        <v>111</v>
      </c>
      <c r="R26" s="1507" t="s">
        <v>8</v>
      </c>
      <c r="S26" s="1508">
        <f>F26</f>
        <v>100</v>
      </c>
      <c r="T26" s="1507" t="s">
        <v>8</v>
      </c>
      <c r="U26" s="1508">
        <f>H26</f>
        <v>100</v>
      </c>
      <c r="V26" s="1507" t="s">
        <v>8</v>
      </c>
      <c r="W26" s="1508">
        <f>J26</f>
        <v>100</v>
      </c>
      <c r="X26" s="1501"/>
      <c r="Y26" s="3489"/>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89"/>
      <c r="Q27" s="1134">
        <f t="shared" si="11"/>
        <v>111</v>
      </c>
      <c r="R27" s="1502" t="s">
        <v>8</v>
      </c>
      <c r="S27" s="1503">
        <f>F27</f>
        <v>100</v>
      </c>
      <c r="T27" s="1502" t="s">
        <v>8</v>
      </c>
      <c r="U27" s="1503">
        <f>H27</f>
        <v>100</v>
      </c>
      <c r="V27" s="1502" t="s">
        <v>8</v>
      </c>
      <c r="W27" s="1503">
        <f>J27</f>
        <v>100</v>
      </c>
      <c r="X27" s="1504"/>
      <c r="Y27" s="3489"/>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89"/>
      <c r="Q28" s="1506">
        <f t="shared" si="11"/>
        <v>111</v>
      </c>
      <c r="R28" s="1507" t="s">
        <v>8</v>
      </c>
      <c r="S28" s="1508">
        <f t="shared" ref="S28:S40" si="12">F28</f>
        <v>100</v>
      </c>
      <c r="T28" s="1507" t="s">
        <v>8</v>
      </c>
      <c r="U28" s="1508">
        <f t="shared" ref="U28:U40" si="13">H28</f>
        <v>100</v>
      </c>
      <c r="V28" s="1507" t="s">
        <v>8</v>
      </c>
      <c r="W28" s="1508">
        <f t="shared" ref="W28:W40" si="14">J28</f>
        <v>100</v>
      </c>
      <c r="X28" s="1501"/>
      <c r="Y28" s="3489"/>
      <c r="Z28" s="1509">
        <f t="shared" ref="Z28:Z40" si="15">Q28</f>
        <v>111</v>
      </c>
      <c r="AA28" s="1510">
        <f t="shared" si="3"/>
        <v>1</v>
      </c>
      <c r="AB28" s="1510">
        <f t="shared" si="4"/>
        <v>1</v>
      </c>
      <c r="AC28" s="1510">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0" t="s">
        <v>544</v>
      </c>
      <c r="Q29" s="1506" t="str">
        <f t="shared" si="11"/>
        <v>建筑类型</v>
      </c>
      <c r="R29" s="1507" t="s">
        <v>8</v>
      </c>
      <c r="S29" s="1508">
        <f t="shared" si="12"/>
        <v>100</v>
      </c>
      <c r="T29" s="1507" t="s">
        <v>8</v>
      </c>
      <c r="U29" s="1508">
        <f t="shared" si="13"/>
        <v>100</v>
      </c>
      <c r="V29" s="1507" t="s">
        <v>8</v>
      </c>
      <c r="W29" s="1508">
        <f t="shared" si="14"/>
        <v>100</v>
      </c>
      <c r="X29" s="1501"/>
      <c r="Y29" s="3491"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1"/>
      <c r="Q30" s="1535" t="str">
        <f t="shared" si="11"/>
        <v>项目建筑规模</v>
      </c>
      <c r="R30" s="1511" t="s">
        <v>8</v>
      </c>
      <c r="S30" s="1512" t="e">
        <f t="shared" si="12"/>
        <v>#N/A</v>
      </c>
      <c r="T30" s="1511" t="s">
        <v>8</v>
      </c>
      <c r="U30" s="1512" t="e">
        <f t="shared" si="13"/>
        <v>#N/A</v>
      </c>
      <c r="V30" s="1511" t="s">
        <v>8</v>
      </c>
      <c r="W30" s="1512" t="e">
        <f t="shared" si="14"/>
        <v>#N/A</v>
      </c>
      <c r="X30" s="1513"/>
      <c r="Y30" s="3491"/>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1"/>
      <c r="Q31" s="1506" t="str">
        <f t="shared" si="11"/>
        <v>建筑结构</v>
      </c>
      <c r="R31" s="1507" t="s">
        <v>8</v>
      </c>
      <c r="S31" s="1508">
        <f t="shared" si="12"/>
        <v>100</v>
      </c>
      <c r="T31" s="1507" t="s">
        <v>8</v>
      </c>
      <c r="U31" s="1508">
        <f t="shared" si="13"/>
        <v>100</v>
      </c>
      <c r="V31" s="1507" t="s">
        <v>8</v>
      </c>
      <c r="W31" s="1508">
        <f t="shared" si="14"/>
        <v>100</v>
      </c>
      <c r="X31" s="1501"/>
      <c r="Y31" s="3491"/>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1"/>
      <c r="Q32" s="1506" t="str">
        <f t="shared" si="11"/>
        <v>公共部分装修</v>
      </c>
      <c r="R32" s="1507" t="s">
        <v>8</v>
      </c>
      <c r="S32" s="1508">
        <f t="shared" si="12"/>
        <v>100</v>
      </c>
      <c r="T32" s="1507" t="s">
        <v>8</v>
      </c>
      <c r="U32" s="1508">
        <f t="shared" si="13"/>
        <v>100</v>
      </c>
      <c r="V32" s="1507" t="s">
        <v>8</v>
      </c>
      <c r="W32" s="1508">
        <f t="shared" si="14"/>
        <v>100</v>
      </c>
      <c r="X32" s="1501"/>
      <c r="Y32" s="3491"/>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1"/>
      <c r="Q33" s="1506" t="str">
        <f t="shared" si="11"/>
        <v>成新度</v>
      </c>
      <c r="R33" s="1507" t="s">
        <v>8</v>
      </c>
      <c r="S33" s="1508" t="e">
        <f t="shared" si="12"/>
        <v>#N/A</v>
      </c>
      <c r="T33" s="1507" t="s">
        <v>8</v>
      </c>
      <c r="U33" s="1508" t="e">
        <f t="shared" si="13"/>
        <v>#N/A</v>
      </c>
      <c r="V33" s="1507" t="s">
        <v>8</v>
      </c>
      <c r="W33" s="1508" t="e">
        <f t="shared" si="14"/>
        <v>#N/A</v>
      </c>
      <c r="X33" s="1501"/>
      <c r="Y33" s="3491"/>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1"/>
      <c r="Q34" s="1134" t="str">
        <f t="shared" si="11"/>
        <v>物业管理</v>
      </c>
      <c r="R34" s="1502" t="s">
        <v>8</v>
      </c>
      <c r="S34" s="1503">
        <f t="shared" si="12"/>
        <v>100</v>
      </c>
      <c r="T34" s="1502" t="s">
        <v>8</v>
      </c>
      <c r="U34" s="1503">
        <f t="shared" si="13"/>
        <v>100</v>
      </c>
      <c r="V34" s="1502" t="s">
        <v>8</v>
      </c>
      <c r="W34" s="1503">
        <f t="shared" si="14"/>
        <v>100</v>
      </c>
      <c r="X34" s="1504"/>
      <c r="Y34" s="3491"/>
      <c r="Z34" s="1133"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1" t="s">
        <v>544</v>
      </c>
      <c r="Q35" s="1506" t="str">
        <f t="shared" si="11"/>
        <v>市政基础设施</v>
      </c>
      <c r="R35" s="1507" t="s">
        <v>8</v>
      </c>
      <c r="S35" s="1508">
        <f t="shared" si="12"/>
        <v>100</v>
      </c>
      <c r="T35" s="1507" t="s">
        <v>8</v>
      </c>
      <c r="U35" s="1508">
        <f t="shared" si="13"/>
        <v>100</v>
      </c>
      <c r="V35" s="1507" t="s">
        <v>8</v>
      </c>
      <c r="W35" s="1508">
        <f t="shared" si="14"/>
        <v>100</v>
      </c>
      <c r="X35" s="1501"/>
      <c r="Y35" s="3491"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1"/>
      <c r="Q36" s="1506" t="str">
        <f t="shared" si="11"/>
        <v>内部装修</v>
      </c>
      <c r="R36" s="1507" t="s">
        <v>8</v>
      </c>
      <c r="S36" s="1508">
        <f t="shared" si="12"/>
        <v>100</v>
      </c>
      <c r="T36" s="1507" t="s">
        <v>8</v>
      </c>
      <c r="U36" s="1508">
        <f t="shared" si="13"/>
        <v>100</v>
      </c>
      <c r="V36" s="1507" t="s">
        <v>8</v>
      </c>
      <c r="W36" s="1508">
        <f t="shared" si="14"/>
        <v>100</v>
      </c>
      <c r="X36" s="1501"/>
      <c r="Y36" s="3491"/>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1"/>
      <c r="Q37" s="1506" t="str">
        <f t="shared" si="11"/>
        <v>内部装修状况</v>
      </c>
      <c r="R37" s="1507" t="s">
        <v>8</v>
      </c>
      <c r="S37" s="1508">
        <f t="shared" si="12"/>
        <v>100</v>
      </c>
      <c r="T37" s="1507" t="s">
        <v>8</v>
      </c>
      <c r="U37" s="1508">
        <f t="shared" si="13"/>
        <v>100</v>
      </c>
      <c r="V37" s="1507" t="s">
        <v>8</v>
      </c>
      <c r="W37" s="1508">
        <f t="shared" si="14"/>
        <v>100</v>
      </c>
      <c r="X37" s="1501"/>
      <c r="Y37" s="3491"/>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1"/>
      <c r="Q38" s="1535">
        <f t="shared" si="11"/>
        <v>111</v>
      </c>
      <c r="R38" s="1511" t="s">
        <v>8</v>
      </c>
      <c r="S38" s="1512">
        <f t="shared" si="12"/>
        <v>100</v>
      </c>
      <c r="T38" s="1511" t="s">
        <v>8</v>
      </c>
      <c r="U38" s="1512">
        <f t="shared" si="13"/>
        <v>100</v>
      </c>
      <c r="V38" s="1511" t="s">
        <v>8</v>
      </c>
      <c r="W38" s="1512">
        <f t="shared" si="14"/>
        <v>100</v>
      </c>
      <c r="X38" s="1513"/>
      <c r="Y38" s="3491"/>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1"/>
      <c r="Q39" s="1506">
        <f t="shared" si="11"/>
        <v>111</v>
      </c>
      <c r="R39" s="1507" t="s">
        <v>8</v>
      </c>
      <c r="S39" s="1508">
        <f t="shared" si="12"/>
        <v>100</v>
      </c>
      <c r="T39" s="1507" t="s">
        <v>8</v>
      </c>
      <c r="U39" s="1508">
        <f t="shared" si="13"/>
        <v>100</v>
      </c>
      <c r="V39" s="1507" t="s">
        <v>8</v>
      </c>
      <c r="W39" s="1508">
        <f t="shared" si="14"/>
        <v>100</v>
      </c>
      <c r="X39" s="1501"/>
      <c r="Y39" s="3491"/>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92"/>
      <c r="Q40" s="1506">
        <f t="shared" si="11"/>
        <v>111</v>
      </c>
      <c r="R40" s="1507" t="s">
        <v>8</v>
      </c>
      <c r="S40" s="1508">
        <f t="shared" si="12"/>
        <v>100</v>
      </c>
      <c r="T40" s="1507" t="s">
        <v>8</v>
      </c>
      <c r="U40" s="1508">
        <f t="shared" si="13"/>
        <v>100</v>
      </c>
      <c r="V40" s="1507" t="s">
        <v>8</v>
      </c>
      <c r="W40" s="1508">
        <f t="shared" si="14"/>
        <v>100</v>
      </c>
      <c r="X40" s="1501"/>
      <c r="Y40" s="3592"/>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486" t="str">
        <f>A41</f>
        <v>成交单价（元/平方米）</v>
      </c>
      <c r="Q41" s="3486"/>
      <c r="R41" s="3591">
        <f>E41</f>
        <v>0</v>
      </c>
      <c r="S41" s="3591"/>
      <c r="T41" s="3591">
        <f>G41</f>
        <v>0</v>
      </c>
      <c r="U41" s="3591"/>
      <c r="V41" s="3591">
        <f>I41</f>
        <v>0</v>
      </c>
      <c r="W41" s="3591"/>
      <c r="X41" s="1496"/>
      <c r="Y41" s="1515"/>
      <c r="Z41" s="1496"/>
      <c r="AA41" s="1496"/>
      <c r="AB41" s="1496"/>
      <c r="AC41" s="1496"/>
    </row>
    <row r="42" spans="1:29" ht="15.75" thickBot="1">
      <c r="A42" s="609" t="s">
        <v>2741</v>
      </c>
      <c r="B42" s="877"/>
      <c r="C42" s="2476" t="e">
        <f>R43</f>
        <v>#DIV/0!</v>
      </c>
      <c r="D42" s="3014" t="s">
        <v>2972</v>
      </c>
      <c r="E42" s="2477" t="e">
        <f>R42</f>
        <v>#DIV/0!</v>
      </c>
      <c r="F42" s="3015"/>
      <c r="G42" s="2476" t="e">
        <f>T42</f>
        <v>#DIV/0!</v>
      </c>
      <c r="H42" s="3015"/>
      <c r="I42" s="2477" t="e">
        <f>V42</f>
        <v>#DIV/0!</v>
      </c>
      <c r="J42" s="3015"/>
      <c r="K42" s="3023">
        <f>F42+H42+J42</f>
        <v>0</v>
      </c>
      <c r="L42" s="2026"/>
      <c r="M42" s="2027"/>
      <c r="N42" s="2016"/>
      <c r="O42" s="2027"/>
      <c r="P42" s="3486" t="str">
        <f>A42</f>
        <v>比较价格（元/平方米）</v>
      </c>
      <c r="Q42" s="3486"/>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1496"/>
      <c r="Y42" s="1496"/>
      <c r="Z42" s="1496"/>
      <c r="AA42" s="1496"/>
      <c r="AB42" s="1496"/>
      <c r="AC42" s="1496"/>
    </row>
    <row r="43" spans="1:29" ht="15.75" thickBot="1">
      <c r="A43" s="613" t="s">
        <v>2904</v>
      </c>
      <c r="B43" s="614"/>
      <c r="C43" s="2478" t="e">
        <f>R43</f>
        <v>#DIV/0!</v>
      </c>
      <c r="D43" s="2478"/>
      <c r="E43" s="2478"/>
      <c r="F43" s="2478"/>
      <c r="G43" s="2478"/>
      <c r="H43" s="2478"/>
      <c r="I43" s="2478"/>
      <c r="J43" s="2478"/>
      <c r="K43" s="1541"/>
      <c r="L43" s="2026"/>
      <c r="M43" s="2027"/>
      <c r="N43" s="2027"/>
      <c r="O43" s="2027"/>
      <c r="P43" s="3507" t="str">
        <f>A43</f>
        <v>估价对象XX用房的比较价格（楼面单价，元/平方米）</v>
      </c>
      <c r="Q43" s="3508"/>
      <c r="R43" s="3590" t="e">
        <f>IF(F1="售价",ROUND(IF(D42="简单平均",AVERAGE(R42:V42),R42*F42+T42*H42+V42*J42),0),ROUND(IF(D42="简单平均",AVERAGE(R42:V42),R42*F42+T42*H42+V42*J42),1))</f>
        <v>#DIV/0!</v>
      </c>
      <c r="S43" s="3590"/>
      <c r="T43" s="3590"/>
      <c r="U43" s="3590"/>
      <c r="V43" s="3590"/>
      <c r="W43" s="3590"/>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2020-12</v>
      </c>
      <c r="D52" s="2521">
        <f>EDATE(C52,-1)</f>
        <v>44136</v>
      </c>
      <c r="E52" s="2521">
        <f t="shared" ref="E52:O52" si="16">EDATE(D52,-1)</f>
        <v>44105</v>
      </c>
      <c r="F52" s="2521">
        <f t="shared" si="16"/>
        <v>44075</v>
      </c>
      <c r="G52" s="2521">
        <f t="shared" si="16"/>
        <v>44044</v>
      </c>
      <c r="H52" s="2521">
        <f t="shared" si="16"/>
        <v>44013</v>
      </c>
      <c r="I52" s="2521">
        <f t="shared" si="16"/>
        <v>43983</v>
      </c>
      <c r="J52" s="2521">
        <f t="shared" si="16"/>
        <v>43952</v>
      </c>
      <c r="K52" s="2521">
        <f t="shared" si="16"/>
        <v>43922</v>
      </c>
      <c r="L52" s="2521">
        <f t="shared" si="16"/>
        <v>43891</v>
      </c>
      <c r="M52" s="2521">
        <f t="shared" si="16"/>
        <v>43862</v>
      </c>
      <c r="N52" s="2521">
        <f t="shared" si="16"/>
        <v>43831</v>
      </c>
      <c r="O52" s="2521">
        <f t="shared" si="16"/>
        <v>43800</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2" t="s">
        <v>792</v>
      </c>
      <c r="D4" s="3493"/>
      <c r="E4" s="3492" t="s">
        <v>793</v>
      </c>
      <c r="F4" s="3493"/>
      <c r="G4" s="3492" t="s">
        <v>794</v>
      </c>
      <c r="H4" s="3493"/>
      <c r="I4" s="3492" t="s">
        <v>795</v>
      </c>
      <c r="J4" s="3493"/>
      <c r="K4" s="508" t="s">
        <v>796</v>
      </c>
      <c r="L4" s="2015"/>
      <c r="M4" s="2016"/>
      <c r="N4" s="2016"/>
      <c r="O4" s="2016"/>
      <c r="P4" s="3494" t="s">
        <v>797</v>
      </c>
      <c r="Q4" s="3495"/>
      <c r="R4" s="3480" t="s">
        <v>793</v>
      </c>
      <c r="S4" s="3481"/>
      <c r="T4" s="3480" t="s">
        <v>794</v>
      </c>
      <c r="U4" s="3481"/>
      <c r="V4" s="3500" t="s">
        <v>795</v>
      </c>
      <c r="W4" s="3500"/>
      <c r="X4" s="1501"/>
      <c r="Y4" s="3480" t="s">
        <v>797</v>
      </c>
      <c r="Z4" s="3481"/>
      <c r="AA4" s="3475" t="s">
        <v>793</v>
      </c>
      <c r="AB4" s="3476" t="s">
        <v>794</v>
      </c>
      <c r="AC4" s="3475" t="s">
        <v>795</v>
      </c>
    </row>
    <row r="5" spans="1:29" ht="15">
      <c r="A5" s="509"/>
      <c r="B5" s="510"/>
      <c r="C5" s="3503" t="s">
        <v>2898</v>
      </c>
      <c r="D5" s="3504"/>
      <c r="E5" s="3503" t="s">
        <v>2899</v>
      </c>
      <c r="F5" s="3504"/>
      <c r="G5" s="3503" t="s">
        <v>2900</v>
      </c>
      <c r="H5" s="3504"/>
      <c r="I5" s="3503" t="s">
        <v>2901</v>
      </c>
      <c r="J5" s="3504"/>
      <c r="K5" s="508"/>
      <c r="L5" s="2015"/>
      <c r="M5" s="2016"/>
      <c r="N5" s="2016"/>
      <c r="O5" s="2016"/>
      <c r="P5" s="3496"/>
      <c r="Q5" s="3497"/>
      <c r="R5" s="3482"/>
      <c r="S5" s="3483"/>
      <c r="T5" s="3482"/>
      <c r="U5" s="3483"/>
      <c r="V5" s="3500"/>
      <c r="W5" s="3500"/>
      <c r="X5" s="1501"/>
      <c r="Y5" s="3482"/>
      <c r="Z5" s="3483"/>
      <c r="AA5" s="3476"/>
      <c r="AB5" s="3476"/>
      <c r="AC5" s="3476"/>
    </row>
    <row r="6" spans="1:29" ht="15.75" thickBot="1">
      <c r="A6" s="511"/>
      <c r="B6" s="512"/>
      <c r="C6" s="3501" t="s">
        <v>2902</v>
      </c>
      <c r="D6" s="3502"/>
      <c r="E6" s="3505" t="s">
        <v>2902</v>
      </c>
      <c r="F6" s="3506"/>
      <c r="G6" s="3501" t="s">
        <v>2902</v>
      </c>
      <c r="H6" s="3502"/>
      <c r="I6" s="3501" t="s">
        <v>2902</v>
      </c>
      <c r="J6" s="3502"/>
      <c r="K6" s="508" t="s">
        <v>522</v>
      </c>
      <c r="L6" s="2015"/>
      <c r="M6" s="2016"/>
      <c r="N6" s="2016"/>
      <c r="O6" s="2016"/>
      <c r="P6" s="3498"/>
      <c r="Q6" s="3499"/>
      <c r="R6" s="3482"/>
      <c r="S6" s="3483"/>
      <c r="T6" s="3484"/>
      <c r="U6" s="3485"/>
      <c r="V6" s="3500"/>
      <c r="W6" s="3500"/>
      <c r="X6" s="1501"/>
      <c r="Y6" s="3484"/>
      <c r="Z6" s="3485"/>
      <c r="AA6" s="3477"/>
      <c r="AB6" s="3477"/>
      <c r="AC6" s="3477"/>
    </row>
    <row r="7" spans="1:29" s="1203" customFormat="1" ht="15.75" thickBot="1">
      <c r="A7" s="2629"/>
      <c r="B7" s="2636" t="s">
        <v>523</v>
      </c>
      <c r="C7" s="513">
        <f>'数据-取费表'!B2</f>
        <v>44187</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78" t="s">
        <v>524</v>
      </c>
      <c r="Q7" s="3487"/>
      <c r="R7" s="1502" t="s">
        <v>8</v>
      </c>
      <c r="S7" s="1503">
        <f t="shared" ref="S7:S14" si="0">F7</f>
        <v>0</v>
      </c>
      <c r="T7" s="1502" t="s">
        <v>8</v>
      </c>
      <c r="U7" s="1503">
        <f t="shared" ref="U7:U14" si="1">H7</f>
        <v>0</v>
      </c>
      <c r="V7" s="1502" t="s">
        <v>8</v>
      </c>
      <c r="W7" s="1503">
        <f t="shared" ref="W7:W14" si="2">J7</f>
        <v>0</v>
      </c>
      <c r="X7" s="1504"/>
      <c r="Y7" s="3478" t="s">
        <v>524</v>
      </c>
      <c r="Z7" s="3479"/>
      <c r="AA7" s="1505" t="e">
        <f>D7/F7</f>
        <v>#DIV/0!</v>
      </c>
      <c r="AB7" s="1505" t="e">
        <f>D7/H7</f>
        <v>#DIV/0!</v>
      </c>
      <c r="AC7" s="1505"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78" t="s">
        <v>527</v>
      </c>
      <c r="Q8" s="3479"/>
      <c r="R8" s="1502" t="s">
        <v>8</v>
      </c>
      <c r="S8" s="1503">
        <f t="shared" si="0"/>
        <v>0</v>
      </c>
      <c r="T8" s="1502" t="s">
        <v>8</v>
      </c>
      <c r="U8" s="1503">
        <f t="shared" si="1"/>
        <v>0</v>
      </c>
      <c r="V8" s="1502" t="s">
        <v>8</v>
      </c>
      <c r="W8" s="1503">
        <f t="shared" si="2"/>
        <v>0</v>
      </c>
      <c r="X8" s="1504"/>
      <c r="Y8" s="3478" t="s">
        <v>527</v>
      </c>
      <c r="Z8" s="3479"/>
      <c r="AA8" s="1505" t="e">
        <f t="shared" ref="AA8:AA36" si="3">D8/F8</f>
        <v>#DIV/0!</v>
      </c>
      <c r="AB8" s="1505" t="e">
        <f t="shared" ref="AB8:AB36" si="4">D8/H8</f>
        <v>#DIV/0!</v>
      </c>
      <c r="AC8" s="1505"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6" t="s">
        <v>529</v>
      </c>
      <c r="Q9" s="1134" t="str">
        <f t="shared" ref="Q9:Q14" si="6">B9</f>
        <v>用途</v>
      </c>
      <c r="R9" s="1502" t="s">
        <v>8</v>
      </c>
      <c r="S9" s="1503">
        <f t="shared" si="0"/>
        <v>100</v>
      </c>
      <c r="T9" s="1502" t="s">
        <v>8</v>
      </c>
      <c r="U9" s="1503">
        <f t="shared" si="1"/>
        <v>100</v>
      </c>
      <c r="V9" s="1502" t="s">
        <v>8</v>
      </c>
      <c r="W9" s="1503">
        <f t="shared" si="2"/>
        <v>100</v>
      </c>
      <c r="X9" s="1504"/>
      <c r="Y9" s="3437" t="s">
        <v>530</v>
      </c>
      <c r="Z9" s="1133" t="str">
        <f t="shared" ref="Z9:Z14" si="7">Q9</f>
        <v>用途</v>
      </c>
      <c r="AA9" s="1505">
        <f t="shared" si="3"/>
        <v>1</v>
      </c>
      <c r="AB9" s="1505">
        <f t="shared" si="4"/>
        <v>1</v>
      </c>
      <c r="AC9" s="1505">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7"/>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6"/>
      <c r="Q11" s="1134">
        <f t="shared" si="6"/>
        <v>111</v>
      </c>
      <c r="R11" s="1502" t="s">
        <v>8</v>
      </c>
      <c r="S11" s="1503">
        <f t="shared" si="0"/>
        <v>100</v>
      </c>
      <c r="T11" s="1502" t="s">
        <v>8</v>
      </c>
      <c r="U11" s="1503">
        <f t="shared" si="1"/>
        <v>100</v>
      </c>
      <c r="V11" s="1502" t="s">
        <v>8</v>
      </c>
      <c r="W11" s="1503">
        <f t="shared" si="2"/>
        <v>100</v>
      </c>
      <c r="X11" s="1504"/>
      <c r="Y11" s="3437"/>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6"/>
      <c r="Q12" s="1134">
        <f t="shared" si="6"/>
        <v>111</v>
      </c>
      <c r="R12" s="1502" t="s">
        <v>8</v>
      </c>
      <c r="S12" s="1503">
        <f t="shared" si="0"/>
        <v>100</v>
      </c>
      <c r="T12" s="1502" t="s">
        <v>8</v>
      </c>
      <c r="U12" s="1503">
        <f t="shared" si="1"/>
        <v>100</v>
      </c>
      <c r="V12" s="1502" t="s">
        <v>8</v>
      </c>
      <c r="W12" s="1503">
        <f t="shared" si="2"/>
        <v>100</v>
      </c>
      <c r="X12" s="1504"/>
      <c r="Y12" s="3437"/>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6"/>
      <c r="Q13" s="1134">
        <f t="shared" si="6"/>
        <v>111</v>
      </c>
      <c r="R13" s="1502" t="s">
        <v>8</v>
      </c>
      <c r="S13" s="1503">
        <f t="shared" si="0"/>
        <v>100</v>
      </c>
      <c r="T13" s="1502" t="s">
        <v>8</v>
      </c>
      <c r="U13" s="1503">
        <f t="shared" si="1"/>
        <v>100</v>
      </c>
      <c r="V13" s="1502" t="s">
        <v>8</v>
      </c>
      <c r="W13" s="1503">
        <f t="shared" si="2"/>
        <v>100</v>
      </c>
      <c r="X13" s="1504"/>
      <c r="Y13" s="3437"/>
      <c r="Z13" s="1133">
        <f t="shared" si="7"/>
        <v>111</v>
      </c>
      <c r="AA13" s="1505">
        <f t="shared" si="3"/>
        <v>1</v>
      </c>
      <c r="AB13" s="1505">
        <f t="shared" si="4"/>
        <v>1</v>
      </c>
      <c r="AC13" s="1505">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88" t="s">
        <v>534</v>
      </c>
      <c r="Q14" s="1506" t="str">
        <f t="shared" si="6"/>
        <v>交通便捷度</v>
      </c>
      <c r="R14" s="1507" t="s">
        <v>8</v>
      </c>
      <c r="S14" s="1508">
        <f t="shared" si="0"/>
        <v>100</v>
      </c>
      <c r="T14" s="1507" t="s">
        <v>8</v>
      </c>
      <c r="U14" s="1508">
        <f t="shared" si="1"/>
        <v>100</v>
      </c>
      <c r="V14" s="1507" t="s">
        <v>8</v>
      </c>
      <c r="W14" s="1508">
        <f t="shared" si="2"/>
        <v>100</v>
      </c>
      <c r="X14" s="1501"/>
      <c r="Y14" s="3488"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489"/>
      <c r="Q15" s="1506"/>
      <c r="R15" s="1507"/>
      <c r="S15" s="1508"/>
      <c r="T15" s="1507"/>
      <c r="U15" s="1508"/>
      <c r="V15" s="1507"/>
      <c r="W15" s="1508"/>
      <c r="X15" s="1501"/>
      <c r="Y15" s="3489"/>
      <c r="Z15" s="1509"/>
      <c r="AA15" s="1510">
        <v>1</v>
      </c>
      <c r="AB15" s="1510">
        <v>1</v>
      </c>
      <c r="AC15" s="1510">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89"/>
      <c r="Q16" s="1506" t="str">
        <f>B16</f>
        <v>公共配套设施</v>
      </c>
      <c r="R16" s="1507" t="s">
        <v>8</v>
      </c>
      <c r="S16" s="1508">
        <f>F16</f>
        <v>100</v>
      </c>
      <c r="T16" s="1507" t="s">
        <v>8</v>
      </c>
      <c r="U16" s="1508">
        <f>H16</f>
        <v>100</v>
      </c>
      <c r="V16" s="1507" t="s">
        <v>8</v>
      </c>
      <c r="W16" s="1508">
        <f>J16</f>
        <v>100</v>
      </c>
      <c r="X16" s="1501"/>
      <c r="Y16" s="3489"/>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489"/>
      <c r="Q17" s="1506"/>
      <c r="R17" s="1507"/>
      <c r="S17" s="1508"/>
      <c r="T17" s="1507"/>
      <c r="U17" s="1508"/>
      <c r="V17" s="1507"/>
      <c r="W17" s="1508"/>
      <c r="X17" s="1501"/>
      <c r="Y17" s="3489"/>
      <c r="Z17" s="1509"/>
      <c r="AA17" s="1510">
        <v>1</v>
      </c>
      <c r="AB17" s="1510">
        <v>1</v>
      </c>
      <c r="AC17" s="1510">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89"/>
      <c r="Q18" s="2429" t="str">
        <f>B18</f>
        <v>基础设施水平</v>
      </c>
      <c r="R18" s="1507" t="s">
        <v>8</v>
      </c>
      <c r="S18" s="1508">
        <f>F18</f>
        <v>100</v>
      </c>
      <c r="T18" s="1507" t="s">
        <v>8</v>
      </c>
      <c r="U18" s="1508">
        <f>H18</f>
        <v>100</v>
      </c>
      <c r="V18" s="1507" t="s">
        <v>8</v>
      </c>
      <c r="W18" s="1508">
        <f>J18</f>
        <v>100</v>
      </c>
      <c r="X18" s="2431"/>
      <c r="Y18" s="3489"/>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89"/>
      <c r="Q19" s="2429"/>
      <c r="R19" s="1507"/>
      <c r="S19" s="1508"/>
      <c r="T19" s="1507"/>
      <c r="U19" s="1508"/>
      <c r="V19" s="1507"/>
      <c r="W19" s="1508"/>
      <c r="X19" s="2431"/>
      <c r="Y19" s="3489"/>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89"/>
      <c r="Q20" s="1506" t="str">
        <f>B20</f>
        <v>自然及人文环境</v>
      </c>
      <c r="R20" s="1507" t="s">
        <v>8</v>
      </c>
      <c r="S20" s="1508">
        <f>F20</f>
        <v>100</v>
      </c>
      <c r="T20" s="1507" t="s">
        <v>8</v>
      </c>
      <c r="U20" s="1508">
        <f>H20</f>
        <v>100</v>
      </c>
      <c r="V20" s="1507" t="s">
        <v>8</v>
      </c>
      <c r="W20" s="1508">
        <f>J20</f>
        <v>100</v>
      </c>
      <c r="X20" s="1501"/>
      <c r="Y20" s="3489"/>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489"/>
      <c r="Q21" s="1506"/>
      <c r="R21" s="1507"/>
      <c r="S21" s="1508"/>
      <c r="T21" s="1507"/>
      <c r="U21" s="1508"/>
      <c r="V21" s="1507"/>
      <c r="W21" s="1508"/>
      <c r="X21" s="1501"/>
      <c r="Y21" s="3489"/>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89"/>
      <c r="Q22" s="1506" t="str">
        <f>B22</f>
        <v>楼层</v>
      </c>
      <c r="R22" s="1507" t="s">
        <v>8</v>
      </c>
      <c r="S22" s="1508">
        <f>F22</f>
        <v>100</v>
      </c>
      <c r="T22" s="1507" t="s">
        <v>8</v>
      </c>
      <c r="U22" s="1508">
        <f>H22</f>
        <v>100</v>
      </c>
      <c r="V22" s="1507" t="s">
        <v>8</v>
      </c>
      <c r="W22" s="1508">
        <f>J22</f>
        <v>100</v>
      </c>
      <c r="X22" s="1501"/>
      <c r="Y22" s="3489"/>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89"/>
      <c r="Q23" s="1506">
        <f>B23</f>
        <v>111</v>
      </c>
      <c r="R23" s="1507" t="s">
        <v>8</v>
      </c>
      <c r="S23" s="1508">
        <f>F23</f>
        <v>100</v>
      </c>
      <c r="T23" s="1507" t="s">
        <v>8</v>
      </c>
      <c r="U23" s="1508">
        <f>H23</f>
        <v>100</v>
      </c>
      <c r="V23" s="1507" t="s">
        <v>8</v>
      </c>
      <c r="W23" s="1508">
        <f>J23</f>
        <v>100</v>
      </c>
      <c r="X23" s="1501"/>
      <c r="Y23" s="3489"/>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89"/>
      <c r="Q24" s="1506">
        <f t="shared" ref="Q24:Q36" si="11">B24</f>
        <v>111</v>
      </c>
      <c r="R24" s="1507" t="s">
        <v>8</v>
      </c>
      <c r="S24" s="1508">
        <f>F24</f>
        <v>100</v>
      </c>
      <c r="T24" s="1507" t="s">
        <v>8</v>
      </c>
      <c r="U24" s="1508">
        <f>H24</f>
        <v>100</v>
      </c>
      <c r="V24" s="1507" t="s">
        <v>8</v>
      </c>
      <c r="W24" s="1508">
        <f>J24</f>
        <v>100</v>
      </c>
      <c r="X24" s="1501"/>
      <c r="Y24" s="3489"/>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89"/>
      <c r="Q25" s="1134">
        <f t="shared" si="11"/>
        <v>111</v>
      </c>
      <c r="R25" s="1502" t="s">
        <v>8</v>
      </c>
      <c r="S25" s="1503">
        <f>F25</f>
        <v>100</v>
      </c>
      <c r="T25" s="1502" t="s">
        <v>8</v>
      </c>
      <c r="U25" s="1503">
        <f>H25</f>
        <v>100</v>
      </c>
      <c r="V25" s="1502" t="s">
        <v>8</v>
      </c>
      <c r="W25" s="1503">
        <f>J25</f>
        <v>100</v>
      </c>
      <c r="X25" s="1504"/>
      <c r="Y25" s="3489"/>
      <c r="Z25" s="1133">
        <f>Q25</f>
        <v>111</v>
      </c>
      <c r="AA25" s="1510">
        <f>D25/F25</f>
        <v>1</v>
      </c>
      <c r="AB25" s="1510">
        <f>D25/H25</f>
        <v>1</v>
      </c>
      <c r="AC25" s="1510">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0"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1"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1"/>
      <c r="Q27" s="1535" t="str">
        <f t="shared" si="11"/>
        <v>项目停车位配比</v>
      </c>
      <c r="R27" s="1511" t="s">
        <v>8</v>
      </c>
      <c r="S27" s="1512">
        <f t="shared" si="12"/>
        <v>100</v>
      </c>
      <c r="T27" s="1511" t="s">
        <v>8</v>
      </c>
      <c r="U27" s="1512">
        <f t="shared" si="13"/>
        <v>100</v>
      </c>
      <c r="V27" s="1511" t="s">
        <v>8</v>
      </c>
      <c r="W27" s="1512">
        <f t="shared" si="14"/>
        <v>100</v>
      </c>
      <c r="X27" s="1513"/>
      <c r="Y27" s="3491"/>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1"/>
      <c r="Q28" s="1506" t="str">
        <f t="shared" si="11"/>
        <v>公共部分装修</v>
      </c>
      <c r="R28" s="1507" t="s">
        <v>8</v>
      </c>
      <c r="S28" s="1508">
        <f t="shared" si="12"/>
        <v>100</v>
      </c>
      <c r="T28" s="1507" t="s">
        <v>8</v>
      </c>
      <c r="U28" s="1508">
        <f t="shared" si="13"/>
        <v>100</v>
      </c>
      <c r="V28" s="1507" t="s">
        <v>8</v>
      </c>
      <c r="W28" s="1508">
        <f t="shared" si="14"/>
        <v>100</v>
      </c>
      <c r="X28" s="1501"/>
      <c r="Y28" s="3491"/>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91"/>
      <c r="Q29" s="1506" t="str">
        <f t="shared" si="11"/>
        <v>成新率</v>
      </c>
      <c r="R29" s="1507" t="s">
        <v>8</v>
      </c>
      <c r="S29" s="1508" t="e">
        <f t="shared" si="12"/>
        <v>#N/A</v>
      </c>
      <c r="T29" s="1507" t="s">
        <v>8</v>
      </c>
      <c r="U29" s="1508" t="e">
        <f t="shared" si="13"/>
        <v>#N/A</v>
      </c>
      <c r="V29" s="1507" t="s">
        <v>8</v>
      </c>
      <c r="W29" s="1508" t="e">
        <f t="shared" si="14"/>
        <v>#N/A</v>
      </c>
      <c r="X29" s="1501"/>
      <c r="Y29" s="3491"/>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1"/>
      <c r="Q30" s="1506" t="str">
        <f t="shared" si="11"/>
        <v>物业等级</v>
      </c>
      <c r="R30" s="1507" t="s">
        <v>8</v>
      </c>
      <c r="S30" s="1508">
        <f t="shared" si="12"/>
        <v>100</v>
      </c>
      <c r="T30" s="1507" t="s">
        <v>8</v>
      </c>
      <c r="U30" s="1508">
        <f t="shared" si="13"/>
        <v>100</v>
      </c>
      <c r="V30" s="1507" t="s">
        <v>8</v>
      </c>
      <c r="W30" s="1508">
        <f t="shared" si="14"/>
        <v>100</v>
      </c>
      <c r="X30" s="1501"/>
      <c r="Y30" s="3491"/>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1"/>
      <c r="Q31" s="1134" t="str">
        <f t="shared" si="11"/>
        <v>停车位面积</v>
      </c>
      <c r="R31" s="1502" t="s">
        <v>8</v>
      </c>
      <c r="S31" s="1503" t="e">
        <f t="shared" si="12"/>
        <v>#N/A</v>
      </c>
      <c r="T31" s="1502" t="s">
        <v>8</v>
      </c>
      <c r="U31" s="1503" t="e">
        <f t="shared" si="13"/>
        <v>#N/A</v>
      </c>
      <c r="V31" s="1502" t="s">
        <v>8</v>
      </c>
      <c r="W31" s="1503" t="e">
        <f t="shared" si="14"/>
        <v>#N/A</v>
      </c>
      <c r="X31" s="1504"/>
      <c r="Y31" s="3491"/>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1" t="s">
        <v>544</v>
      </c>
      <c r="Q32" s="1506" t="str">
        <f t="shared" si="11"/>
        <v>车位类型</v>
      </c>
      <c r="R32" s="1507" t="s">
        <v>8</v>
      </c>
      <c r="S32" s="1508">
        <f t="shared" si="12"/>
        <v>100</v>
      </c>
      <c r="T32" s="1507" t="s">
        <v>8</v>
      </c>
      <c r="U32" s="1508">
        <f t="shared" si="13"/>
        <v>100</v>
      </c>
      <c r="V32" s="1507" t="s">
        <v>8</v>
      </c>
      <c r="W32" s="1508">
        <f t="shared" si="14"/>
        <v>100</v>
      </c>
      <c r="X32" s="1501"/>
      <c r="Y32" s="3491"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1"/>
      <c r="Q33" s="1506" t="str">
        <f t="shared" si="11"/>
        <v>是否直接入户</v>
      </c>
      <c r="R33" s="1507" t="s">
        <v>8</v>
      </c>
      <c r="S33" s="1508">
        <f t="shared" si="12"/>
        <v>100</v>
      </c>
      <c r="T33" s="1507" t="s">
        <v>8</v>
      </c>
      <c r="U33" s="1508">
        <f t="shared" si="13"/>
        <v>100</v>
      </c>
      <c r="V33" s="1507" t="s">
        <v>8</v>
      </c>
      <c r="W33" s="1508">
        <f t="shared" si="14"/>
        <v>100</v>
      </c>
      <c r="X33" s="1501"/>
      <c r="Y33" s="3491"/>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1"/>
      <c r="Q34" s="1506">
        <f t="shared" si="11"/>
        <v>111</v>
      </c>
      <c r="R34" s="1507" t="s">
        <v>8</v>
      </c>
      <c r="S34" s="1508">
        <f t="shared" si="12"/>
        <v>100</v>
      </c>
      <c r="T34" s="1507" t="s">
        <v>8</v>
      </c>
      <c r="U34" s="1508">
        <f t="shared" si="13"/>
        <v>100</v>
      </c>
      <c r="V34" s="1507" t="s">
        <v>8</v>
      </c>
      <c r="W34" s="1508">
        <f t="shared" si="14"/>
        <v>100</v>
      </c>
      <c r="X34" s="1501"/>
      <c r="Y34" s="3491"/>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1"/>
      <c r="Q35" s="1535">
        <f t="shared" si="11"/>
        <v>111</v>
      </c>
      <c r="R35" s="1511" t="s">
        <v>8</v>
      </c>
      <c r="S35" s="1512">
        <f t="shared" si="12"/>
        <v>100</v>
      </c>
      <c r="T35" s="1511" t="s">
        <v>8</v>
      </c>
      <c r="U35" s="1512">
        <f t="shared" si="13"/>
        <v>100</v>
      </c>
      <c r="V35" s="1511" t="s">
        <v>8</v>
      </c>
      <c r="W35" s="1512">
        <f t="shared" si="14"/>
        <v>100</v>
      </c>
      <c r="X35" s="1513"/>
      <c r="Y35" s="3491"/>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1"/>
      <c r="Q36" s="1506">
        <f t="shared" si="11"/>
        <v>111</v>
      </c>
      <c r="R36" s="1507" t="s">
        <v>8</v>
      </c>
      <c r="S36" s="1508">
        <f t="shared" si="12"/>
        <v>100</v>
      </c>
      <c r="T36" s="1507" t="s">
        <v>8</v>
      </c>
      <c r="U36" s="1508">
        <f t="shared" si="13"/>
        <v>100</v>
      </c>
      <c r="V36" s="1507" t="s">
        <v>8</v>
      </c>
      <c r="W36" s="1508">
        <f t="shared" si="14"/>
        <v>100</v>
      </c>
      <c r="X36" s="1501"/>
      <c r="Y36" s="3491"/>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86" t="str">
        <f>A37</f>
        <v>成交单价</v>
      </c>
      <c r="Q37" s="3486"/>
      <c r="R37" s="3591">
        <f>E37</f>
        <v>0</v>
      </c>
      <c r="S37" s="3591"/>
      <c r="T37" s="3591">
        <f>G37</f>
        <v>0</v>
      </c>
      <c r="U37" s="3591"/>
      <c r="V37" s="3591">
        <f>I37</f>
        <v>0</v>
      </c>
      <c r="W37" s="3591"/>
      <c r="X37" s="1496"/>
      <c r="Y37" s="1515"/>
      <c r="Z37" s="1496"/>
      <c r="AA37" s="1496"/>
      <c r="AB37" s="1496"/>
      <c r="AC37" s="1496"/>
    </row>
    <row r="38" spans="1:29" ht="15.75" thickBot="1">
      <c r="A38" s="609" t="s">
        <v>2741</v>
      </c>
      <c r="B38" s="877"/>
      <c r="C38" s="2476" t="e">
        <f>R39</f>
        <v>#DIV/0!</v>
      </c>
      <c r="D38" s="3014" t="s">
        <v>2972</v>
      </c>
      <c r="E38" s="2477" t="e">
        <f>R38</f>
        <v>#DIV/0!</v>
      </c>
      <c r="F38" s="3015"/>
      <c r="G38" s="2476" t="e">
        <f>T38</f>
        <v>#DIV/0!</v>
      </c>
      <c r="H38" s="3015"/>
      <c r="I38" s="2477" t="e">
        <f>V38</f>
        <v>#DIV/0!</v>
      </c>
      <c r="J38" s="3015"/>
      <c r="K38" s="3023">
        <f>F38+H38+J38</f>
        <v>0</v>
      </c>
      <c r="L38" s="2026"/>
      <c r="M38" s="2027"/>
      <c r="N38" s="2027"/>
      <c r="O38" s="2027"/>
      <c r="P38" s="3486" t="str">
        <f>A38</f>
        <v>比较价格（元/平方米）</v>
      </c>
      <c r="Q38" s="3486"/>
      <c r="R38" s="3591" t="e">
        <f>IF(F1="售价",ROUND(PRODUCT(R37,AA7:AA36),0),ROUND(PRODUCT(R37,AA7:AA36),1))</f>
        <v>#DIV/0!</v>
      </c>
      <c r="S38" s="3591"/>
      <c r="T38" s="3591" t="e">
        <f>IF(F1="售价",ROUND(PRODUCT(T37,AB7:AB36),0),ROUND(PRODUCT(T37,AB7:AB36),1))</f>
        <v>#DIV/0!</v>
      </c>
      <c r="U38" s="3591"/>
      <c r="V38" s="3591" t="e">
        <f>IF(F1="售价",ROUND(PRODUCT(V37,AC7:AC36),0),ROUND(PRODUCT(V37,AC7:AC36),1))</f>
        <v>#DIV/0!</v>
      </c>
      <c r="W38" s="3591"/>
      <c r="X38" s="1496"/>
      <c r="Y38" s="1496"/>
      <c r="Z38" s="1496"/>
      <c r="AA38" s="1496"/>
      <c r="AB38" s="1496"/>
      <c r="AC38" s="1496"/>
    </row>
    <row r="39" spans="1:29" ht="15.75" thickBot="1">
      <c r="A39" s="613" t="s">
        <v>2904</v>
      </c>
      <c r="B39" s="614"/>
      <c r="C39" s="2478" t="e">
        <f>R39</f>
        <v>#DIV/0!</v>
      </c>
      <c r="D39" s="2478"/>
      <c r="E39" s="2478"/>
      <c r="F39" s="2478"/>
      <c r="G39" s="2478"/>
      <c r="H39" s="2478"/>
      <c r="I39" s="2478"/>
      <c r="J39" s="2478"/>
      <c r="K39" s="1541"/>
      <c r="L39" s="2026"/>
      <c r="M39" s="2027"/>
      <c r="N39" s="2027"/>
      <c r="O39" s="2027"/>
      <c r="P39" s="3507" t="str">
        <f>A39</f>
        <v>估价对象XX用房的比较价格（楼面单价，元/平方米）</v>
      </c>
      <c r="Q39" s="3508"/>
      <c r="R39" s="3590" t="e">
        <f>IF(F1="售价",ROUND(IF(D38="简单平均",AVERAGE(R38:W38),R38*F38+T38*H38+V38*J38),0),ROUND(IF(D38="简单平均",AVERAGE(R38:V38),R38*F38+T38*H38+V38*J38),1))</f>
        <v>#DIV/0!</v>
      </c>
      <c r="S39" s="3590"/>
      <c r="T39" s="3590"/>
      <c r="U39" s="3590"/>
      <c r="V39" s="3590"/>
      <c r="W39" s="3590"/>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2020-12</v>
      </c>
      <c r="D48" s="2521">
        <f>EDATE(C48,-1)</f>
        <v>44136</v>
      </c>
      <c r="E48" s="2521">
        <f t="shared" ref="E48:O48" si="16">EDATE(D48,-1)</f>
        <v>44105</v>
      </c>
      <c r="F48" s="2521">
        <f t="shared" si="16"/>
        <v>44075</v>
      </c>
      <c r="G48" s="2521">
        <f t="shared" si="16"/>
        <v>44044</v>
      </c>
      <c r="H48" s="2521">
        <f t="shared" si="16"/>
        <v>44013</v>
      </c>
      <c r="I48" s="2521">
        <f t="shared" si="16"/>
        <v>43983</v>
      </c>
      <c r="J48" s="2521">
        <f t="shared" si="16"/>
        <v>43952</v>
      </c>
      <c r="K48" s="2521">
        <f t="shared" si="16"/>
        <v>43922</v>
      </c>
      <c r="L48" s="2521">
        <f t="shared" si="16"/>
        <v>43891</v>
      </c>
      <c r="M48" s="2521">
        <f t="shared" si="16"/>
        <v>43862</v>
      </c>
      <c r="N48" s="2521">
        <f t="shared" si="16"/>
        <v>43831</v>
      </c>
      <c r="O48" s="2521">
        <f t="shared" si="16"/>
        <v>43800</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2" t="s">
        <v>792</v>
      </c>
      <c r="D4" s="3493"/>
      <c r="E4" s="3517" t="s">
        <v>793</v>
      </c>
      <c r="F4" s="3518"/>
      <c r="G4" s="3492" t="s">
        <v>794</v>
      </c>
      <c r="H4" s="3493"/>
      <c r="I4" s="3492" t="s">
        <v>795</v>
      </c>
      <c r="J4" s="3493"/>
      <c r="K4" s="508" t="s">
        <v>796</v>
      </c>
      <c r="L4" s="2015"/>
      <c r="M4" s="2016"/>
      <c r="N4" s="2016"/>
      <c r="O4" s="2016"/>
      <c r="P4" s="3494" t="s">
        <v>797</v>
      </c>
      <c r="Q4" s="3495"/>
      <c r="R4" s="3480" t="s">
        <v>793</v>
      </c>
      <c r="S4" s="3481"/>
      <c r="T4" s="3480" t="s">
        <v>794</v>
      </c>
      <c r="U4" s="3481"/>
      <c r="V4" s="3500" t="s">
        <v>795</v>
      </c>
      <c r="W4" s="3500"/>
      <c r="X4" s="1501"/>
      <c r="Y4" s="3480" t="s">
        <v>797</v>
      </c>
      <c r="Z4" s="3481"/>
      <c r="AA4" s="3475" t="s">
        <v>793</v>
      </c>
      <c r="AB4" s="3476" t="s">
        <v>794</v>
      </c>
      <c r="AC4" s="3475" t="s">
        <v>795</v>
      </c>
    </row>
    <row r="5" spans="1:29" ht="15">
      <c r="A5" s="509"/>
      <c r="B5" s="510"/>
      <c r="C5" s="3503" t="s">
        <v>2898</v>
      </c>
      <c r="D5" s="3504"/>
      <c r="E5" s="3519" t="s">
        <v>2899</v>
      </c>
      <c r="F5" s="3520"/>
      <c r="G5" s="3503" t="s">
        <v>2900</v>
      </c>
      <c r="H5" s="3504"/>
      <c r="I5" s="3503" t="s">
        <v>2901</v>
      </c>
      <c r="J5" s="3504"/>
      <c r="K5" s="508"/>
      <c r="L5" s="2015"/>
      <c r="M5" s="2016"/>
      <c r="N5" s="2016"/>
      <c r="O5" s="2016"/>
      <c r="P5" s="3496"/>
      <c r="Q5" s="3497"/>
      <c r="R5" s="3482"/>
      <c r="S5" s="3483"/>
      <c r="T5" s="3482"/>
      <c r="U5" s="3483"/>
      <c r="V5" s="3500"/>
      <c r="W5" s="3500"/>
      <c r="X5" s="1501"/>
      <c r="Y5" s="3482"/>
      <c r="Z5" s="3483"/>
      <c r="AA5" s="3476"/>
      <c r="AB5" s="3476"/>
      <c r="AC5" s="3476"/>
    </row>
    <row r="6" spans="1:29" ht="15.75" thickBot="1">
      <c r="A6" s="511"/>
      <c r="B6" s="512"/>
      <c r="C6" s="3501" t="s">
        <v>2902</v>
      </c>
      <c r="D6" s="3502"/>
      <c r="E6" s="3521" t="s">
        <v>2902</v>
      </c>
      <c r="F6" s="3522"/>
      <c r="G6" s="3501" t="s">
        <v>2902</v>
      </c>
      <c r="H6" s="3502"/>
      <c r="I6" s="3501" t="s">
        <v>2902</v>
      </c>
      <c r="J6" s="3502"/>
      <c r="K6" s="508" t="s">
        <v>522</v>
      </c>
      <c r="L6" s="2015"/>
      <c r="M6" s="2016"/>
      <c r="N6" s="2016"/>
      <c r="O6" s="2016"/>
      <c r="P6" s="3498"/>
      <c r="Q6" s="3499"/>
      <c r="R6" s="3482"/>
      <c r="S6" s="3483"/>
      <c r="T6" s="3484"/>
      <c r="U6" s="3485"/>
      <c r="V6" s="3500"/>
      <c r="W6" s="3500"/>
      <c r="X6" s="1501"/>
      <c r="Y6" s="3484"/>
      <c r="Z6" s="3485"/>
      <c r="AA6" s="3477"/>
      <c r="AB6" s="3477"/>
      <c r="AC6" s="3477"/>
    </row>
    <row r="7" spans="1:29" s="1203" customFormat="1" ht="15.75" thickBot="1">
      <c r="A7" s="2629"/>
      <c r="B7" s="2636" t="s">
        <v>523</v>
      </c>
      <c r="C7" s="513">
        <f>'数据-取费表'!B2</f>
        <v>44187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78" t="s">
        <v>524</v>
      </c>
      <c r="Q7" s="3487"/>
      <c r="R7" s="1502" t="s">
        <v>8</v>
      </c>
      <c r="S7" s="1503">
        <f t="shared" ref="S7:S14" si="0">F7</f>
        <v>0</v>
      </c>
      <c r="T7" s="1502" t="s">
        <v>8</v>
      </c>
      <c r="U7" s="1503">
        <f t="shared" ref="U7:U14" si="1">H7</f>
        <v>0</v>
      </c>
      <c r="V7" s="1502" t="s">
        <v>8</v>
      </c>
      <c r="W7" s="1503">
        <f t="shared" ref="W7:W14" si="2">J7</f>
        <v>0</v>
      </c>
      <c r="X7" s="1504"/>
      <c r="Y7" s="3478" t="s">
        <v>524</v>
      </c>
      <c r="Z7" s="3479"/>
      <c r="AA7" s="1505" t="e">
        <f>D7/F7</f>
        <v>#DIV/0!</v>
      </c>
      <c r="AB7" s="1505" t="e">
        <f>D7/H7</f>
        <v>#DIV/0!</v>
      </c>
      <c r="AC7" s="1505"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78" t="s">
        <v>527</v>
      </c>
      <c r="Q8" s="3479"/>
      <c r="R8" s="1502" t="s">
        <v>8</v>
      </c>
      <c r="S8" s="1503">
        <f t="shared" si="0"/>
        <v>0</v>
      </c>
      <c r="T8" s="1502" t="s">
        <v>8</v>
      </c>
      <c r="U8" s="1503">
        <f t="shared" si="1"/>
        <v>0</v>
      </c>
      <c r="V8" s="1502" t="s">
        <v>8</v>
      </c>
      <c r="W8" s="1503">
        <f t="shared" si="2"/>
        <v>0</v>
      </c>
      <c r="X8" s="1504"/>
      <c r="Y8" s="3478" t="s">
        <v>527</v>
      </c>
      <c r="Z8" s="3479"/>
      <c r="AA8" s="1505" t="e">
        <f t="shared" ref="AA8:AA34" si="3">D8/F8</f>
        <v>#DIV/0!</v>
      </c>
      <c r="AB8" s="1505" t="e">
        <f t="shared" ref="AB8:AB34" si="4">D8/H8</f>
        <v>#DIV/0!</v>
      </c>
      <c r="AC8" s="1505"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6" t="s">
        <v>529</v>
      </c>
      <c r="Q9" s="1134" t="str">
        <f t="shared" ref="Q9:Q14" si="6">B9</f>
        <v>用途</v>
      </c>
      <c r="R9" s="1502" t="s">
        <v>8</v>
      </c>
      <c r="S9" s="1503">
        <f t="shared" si="0"/>
        <v>100</v>
      </c>
      <c r="T9" s="1502" t="s">
        <v>8</v>
      </c>
      <c r="U9" s="1503">
        <f t="shared" si="1"/>
        <v>100</v>
      </c>
      <c r="V9" s="1502" t="s">
        <v>8</v>
      </c>
      <c r="W9" s="1503">
        <f t="shared" si="2"/>
        <v>100</v>
      </c>
      <c r="X9" s="1504"/>
      <c r="Y9" s="3437" t="s">
        <v>530</v>
      </c>
      <c r="Z9" s="1133" t="str">
        <f t="shared" ref="Z9:Z14" si="7">Q9</f>
        <v>用途</v>
      </c>
      <c r="AA9" s="1505">
        <f t="shared" si="3"/>
        <v>1</v>
      </c>
      <c r="AB9" s="1505">
        <f t="shared" si="4"/>
        <v>1</v>
      </c>
      <c r="AC9" s="1505">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6"/>
      <c r="Q10" s="1134" t="str">
        <f t="shared" si="6"/>
        <v>土地使用年限（年）</v>
      </c>
      <c r="R10" s="1502" t="s">
        <v>8</v>
      </c>
      <c r="S10" s="1503">
        <f t="shared" si="0"/>
        <v>100</v>
      </c>
      <c r="T10" s="1502" t="s">
        <v>8</v>
      </c>
      <c r="U10" s="1503">
        <f t="shared" si="1"/>
        <v>100</v>
      </c>
      <c r="V10" s="1502" t="s">
        <v>8</v>
      </c>
      <c r="W10" s="1503">
        <f t="shared" si="2"/>
        <v>100</v>
      </c>
      <c r="X10" s="1504"/>
      <c r="Y10" s="3437"/>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86"/>
      <c r="Q11" s="1134">
        <f t="shared" si="6"/>
        <v>111</v>
      </c>
      <c r="R11" s="1502" t="s">
        <v>8</v>
      </c>
      <c r="S11" s="1503">
        <f t="shared" si="0"/>
        <v>100</v>
      </c>
      <c r="T11" s="1502" t="s">
        <v>8</v>
      </c>
      <c r="U11" s="1503">
        <f t="shared" si="1"/>
        <v>100</v>
      </c>
      <c r="V11" s="1502" t="s">
        <v>8</v>
      </c>
      <c r="W11" s="1503">
        <f t="shared" si="2"/>
        <v>100</v>
      </c>
      <c r="X11" s="1504"/>
      <c r="Y11" s="3437"/>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86"/>
      <c r="Q12" s="1134">
        <f t="shared" si="6"/>
        <v>111</v>
      </c>
      <c r="R12" s="1502" t="s">
        <v>8</v>
      </c>
      <c r="S12" s="1503">
        <f t="shared" si="0"/>
        <v>100</v>
      </c>
      <c r="T12" s="1502" t="s">
        <v>8</v>
      </c>
      <c r="U12" s="1503">
        <f t="shared" si="1"/>
        <v>100</v>
      </c>
      <c r="V12" s="1502" t="s">
        <v>8</v>
      </c>
      <c r="W12" s="1503">
        <f t="shared" si="2"/>
        <v>100</v>
      </c>
      <c r="X12" s="1504"/>
      <c r="Y12" s="3437"/>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86"/>
      <c r="Q13" s="1134">
        <f t="shared" si="6"/>
        <v>111</v>
      </c>
      <c r="R13" s="1502" t="s">
        <v>8</v>
      </c>
      <c r="S13" s="1503">
        <f t="shared" si="0"/>
        <v>100</v>
      </c>
      <c r="T13" s="1502" t="s">
        <v>8</v>
      </c>
      <c r="U13" s="1503">
        <f t="shared" si="1"/>
        <v>100</v>
      </c>
      <c r="V13" s="1502" t="s">
        <v>8</v>
      </c>
      <c r="W13" s="1503">
        <f t="shared" si="2"/>
        <v>100</v>
      </c>
      <c r="X13" s="1504"/>
      <c r="Y13" s="3437"/>
      <c r="Z13" s="1133">
        <f t="shared" si="7"/>
        <v>111</v>
      </c>
      <c r="AA13" s="1505">
        <f t="shared" si="3"/>
        <v>1</v>
      </c>
      <c r="AB13" s="1505">
        <f t="shared" si="4"/>
        <v>1</v>
      </c>
      <c r="AC13" s="1505">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88" t="s">
        <v>534</v>
      </c>
      <c r="Q14" s="1506" t="str">
        <f t="shared" si="6"/>
        <v>交通便捷度</v>
      </c>
      <c r="R14" s="1507" t="s">
        <v>8</v>
      </c>
      <c r="S14" s="1508">
        <f t="shared" si="0"/>
        <v>100</v>
      </c>
      <c r="T14" s="1507" t="s">
        <v>8</v>
      </c>
      <c r="U14" s="1508">
        <f t="shared" si="1"/>
        <v>100</v>
      </c>
      <c r="V14" s="1507" t="s">
        <v>8</v>
      </c>
      <c r="W14" s="1508">
        <f t="shared" si="2"/>
        <v>100</v>
      </c>
      <c r="X14" s="1501"/>
      <c r="Y14" s="3488"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489"/>
      <c r="Q15" s="1506"/>
      <c r="R15" s="1507"/>
      <c r="S15" s="1508"/>
      <c r="T15" s="1507"/>
      <c r="U15" s="1508"/>
      <c r="V15" s="1507"/>
      <c r="W15" s="1508"/>
      <c r="X15" s="1501"/>
      <c r="Y15" s="3489"/>
      <c r="Z15" s="1509"/>
      <c r="AA15" s="1510">
        <v>1</v>
      </c>
      <c r="AB15" s="1510">
        <v>1</v>
      </c>
      <c r="AC15" s="1510">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89"/>
      <c r="Q16" s="1506" t="str">
        <f>B16</f>
        <v>公共配套设施</v>
      </c>
      <c r="R16" s="1507" t="s">
        <v>8</v>
      </c>
      <c r="S16" s="1508">
        <f>F16</f>
        <v>100</v>
      </c>
      <c r="T16" s="1507" t="s">
        <v>8</v>
      </c>
      <c r="U16" s="1508">
        <f>H16</f>
        <v>100</v>
      </c>
      <c r="V16" s="1507" t="s">
        <v>8</v>
      </c>
      <c r="W16" s="1508">
        <f>J16</f>
        <v>100</v>
      </c>
      <c r="X16" s="1501"/>
      <c r="Y16" s="3489"/>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489"/>
      <c r="Q17" s="1506"/>
      <c r="R17" s="1507"/>
      <c r="S17" s="1508"/>
      <c r="T17" s="1507"/>
      <c r="U17" s="1508"/>
      <c r="V17" s="1507"/>
      <c r="W17" s="1508"/>
      <c r="X17" s="1501"/>
      <c r="Y17" s="3489"/>
      <c r="Z17" s="1509"/>
      <c r="AA17" s="1510">
        <v>1</v>
      </c>
      <c r="AB17" s="1510">
        <v>1</v>
      </c>
      <c r="AC17" s="1510">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89"/>
      <c r="Q18" s="2429" t="str">
        <f>B18</f>
        <v>基础设施水平</v>
      </c>
      <c r="R18" s="1507" t="s">
        <v>8</v>
      </c>
      <c r="S18" s="1508">
        <f>F18</f>
        <v>100</v>
      </c>
      <c r="T18" s="1507" t="s">
        <v>8</v>
      </c>
      <c r="U18" s="1508">
        <f>H18</f>
        <v>100</v>
      </c>
      <c r="V18" s="1507" t="s">
        <v>8</v>
      </c>
      <c r="W18" s="1508">
        <f>J18</f>
        <v>100</v>
      </c>
      <c r="X18" s="2431"/>
      <c r="Y18" s="3489"/>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89"/>
      <c r="Q19" s="2429"/>
      <c r="R19" s="1507"/>
      <c r="S19" s="1508"/>
      <c r="T19" s="1507"/>
      <c r="U19" s="1508"/>
      <c r="V19" s="1507"/>
      <c r="W19" s="1508"/>
      <c r="X19" s="2431"/>
      <c r="Y19" s="3489"/>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89"/>
      <c r="Q20" s="1506" t="str">
        <f>B20</f>
        <v>自然及人文环境</v>
      </c>
      <c r="R20" s="1507" t="s">
        <v>8</v>
      </c>
      <c r="S20" s="1508">
        <f>F20</f>
        <v>100</v>
      </c>
      <c r="T20" s="1507" t="s">
        <v>8</v>
      </c>
      <c r="U20" s="1508">
        <f>H20</f>
        <v>100</v>
      </c>
      <c r="V20" s="1507" t="s">
        <v>8</v>
      </c>
      <c r="W20" s="1508">
        <f>J20</f>
        <v>100</v>
      </c>
      <c r="X20" s="1501"/>
      <c r="Y20" s="3489"/>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489"/>
      <c r="Q21" s="1506"/>
      <c r="R21" s="1507"/>
      <c r="S21" s="1508"/>
      <c r="T21" s="1507"/>
      <c r="U21" s="1508"/>
      <c r="V21" s="1507"/>
      <c r="W21" s="1508"/>
      <c r="X21" s="1501"/>
      <c r="Y21" s="3489"/>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89"/>
      <c r="Q22" s="1506" t="str">
        <f>B22</f>
        <v>楼层</v>
      </c>
      <c r="R22" s="1507" t="s">
        <v>8</v>
      </c>
      <c r="S22" s="1508">
        <f>F22</f>
        <v>100</v>
      </c>
      <c r="T22" s="1507" t="s">
        <v>8</v>
      </c>
      <c r="U22" s="1508">
        <f>H22</f>
        <v>100</v>
      </c>
      <c r="V22" s="1507" t="s">
        <v>8</v>
      </c>
      <c r="W22" s="1508">
        <f>J22</f>
        <v>100</v>
      </c>
      <c r="X22" s="1501"/>
      <c r="Y22" s="3489"/>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89"/>
      <c r="Q23" s="1506">
        <f>B23</f>
        <v>111</v>
      </c>
      <c r="R23" s="1507" t="s">
        <v>8</v>
      </c>
      <c r="S23" s="1508">
        <f>F23</f>
        <v>100</v>
      </c>
      <c r="T23" s="1507" t="s">
        <v>8</v>
      </c>
      <c r="U23" s="1508">
        <f>H23</f>
        <v>100</v>
      </c>
      <c r="V23" s="1507" t="s">
        <v>8</v>
      </c>
      <c r="W23" s="1508">
        <f>J23</f>
        <v>100</v>
      </c>
      <c r="X23" s="1501"/>
      <c r="Y23" s="3489"/>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89"/>
      <c r="Q24" s="1506">
        <f t="shared" ref="Q24:Q34" si="11">B24</f>
        <v>111</v>
      </c>
      <c r="R24" s="1507" t="s">
        <v>8</v>
      </c>
      <c r="S24" s="1508">
        <f>F24</f>
        <v>100</v>
      </c>
      <c r="T24" s="1507" t="s">
        <v>8</v>
      </c>
      <c r="U24" s="1508">
        <f>H24</f>
        <v>100</v>
      </c>
      <c r="V24" s="1507" t="s">
        <v>8</v>
      </c>
      <c r="W24" s="1508">
        <f>J24</f>
        <v>100</v>
      </c>
      <c r="X24" s="1501"/>
      <c r="Y24" s="3489"/>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89"/>
      <c r="Q25" s="1134">
        <f t="shared" si="11"/>
        <v>111</v>
      </c>
      <c r="R25" s="1502" t="s">
        <v>8</v>
      </c>
      <c r="S25" s="1503">
        <f>F25</f>
        <v>100</v>
      </c>
      <c r="T25" s="1502" t="s">
        <v>8</v>
      </c>
      <c r="U25" s="1503">
        <f>H25</f>
        <v>100</v>
      </c>
      <c r="V25" s="1502" t="s">
        <v>8</v>
      </c>
      <c r="W25" s="1503">
        <f>J25</f>
        <v>100</v>
      </c>
      <c r="X25" s="1504"/>
      <c r="Y25" s="3489"/>
      <c r="Z25" s="1133">
        <f>Q25</f>
        <v>111</v>
      </c>
      <c r="AA25" s="1510">
        <f>D25/F25</f>
        <v>1</v>
      </c>
      <c r="AB25" s="1510">
        <f>D25/H25</f>
        <v>1</v>
      </c>
      <c r="AC25" s="1510">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0"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1"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1"/>
      <c r="Q27" s="1535" t="str">
        <f t="shared" si="11"/>
        <v>成新率</v>
      </c>
      <c r="R27" s="1511" t="s">
        <v>8</v>
      </c>
      <c r="S27" s="1512" t="e">
        <f t="shared" si="12"/>
        <v>#N/A</v>
      </c>
      <c r="T27" s="1511" t="s">
        <v>8</v>
      </c>
      <c r="U27" s="1512" t="e">
        <f t="shared" si="13"/>
        <v>#N/A</v>
      </c>
      <c r="V27" s="1511" t="s">
        <v>8</v>
      </c>
      <c r="W27" s="1512" t="e">
        <f t="shared" si="14"/>
        <v>#N/A</v>
      </c>
      <c r="X27" s="1513"/>
      <c r="Y27" s="3491"/>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1"/>
      <c r="Q28" s="1506" t="str">
        <f t="shared" si="11"/>
        <v>物业等级</v>
      </c>
      <c r="R28" s="1507" t="s">
        <v>8</v>
      </c>
      <c r="S28" s="1508">
        <f t="shared" si="12"/>
        <v>100</v>
      </c>
      <c r="T28" s="1507" t="s">
        <v>8</v>
      </c>
      <c r="U28" s="1508">
        <f t="shared" si="13"/>
        <v>100</v>
      </c>
      <c r="V28" s="1507" t="s">
        <v>8</v>
      </c>
      <c r="W28" s="1508">
        <f t="shared" si="14"/>
        <v>100</v>
      </c>
      <c r="X28" s="1501"/>
      <c r="Y28" s="3491"/>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1"/>
      <c r="Q29" s="1506" t="str">
        <f t="shared" si="11"/>
        <v>有无电梯</v>
      </c>
      <c r="R29" s="1507" t="s">
        <v>8</v>
      </c>
      <c r="S29" s="1508">
        <f t="shared" si="12"/>
        <v>100</v>
      </c>
      <c r="T29" s="1507" t="s">
        <v>8</v>
      </c>
      <c r="U29" s="1508">
        <f t="shared" si="13"/>
        <v>100</v>
      </c>
      <c r="V29" s="1507" t="s">
        <v>8</v>
      </c>
      <c r="W29" s="1508">
        <f t="shared" si="14"/>
        <v>100</v>
      </c>
      <c r="X29" s="1501"/>
      <c r="Y29" s="3491"/>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1"/>
      <c r="Q30" s="1506" t="str">
        <f t="shared" si="11"/>
        <v>建筑面积</v>
      </c>
      <c r="R30" s="1507" t="s">
        <v>8</v>
      </c>
      <c r="S30" s="1508" t="e">
        <f t="shared" si="12"/>
        <v>#N/A</v>
      </c>
      <c r="T30" s="1507" t="s">
        <v>8</v>
      </c>
      <c r="U30" s="1508" t="e">
        <f t="shared" si="13"/>
        <v>#N/A</v>
      </c>
      <c r="V30" s="1507" t="s">
        <v>8</v>
      </c>
      <c r="W30" s="1508" t="e">
        <f t="shared" si="14"/>
        <v>#N/A</v>
      </c>
      <c r="X30" s="1501"/>
      <c r="Y30" s="3491"/>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1"/>
      <c r="Q31" s="1134" t="str">
        <f t="shared" si="11"/>
        <v>是否封闭</v>
      </c>
      <c r="R31" s="1502" t="s">
        <v>8</v>
      </c>
      <c r="S31" s="1503">
        <f t="shared" si="12"/>
        <v>100</v>
      </c>
      <c r="T31" s="1502" t="s">
        <v>8</v>
      </c>
      <c r="U31" s="1503">
        <f t="shared" si="13"/>
        <v>100</v>
      </c>
      <c r="V31" s="1502" t="s">
        <v>8</v>
      </c>
      <c r="W31" s="1503">
        <f t="shared" si="14"/>
        <v>100</v>
      </c>
      <c r="X31" s="1504"/>
      <c r="Y31" s="3491"/>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1" t="s">
        <v>544</v>
      </c>
      <c r="Q32" s="1506">
        <f t="shared" si="11"/>
        <v>111</v>
      </c>
      <c r="R32" s="1507" t="s">
        <v>8</v>
      </c>
      <c r="S32" s="1508">
        <f t="shared" si="12"/>
        <v>100</v>
      </c>
      <c r="T32" s="1507" t="s">
        <v>8</v>
      </c>
      <c r="U32" s="1508">
        <f t="shared" si="13"/>
        <v>100</v>
      </c>
      <c r="V32" s="1507" t="s">
        <v>8</v>
      </c>
      <c r="W32" s="1508">
        <f t="shared" si="14"/>
        <v>100</v>
      </c>
      <c r="X32" s="1501"/>
      <c r="Y32" s="3491"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1"/>
      <c r="Q33" s="1506">
        <f t="shared" si="11"/>
        <v>111</v>
      </c>
      <c r="R33" s="1507" t="s">
        <v>8</v>
      </c>
      <c r="S33" s="1508">
        <f t="shared" si="12"/>
        <v>100</v>
      </c>
      <c r="T33" s="1507" t="s">
        <v>8</v>
      </c>
      <c r="U33" s="1508">
        <f t="shared" si="13"/>
        <v>100</v>
      </c>
      <c r="V33" s="1507" t="s">
        <v>8</v>
      </c>
      <c r="W33" s="1508">
        <f t="shared" si="14"/>
        <v>100</v>
      </c>
      <c r="X33" s="1501"/>
      <c r="Y33" s="3491"/>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1"/>
      <c r="Q34" s="1506">
        <f t="shared" si="11"/>
        <v>111</v>
      </c>
      <c r="R34" s="1507" t="s">
        <v>8</v>
      </c>
      <c r="S34" s="1508">
        <f t="shared" si="12"/>
        <v>100</v>
      </c>
      <c r="T34" s="1507" t="s">
        <v>8</v>
      </c>
      <c r="U34" s="1508">
        <f t="shared" si="13"/>
        <v>100</v>
      </c>
      <c r="V34" s="1507" t="s">
        <v>8</v>
      </c>
      <c r="W34" s="1508">
        <f t="shared" si="14"/>
        <v>100</v>
      </c>
      <c r="X34" s="1501"/>
      <c r="Y34" s="3491"/>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486" t="str">
        <f>A35</f>
        <v>成交单价（元/平方米）</v>
      </c>
      <c r="Q35" s="3486"/>
      <c r="R35" s="3591">
        <f>E35</f>
        <v>0</v>
      </c>
      <c r="S35" s="3591"/>
      <c r="T35" s="3591">
        <f>G35</f>
        <v>0</v>
      </c>
      <c r="U35" s="3591"/>
      <c r="V35" s="3591">
        <f>I35</f>
        <v>0</v>
      </c>
      <c r="W35" s="3591"/>
      <c r="X35" s="1496"/>
      <c r="Y35" s="1515"/>
      <c r="Z35" s="1496"/>
      <c r="AA35" s="1496"/>
      <c r="AB35" s="1496"/>
      <c r="AC35" s="1496"/>
    </row>
    <row r="36" spans="1:29" ht="15.75" thickBot="1">
      <c r="A36" s="609" t="s">
        <v>2741</v>
      </c>
      <c r="B36" s="877"/>
      <c r="C36" s="2476" t="e">
        <f>R37</f>
        <v>#DIV/0!</v>
      </c>
      <c r="D36" s="3014" t="s">
        <v>2973</v>
      </c>
      <c r="E36" s="2477" t="e">
        <f>R36</f>
        <v>#DIV/0!</v>
      </c>
      <c r="F36" s="3015"/>
      <c r="G36" s="2476" t="e">
        <f>T36</f>
        <v>#DIV/0!</v>
      </c>
      <c r="H36" s="3015"/>
      <c r="I36" s="2477" t="e">
        <f>V36</f>
        <v>#DIV/0!</v>
      </c>
      <c r="J36" s="3015"/>
      <c r="K36" s="3023">
        <f>F36+H36+J36</f>
        <v>0</v>
      </c>
      <c r="L36" s="2026"/>
      <c r="M36" s="2027"/>
      <c r="N36" s="2016"/>
      <c r="O36" s="2027"/>
      <c r="P36" s="3486" t="str">
        <f>A36</f>
        <v>比较价格（元/平方米）</v>
      </c>
      <c r="Q36" s="3486"/>
      <c r="R36" s="3591" t="e">
        <f>IF(F1="售价",ROUND(PRODUCT(R35,AA7:AA34),0),ROUND(PRODUCT(R35,AA7:AA34),1))</f>
        <v>#DIV/0!</v>
      </c>
      <c r="S36" s="3591"/>
      <c r="T36" s="3591" t="e">
        <f>IF(F1="售价",ROUND(PRODUCT(T35,AB7:AB34),0),ROUND(PRODUCT(T35,AB7:AB34),1))</f>
        <v>#DIV/0!</v>
      </c>
      <c r="U36" s="3591"/>
      <c r="V36" s="3591" t="e">
        <f>IF(F1="售价",ROUND(PRODUCT(V35,AC7:AC34),0),ROUND(PRODUCT(V35,AC7:AC34),1))</f>
        <v>#DIV/0!</v>
      </c>
      <c r="W36" s="3591"/>
      <c r="X36" s="1496"/>
      <c r="Y36" s="1496"/>
      <c r="Z36" s="1496"/>
      <c r="AA36" s="1496"/>
      <c r="AB36" s="1496"/>
      <c r="AC36" s="1496"/>
    </row>
    <row r="37" spans="1:29" ht="15.75" thickBot="1">
      <c r="A37" s="613" t="s">
        <v>2904</v>
      </c>
      <c r="B37" s="614"/>
      <c r="C37" s="2478" t="e">
        <f>R37</f>
        <v>#DIV/0!</v>
      </c>
      <c r="D37" s="2478"/>
      <c r="E37" s="2478"/>
      <c r="F37" s="2478"/>
      <c r="G37" s="2478"/>
      <c r="H37" s="2478"/>
      <c r="I37" s="2478"/>
      <c r="J37" s="2478"/>
      <c r="K37" s="1541"/>
      <c r="L37" s="2026"/>
      <c r="M37" s="2027"/>
      <c r="N37" s="2027"/>
      <c r="O37" s="2027"/>
      <c r="P37" s="3507" t="str">
        <f>A37</f>
        <v>估价对象XX用房的比较价格（楼面单价，元/平方米）</v>
      </c>
      <c r="Q37" s="3508"/>
      <c r="R37" s="3590" t="e">
        <f>IF(F1="售价",ROUND(IF(D36="简单平均",AVERAGE(R36:W36),R36*F36+T36*H36+V36*J36),0),ROUND(IF(D36="简单平均",AVERAGE(R36:V36),R36*F36+T36*H36+V36*J36),1))</f>
        <v>#DIV/0!</v>
      </c>
      <c r="S37" s="3590"/>
      <c r="T37" s="3590"/>
      <c r="U37" s="3590"/>
      <c r="V37" s="3590"/>
      <c r="W37" s="3590"/>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2020-12</v>
      </c>
      <c r="D46" s="2521">
        <f>EDATE(C46,-1)</f>
        <v>44136</v>
      </c>
      <c r="E46" s="2521">
        <f t="shared" ref="E46:O46" si="16">EDATE(D46,-1)</f>
        <v>44105</v>
      </c>
      <c r="F46" s="2521">
        <f t="shared" si="16"/>
        <v>44075</v>
      </c>
      <c r="G46" s="2521">
        <f t="shared" si="16"/>
        <v>44044</v>
      </c>
      <c r="H46" s="2521">
        <f t="shared" si="16"/>
        <v>44013</v>
      </c>
      <c r="I46" s="2521">
        <f t="shared" si="16"/>
        <v>43983</v>
      </c>
      <c r="J46" s="2521">
        <f t="shared" si="16"/>
        <v>43952</v>
      </c>
      <c r="K46" s="2521">
        <f t="shared" si="16"/>
        <v>43922</v>
      </c>
      <c r="L46" s="2521">
        <f t="shared" si="16"/>
        <v>43891</v>
      </c>
      <c r="M46" s="2521">
        <f t="shared" si="16"/>
        <v>43862</v>
      </c>
      <c r="N46" s="2521">
        <f t="shared" si="16"/>
        <v>43831</v>
      </c>
      <c r="O46" s="2521">
        <f t="shared" si="16"/>
        <v>43800</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activeCell="Q29" sqref="Q29"/>
      <selection pane="bottomLeft" activeCell="Q29" sqref="Q29"/>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2291</v>
      </c>
      <c r="C1" s="3600" t="s">
        <v>2292</v>
      </c>
      <c r="D1" s="3601"/>
      <c r="E1" s="3601"/>
      <c r="F1" s="3601"/>
      <c r="G1" s="3601"/>
      <c r="H1" s="3601"/>
      <c r="I1" s="3601"/>
      <c r="J1" s="3601"/>
      <c r="K1" s="3601"/>
      <c r="L1" s="3601"/>
      <c r="M1" s="3601"/>
      <c r="N1" s="3601"/>
      <c r="O1" s="3601"/>
      <c r="P1" s="3601"/>
      <c r="Q1" s="3601"/>
      <c r="R1" s="3601"/>
      <c r="S1" s="360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97" t="s">
        <v>20</v>
      </c>
      <c r="D22" s="3598"/>
      <c r="E22" s="3598"/>
      <c r="F22" s="3598"/>
      <c r="G22" s="3598"/>
      <c r="H22" s="3598"/>
      <c r="I22" s="3598"/>
      <c r="J22" s="3598"/>
      <c r="K22" s="3598"/>
      <c r="L22" s="3598"/>
      <c r="M22" s="3598"/>
      <c r="N22" s="3598"/>
      <c r="O22" s="3598"/>
      <c r="P22" s="3598"/>
      <c r="Q22" s="3599"/>
      <c r="R22" s="484" t="e">
        <f>ROUND(S22*10000/B22,0)</f>
        <v>#DIV/0!</v>
      </c>
      <c r="S22" s="53">
        <f>SUM(S24:S10000)</f>
        <v>0</v>
      </c>
    </row>
    <row r="23" spans="1:45" s="1542"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44187</v>
      </c>
      <c r="H1" s="2655">
        <f>IF(C1&gt;C13,0,MATCH(C1,C$13:C$100,-1))+IF(SUMIF(C13:C100,C1,D13:D100)=0,13,12)</f>
        <v>13</v>
      </c>
      <c r="I1" s="2655">
        <f ca="1">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3</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v>
      </c>
      <c r="D3" s="2717" t="s">
        <v>2769</v>
      </c>
      <c r="E3" s="2720">
        <f ca="1">INDIRECT("J"&amp;$J$1)/100</f>
        <v>0</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2" t="s">
        <v>2027</v>
      </c>
      <c r="B1" s="3302"/>
      <c r="C1" s="3302"/>
      <c r="D1" s="3302"/>
      <c r="E1" s="3302"/>
      <c r="F1" s="3302"/>
      <c r="G1" s="3302"/>
      <c r="H1" s="3302"/>
      <c r="I1" s="3302"/>
      <c r="J1" s="3302"/>
      <c r="K1" s="3302"/>
      <c r="L1" s="3302"/>
      <c r="M1" s="3302"/>
      <c r="N1" s="3302"/>
      <c r="O1" s="3302"/>
      <c r="P1" s="3302"/>
      <c r="Q1" s="3302"/>
      <c r="R1" s="3302"/>
    </row>
    <row r="2" spans="1:18">
      <c r="A2" s="1722" t="s">
        <v>2029</v>
      </c>
      <c r="B2" s="1722"/>
      <c r="C2" s="1722"/>
      <c r="D2" s="1722"/>
      <c r="E2" s="1722"/>
      <c r="F2" s="1722"/>
      <c r="G2" s="1722"/>
      <c r="H2" s="1722"/>
      <c r="I2" s="1723"/>
      <c r="J2" s="1723"/>
      <c r="K2" s="1724" t="str">
        <f>"估价期日："&amp;TEXT(项目基本情况!D3,"yyyy年m月d日;;")</f>
        <v>估价期日：2020年12月22日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3" t="s">
        <v>2018</v>
      </c>
      <c r="B3" s="3303" t="s">
        <v>2712</v>
      </c>
      <c r="C3" s="3304" t="s">
        <v>2019</v>
      </c>
      <c r="D3" s="3303" t="s">
        <v>2716</v>
      </c>
      <c r="E3" s="3298" t="s">
        <v>2020</v>
      </c>
      <c r="F3" s="3298"/>
      <c r="G3" s="3298"/>
      <c r="H3" s="3298" t="s">
        <v>2021</v>
      </c>
      <c r="I3" s="3298"/>
      <c r="J3" s="3298"/>
      <c r="K3" s="3304" t="s">
        <v>2022</v>
      </c>
      <c r="L3" s="3304" t="s">
        <v>2023</v>
      </c>
      <c r="M3" s="3303" t="s">
        <v>2713</v>
      </c>
      <c r="N3" s="3305" t="str">
        <f>"（分摊）"&amp;项目基本情况!B16&amp;"国有建设用地使用权面积/㎡"</f>
        <v>（分摊）出让国有建设用地使用权面积/㎡</v>
      </c>
      <c r="O3" s="3303" t="s">
        <v>2052</v>
      </c>
      <c r="P3" s="3304" t="s">
        <v>2032</v>
      </c>
      <c r="Q3" s="3304" t="s">
        <v>2053</v>
      </c>
      <c r="R3" s="3304" t="s">
        <v>2024</v>
      </c>
    </row>
    <row r="4" spans="1:18" ht="36.75" customHeight="1">
      <c r="A4" s="3303"/>
      <c r="B4" s="3303"/>
      <c r="C4" s="3304"/>
      <c r="D4" s="3303"/>
      <c r="E4" s="2491" t="s">
        <v>2031</v>
      </c>
      <c r="F4" s="2491" t="s">
        <v>2725</v>
      </c>
      <c r="G4" s="2491" t="s">
        <v>2025</v>
      </c>
      <c r="H4" s="2491" t="s">
        <v>2026</v>
      </c>
      <c r="I4" s="2491" t="s">
        <v>2726</v>
      </c>
      <c r="J4" s="2491" t="s">
        <v>2025</v>
      </c>
      <c r="K4" s="3304"/>
      <c r="L4" s="3304"/>
      <c r="M4" s="3303"/>
      <c r="N4" s="3305"/>
      <c r="O4" s="3303"/>
      <c r="P4" s="3304"/>
      <c r="Q4" s="3304"/>
      <c r="R4" s="3304"/>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153925.47</v>
      </c>
      <c r="O5" s="1725">
        <f>项目基本情况!C21</f>
        <v>559573.15</v>
      </c>
      <c r="P5" s="1725">
        <f ca="1">结果表!E42</f>
        <v>10751</v>
      </c>
      <c r="Q5" s="1725">
        <f ca="1">结果表!D42</f>
        <v>2957</v>
      </c>
      <c r="R5" s="1726">
        <f ca="1">结果表!C42</f>
        <v>165492</v>
      </c>
    </row>
    <row r="6" spans="1:18">
      <c r="A6" s="3299" t="str">
        <f>IF(项目基本情况!B9="市场价格","——","抵押价格")</f>
        <v>抵押价格</v>
      </c>
      <c r="B6" s="3300"/>
      <c r="C6" s="3300"/>
      <c r="D6" s="3300"/>
      <c r="E6" s="3300"/>
      <c r="F6" s="3300"/>
      <c r="G6" s="3300"/>
      <c r="H6" s="3300"/>
      <c r="I6" s="3300"/>
      <c r="J6" s="3300"/>
      <c r="K6" s="3300"/>
      <c r="L6" s="3300"/>
      <c r="M6" s="3300"/>
      <c r="N6" s="3300"/>
      <c r="O6" s="3300"/>
      <c r="P6" s="3300"/>
      <c r="Q6" s="3301"/>
      <c r="R6" s="1727" t="str">
        <f>结果表!O39</f>
        <v>——</v>
      </c>
    </row>
    <row r="7" spans="1:18">
      <c r="A7" s="3299" t="str">
        <f>IF(项目基本情况!B9="市场价格","——",IF(项目基本情况!E8="已注销及未注销","抵押担保权已注销时的抵押价格","——"))</f>
        <v>——</v>
      </c>
      <c r="B7" s="3300"/>
      <c r="C7" s="3300"/>
      <c r="D7" s="3300"/>
      <c r="E7" s="3300"/>
      <c r="F7" s="3300"/>
      <c r="G7" s="3300"/>
      <c r="H7" s="3300"/>
      <c r="I7" s="3300"/>
      <c r="J7" s="3300"/>
      <c r="K7" s="3300"/>
      <c r="L7" s="3300"/>
      <c r="M7" s="3300"/>
      <c r="N7" s="3300"/>
      <c r="O7" s="3300"/>
      <c r="P7" s="3300"/>
      <c r="Q7" s="3301"/>
      <c r="R7" s="1727" t="str">
        <f>结果表!O40</f>
        <v>——</v>
      </c>
    </row>
    <row r="8" spans="1:18">
      <c r="A8" s="3299">
        <f>IF(项目基本情况!B9="市场价格","——",项目基本情况!E9)</f>
        <v>0</v>
      </c>
      <c r="B8" s="3300"/>
      <c r="C8" s="3300"/>
      <c r="D8" s="3300"/>
      <c r="E8" s="3300"/>
      <c r="F8" s="3300"/>
      <c r="G8" s="3300"/>
      <c r="H8" s="3300"/>
      <c r="I8" s="3300"/>
      <c r="J8" s="3300"/>
      <c r="K8" s="3300"/>
      <c r="L8" s="3300"/>
      <c r="M8" s="3300"/>
      <c r="N8" s="3300"/>
      <c r="O8" s="3300"/>
      <c r="P8" s="3300"/>
      <c r="Q8" s="3301"/>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06" t="s">
        <v>2054</v>
      </c>
      <c r="B1" s="3306"/>
      <c r="C1" s="3306"/>
      <c r="D1" s="3306"/>
    </row>
    <row r="2" spans="1:4" ht="47.25" customHeight="1">
      <c r="A2" s="3310" t="str">
        <f>"1.权利限制："&amp;项目基本情况!L24&amp;"未设定租赁等其他他项权利。"</f>
        <v>1.权利限制：根据估价对象《不动产权证书》原件、《国有土地使用权》复印件，截至估价期日，估价对象抵押权未见登记。未设定租赁等其他他项权利。</v>
      </c>
      <c r="B2" s="3310"/>
      <c r="C2" s="3310"/>
      <c r="D2" s="3310"/>
    </row>
    <row r="3" spans="1:4" ht="48" customHeight="1">
      <c r="A3" s="33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9" t="s">
        <v>2055</v>
      </c>
      <c r="B5" s="3309"/>
      <c r="C5" s="3309"/>
      <c r="D5" s="3309"/>
    </row>
    <row r="6" spans="1:4">
      <c r="A6" s="3306" t="s">
        <v>2033</v>
      </c>
      <c r="B6" s="3306"/>
      <c r="C6" s="3306"/>
      <c r="D6" s="3306"/>
    </row>
    <row r="7" spans="1:4" ht="33" customHeight="1">
      <c r="A7" s="3306" t="s">
        <v>2556</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8"/>
      <c r="C11" s="3308"/>
      <c r="D11" s="3308"/>
    </row>
    <row r="12" spans="1:4" ht="168" customHeight="1">
      <c r="A12" s="3309" t="s">
        <v>2057</v>
      </c>
      <c r="B12" s="3309"/>
      <c r="C12" s="3309"/>
      <c r="D12" s="3309"/>
    </row>
    <row r="13" spans="1:4">
      <c r="A13" s="3307" t="s">
        <v>2727</v>
      </c>
      <c r="B13" s="3307"/>
      <c r="C13" s="3307"/>
      <c r="D13" s="3307"/>
    </row>
    <row r="14" spans="1:4">
      <c r="A14" s="3308" t="str">
        <f>IF(项目基本情况!B8="抵押","综上，"&amp;结果表!K47,"——")</f>
        <v>综上，本次评估不存在估价师知悉的法定优先受偿款</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2683</v>
      </c>
      <c r="B17" s="3306"/>
      <c r="C17" s="3306"/>
      <c r="D17" s="3306"/>
    </row>
    <row r="18" spans="1:4">
      <c r="A18" s="3306" t="s">
        <v>2675</v>
      </c>
      <c r="B18" s="3306"/>
      <c r="C18" s="3306"/>
      <c r="D18" s="3306"/>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06" t="s">
        <v>2680</v>
      </c>
      <c r="B23" s="3306"/>
      <c r="C23" s="3306"/>
      <c r="D23" s="3306"/>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8" t="s">
        <v>53</v>
      </c>
      <c r="B15" s="3319" t="s">
        <v>838</v>
      </c>
      <c r="C15" s="3315"/>
    </row>
    <row r="16" spans="1:7" ht="14.25">
      <c r="A16" s="3318"/>
      <c r="B16" s="3316" t="s">
        <v>54</v>
      </c>
      <c r="C16" s="1155" t="s">
        <v>53</v>
      </c>
    </row>
    <row r="17" spans="1:3" ht="14.25">
      <c r="A17" s="3318"/>
      <c r="B17" s="3316"/>
      <c r="C17" s="1155" t="s">
        <v>55</v>
      </c>
    </row>
    <row r="18" spans="1:3" ht="14.25">
      <c r="A18" s="3318"/>
      <c r="B18" s="3316"/>
      <c r="C18" s="1155" t="s">
        <v>56</v>
      </c>
    </row>
    <row r="19" spans="1:3" ht="14.25">
      <c r="A19" s="3318"/>
      <c r="B19" s="3314" t="s">
        <v>57</v>
      </c>
      <c r="C19" s="3315"/>
    </row>
    <row r="20" spans="1:3" ht="14.25">
      <c r="A20" s="1156" t="s">
        <v>58</v>
      </c>
      <c r="B20" s="1157"/>
      <c r="C20" s="1158"/>
    </row>
    <row r="21" spans="1:3" ht="14.25">
      <c r="A21" s="3317" t="s">
        <v>59</v>
      </c>
      <c r="B21" s="3314" t="s">
        <v>60</v>
      </c>
      <c r="C21" s="3315"/>
    </row>
    <row r="22" spans="1:3" ht="14.25">
      <c r="A22" s="3317"/>
      <c r="B22" s="3314" t="s">
        <v>61</v>
      </c>
      <c r="C22" s="3315"/>
    </row>
    <row r="23" spans="1:3" ht="14.25">
      <c r="A23" s="3317"/>
      <c r="B23" s="3314" t="s">
        <v>62</v>
      </c>
      <c r="C23" s="3315"/>
    </row>
    <row r="24" spans="1:3" ht="14.25">
      <c r="A24" s="3317"/>
      <c r="B24" s="3320" t="s">
        <v>63</v>
      </c>
      <c r="C24" s="1159" t="s">
        <v>829</v>
      </c>
    </row>
    <row r="25" spans="1:3" ht="14.25">
      <c r="A25" s="3317"/>
      <c r="B25" s="3321"/>
      <c r="C25" s="1159" t="s">
        <v>830</v>
      </c>
    </row>
    <row r="26" spans="1:3" ht="14.25">
      <c r="A26" s="3317"/>
      <c r="B26" s="3321"/>
      <c r="C26" s="1159" t="s">
        <v>831</v>
      </c>
    </row>
    <row r="27" spans="1:3" ht="14.25">
      <c r="A27" s="3317"/>
      <c r="B27" s="3321"/>
      <c r="C27" s="1159" t="s">
        <v>832</v>
      </c>
    </row>
    <row r="28" spans="1:3" ht="14.25">
      <c r="A28" s="3317"/>
      <c r="B28" s="3321"/>
      <c r="C28" s="1159" t="s">
        <v>833</v>
      </c>
    </row>
    <row r="29" spans="1:3" ht="14.25">
      <c r="A29" s="3317"/>
      <c r="B29" s="3321"/>
      <c r="C29" s="1159" t="s">
        <v>834</v>
      </c>
    </row>
    <row r="30" spans="1:3" ht="14.25">
      <c r="A30" s="3317"/>
      <c r="B30" s="3321"/>
      <c r="C30" s="1159" t="s">
        <v>835</v>
      </c>
    </row>
    <row r="31" spans="1:3" ht="14.25">
      <c r="A31" s="3317"/>
      <c r="B31" s="3321"/>
      <c r="C31" s="1159" t="s">
        <v>836</v>
      </c>
    </row>
    <row r="32" spans="1:3" ht="14.25">
      <c r="A32" s="3317"/>
      <c r="B32" s="3321"/>
      <c r="C32" s="1159" t="s">
        <v>1637</v>
      </c>
    </row>
    <row r="33" spans="1:3" ht="14.25">
      <c r="A33" s="3317"/>
      <c r="B33" s="3311" t="s">
        <v>1643</v>
      </c>
      <c r="C33" s="1159" t="s">
        <v>1638</v>
      </c>
    </row>
    <row r="34" spans="1:3" ht="14.25">
      <c r="A34" s="3317"/>
      <c r="B34" s="3312"/>
      <c r="C34" s="1164" t="s">
        <v>1639</v>
      </c>
    </row>
    <row r="35" spans="1:3" ht="14.25">
      <c r="A35" s="3317"/>
      <c r="B35" s="3312"/>
      <c r="C35" s="1165" t="s">
        <v>1640</v>
      </c>
    </row>
    <row r="36" spans="1:3" ht="14.25">
      <c r="A36" s="3317"/>
      <c r="B36" s="3312"/>
      <c r="C36" s="1165" t="s">
        <v>1641</v>
      </c>
    </row>
    <row r="37" spans="1:3" ht="14.25">
      <c r="A37" s="3317"/>
      <c r="B37" s="331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44188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2961</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25" t="s">
        <v>1915</v>
      </c>
      <c r="B17" s="3326"/>
      <c r="C17" s="3326"/>
      <c r="D17" s="3326"/>
      <c r="E17" s="3326"/>
      <c r="F17" s="3326"/>
      <c r="G17" s="3034"/>
    </row>
    <row r="18" spans="1:7" ht="20.25" customHeight="1">
      <c r="A18" s="3322" t="s">
        <v>1916</v>
      </c>
      <c r="B18" s="3322"/>
      <c r="C18" s="3323"/>
      <c r="D18" s="3324" t="s">
        <v>1917</v>
      </c>
      <c r="E18" s="3322"/>
      <c r="F18" s="332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2960</v>
      </c>
      <c r="F21" s="3038">
        <v>44012</v>
      </c>
      <c r="G21" s="3026"/>
    </row>
    <row r="22" spans="1:7" ht="20.25" customHeight="1">
      <c r="A22" s="3025"/>
      <c r="B22" s="3025"/>
      <c r="C22" s="3039"/>
      <c r="D22" s="3047"/>
      <c r="E22" s="3048"/>
      <c r="F22" s="3040" t="s">
        <v>2974</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Y16" sqref="Y16"/>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1"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2922</v>
      </c>
      <c r="C18" s="1492"/>
    </row>
    <row r="19" spans="1:3">
      <c r="A19" s="8" t="s">
        <v>120</v>
      </c>
      <c r="B19" s="2792" t="s">
        <v>2929</v>
      </c>
      <c r="C19" s="1492"/>
    </row>
    <row r="20" spans="1:3">
      <c r="A20" s="8" t="s">
        <v>121</v>
      </c>
      <c r="B20" s="2792" t="s">
        <v>2975</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27"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22日，在规划利用条件下、设定土地开发程度为红线外“七通”、宗地内场地，设定用途为，剩余土地使用年限为的出让国有建设用地使用权价格。</v>
      </c>
      <c r="D53" s="1685"/>
      <c r="E53" s="1685"/>
    </row>
    <row r="54" spans="1:5">
      <c r="A54" s="3327"/>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7"/>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7"/>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7"/>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不动产收益法-商业</vt:lpstr>
      <vt:lpstr>不动产收益法-办公</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2020-12-23T07:57:04Z</dcterms:modified>
</cp:coreProperties>
</file>